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1044FEB-67AD-478D-B91B-C78EE7CA524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6" i="1" l="1"/>
  <c r="F23" i="1"/>
  <c r="F473" i="1"/>
  <c r="H401" i="1"/>
  <c r="C19" i="12" l="1"/>
  <c r="J598" i="1" l="1"/>
  <c r="I598" i="1"/>
  <c r="G110" i="1" l="1"/>
  <c r="F57" i="1"/>
  <c r="H580" i="1" l="1"/>
  <c r="I534" i="1" l="1"/>
  <c r="H337"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I170" i="1"/>
  <c r="D144" i="2" l="1"/>
  <c r="H30" i="2"/>
  <c r="H131" i="2"/>
  <c r="H69" i="2"/>
  <c r="H25" i="2"/>
  <c r="H36" i="2"/>
  <c r="H44" i="2"/>
  <c r="H102" i="2"/>
  <c r="H101" i="2"/>
  <c r="H99" i="2"/>
  <c r="H98" i="2"/>
  <c r="H79" i="2"/>
  <c r="H73" i="2"/>
  <c r="H15" i="2"/>
  <c r="H11" i="2"/>
  <c r="H143" i="2"/>
  <c r="H113" i="2"/>
  <c r="E121" i="2"/>
  <c r="H125" i="2"/>
  <c r="H94" i="2"/>
  <c r="H47" i="2"/>
  <c r="H28" i="2"/>
  <c r="H24" i="2"/>
  <c r="H17" i="2"/>
  <c r="H38" i="2"/>
  <c r="H43" i="2"/>
  <c r="H48" i="2"/>
  <c r="H97" i="2"/>
  <c r="H87" i="2"/>
  <c r="H34" i="2"/>
  <c r="H26" i="2"/>
  <c r="H22" i="2"/>
  <c r="C112" i="2"/>
  <c r="H9" i="2"/>
  <c r="I409" i="1"/>
  <c r="G409" i="1"/>
  <c r="H646" i="1" s="1"/>
  <c r="J646" i="1" s="1"/>
  <c r="G646" i="1"/>
  <c r="H96" i="2"/>
  <c r="E124" i="2"/>
  <c r="E112" i="2"/>
  <c r="H112" i="2" s="1"/>
  <c r="D15" i="13"/>
  <c r="C15" i="13" s="1"/>
  <c r="H100" i="2"/>
  <c r="H76" i="2"/>
  <c r="H477" i="1"/>
  <c r="H625" i="1" s="1"/>
  <c r="J625" i="1" s="1"/>
  <c r="G477" i="1"/>
  <c r="B33" i="16" s="1"/>
  <c r="D78" i="2"/>
  <c r="H77" i="2"/>
  <c r="H61" i="2"/>
  <c r="G663" i="1"/>
  <c r="J652" i="1"/>
  <c r="G662" i="1"/>
  <c r="C12" i="10"/>
  <c r="C110" i="2"/>
  <c r="E13" i="13"/>
  <c r="C13" i="13" s="1"/>
  <c r="D6" i="13"/>
  <c r="C6" i="13" s="1"/>
  <c r="C13" i="10"/>
  <c r="C120" i="2"/>
  <c r="H120" i="2" s="1"/>
  <c r="C121" i="2"/>
  <c r="H121" i="2" s="1"/>
  <c r="A40" i="12"/>
  <c r="H16" i="2"/>
  <c r="H8" i="2"/>
  <c r="H29" i="2"/>
  <c r="H27" i="2"/>
  <c r="H23" i="2"/>
  <c r="H13" i="2"/>
  <c r="H12" i="2"/>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H134" i="2"/>
  <c r="H57" i="2"/>
  <c r="H42" i="2"/>
  <c r="H85" i="2"/>
  <c r="H21" i="2"/>
  <c r="H124" i="2"/>
  <c r="H62" i="2"/>
  <c r="H91" i="2"/>
  <c r="H624" i="1"/>
  <c r="J624" i="1" s="1"/>
  <c r="H103" i="2"/>
  <c r="C81" i="2"/>
  <c r="H81" i="2" s="1"/>
  <c r="F194" i="1"/>
  <c r="G628" i="1" s="1"/>
  <c r="J628" i="1" s="1"/>
  <c r="D128" i="2"/>
  <c r="D145" i="2" s="1"/>
  <c r="H127" i="2"/>
  <c r="G24" i="14"/>
  <c r="H24" i="14" s="1"/>
  <c r="I24" i="14" s="1"/>
  <c r="E115" i="2"/>
  <c r="H123" i="2"/>
  <c r="H122" i="2"/>
  <c r="E128" i="2"/>
  <c r="F661" i="1"/>
  <c r="F665" i="1" s="1"/>
  <c r="F668" i="1" s="1"/>
  <c r="H118" i="2"/>
  <c r="H110" i="2"/>
  <c r="H109" i="2"/>
  <c r="I663" i="1"/>
  <c r="H50" i="2"/>
  <c r="E51" i="2"/>
  <c r="H18"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1" i="2"/>
  <c r="C104" i="2"/>
  <c r="H104" i="2" s="1"/>
  <c r="H63" i="2"/>
  <c r="H115" i="2"/>
  <c r="E145" i="2"/>
  <c r="H128" i="2"/>
  <c r="H673" i="1"/>
  <c r="C6" i="10" s="1"/>
  <c r="H51"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<sst xmlns="http://schemas.openxmlformats.org/spreadsheetml/2006/main" count="6532" uniqueCount="1804">
  <si>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</si>
  <si>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</si>
  <si>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</si>
  <si>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</si>
  <si>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</si>
  <si>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</si>
  <si>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</si>
  <si>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</si>
  <si>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</si>
  <si>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</si>
  <si>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</si>
  <si>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</si>
  <si>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</si>
  <si>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</si>
  <si>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</si>
  <si>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</si>
  <si>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</si>
  <si>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</si>
  <si>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</si>
  <si>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</si>
  <si>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</si>
  <si>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</si>
  <si>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</si>
  <si>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</si>
  <si>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</si>
  <si>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</si>
  <si>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</si>
  <si>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</si>
  <si>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</si>
  <si>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</si>
  <si>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</si>
  <si>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</si>
  <si>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</si>
  <si>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</si>
  <si>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</si>
  <si>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</si>
  <si>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</si>
  <si>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</si>
  <si>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</si>
  <si>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</si>
  <si>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</si>
  <si>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</si>
  <si>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</si>
  <si>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</si>
  <si>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</si>
  <si>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</si>
  <si>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</si>
  <si>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</si>
  <si>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</si>
  <si>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</si>
  <si>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</si>
  <si>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</si>
  <si>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</si>
  <si>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</si>
  <si>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</si>
  <si>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</si>
  <si>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</si>
  <si>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</si>
  <si>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</si>
  <si>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</si>
  <si>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</si>
  <si>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</si>
  <si>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</si>
  <si>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</si>
  <si>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</si>
  <si>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</si>
  <si>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</si>
  <si>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</si>
  <si>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</si>
  <si>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</si>
  <si>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</si>
  <si>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</si>
  <si>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</si>
  <si>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</si>
  <si>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</si>
  <si>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</si>
  <si>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</si>
  <si>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</si>
  <si>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</si>
  <si>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</si>
  <si>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</si>
  <si>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</si>
  <si>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</si>
  <si>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</si>
  <si>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</si>
  <si>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</si>
  <si>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</si>
  <si>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</si>
  <si>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</si>
  <si>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</si>
  <si>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</si>
  <si>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</si>
  <si>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</si>
  <si>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</si>
  <si>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</si>
  <si>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</si>
  <si>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</si>
  <si>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</si>
  <si>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</si>
  <si>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</si>
  <si>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</si>
  <si>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</si>
  <si>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</si>
  <si>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</si>
  <si>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</si>
  <si>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</si>
  <si>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</si>
  <si>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</si>
  <si>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</si>
  <si>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</si>
  <si>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</si>
  <si>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</si>
  <si>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</si>
  <si>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</si>
  <si>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</si>
  <si>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</si>
  <si>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</si>
  <si>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</si>
  <si>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</si>
  <si>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</si>
  <si>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</si>
  <si>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</si>
  <si>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</si>
  <si>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</si>
  <si>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</si>
  <si>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</si>
  <si>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</si>
  <si>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</si>
  <si>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</si>
  <si>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</si>
  <si>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</si>
  <si>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</si>
  <si>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</si>
  <si>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</si>
  <si>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</si>
  <si>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</si>
  <si>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</si>
  <si>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</si>
  <si>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</si>
  <si>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</si>
  <si>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</si>
  <si>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</si>
  <si>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</si>
  <si>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</si>
  <si>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</si>
  <si>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</si>
  <si>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</si>
  <si>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</si>
  <si>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</si>
  <si>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</si>
  <si>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</si>
  <si>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</si>
  <si>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</si>
  <si>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</si>
  <si>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</si>
  <si>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</si>
  <si>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</si>
  <si>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</si>
  <si>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</si>
  <si>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</si>
  <si>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</si>
  <si>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</si>
  <si>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</si>
  <si>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</si>
  <si>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</si>
  <si>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</si>
  <si>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</si>
  <si>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</si>
  <si>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</si>
  <si>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</si>
  <si>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</si>
  <si>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</si>
  <si>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</si>
  <si>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</si>
  <si>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</si>
  <si>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</si>
  <si>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</si>
  <si>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</si>
  <si>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</si>
  <si>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</si>
  <si>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</si>
  <si>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</si>
  <si>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</si>
  <si>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</si>
  <si>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</si>
  <si>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</si>
  <si>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</si>
  <si>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</si>
  <si>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</si>
  <si>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</si>
  <si>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</si>
  <si>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</si>
  <si>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</si>
  <si>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</si>
  <si>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</si>
  <si>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</si>
  <si>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</si>
  <si>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</si>
  <si>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</si>
  <si>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</si>
  <si>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</si>
  <si>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</si>
  <si>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</si>
  <si>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</si>
  <si>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</si>
  <si>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</si>
  <si>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</si>
  <si>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</si>
  <si>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</si>
  <si>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</si>
  <si>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</si>
  <si>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</si>
  <si>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</si>
  <si>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</si>
  <si>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</si>
  <si>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</si>
  <si>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</si>
  <si>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</si>
  <si>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</si>
  <si>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</si>
  <si>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</si>
  <si>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</si>
  <si>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</si>
  <si>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</si>
  <si>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</si>
  <si>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</si>
  <si>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</si>
  <si>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</si>
  <si>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</si>
  <si>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</si>
  <si>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</si>
  <si>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</si>
  <si>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</si>
  <si>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</si>
  <si>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</si>
  <si>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</si>
  <si>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</si>
  <si>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</si>
  <si>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</si>
  <si>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</si>
  <si>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</si>
  <si>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</si>
  <si>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</si>
  <si>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</si>
  <si>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</si>
  <si>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</si>
  <si>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</si>
  <si>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</si>
  <si>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</si>
  <si>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</si>
  <si>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</si>
  <si>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</si>
  <si>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</si>
  <si>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</si>
  <si>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</si>
  <si>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</si>
  <si>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</si>
  <si>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</si>
  <si>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</si>
  <si>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</si>
  <si>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</si>
  <si>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</si>
  <si>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</si>
  <si>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</si>
  <si>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</si>
  <si>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</si>
  <si>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</si>
  <si>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</si>
  <si>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</si>
  <si>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</si>
  <si>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</si>
  <si>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</si>
  <si>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</si>
  <si>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</si>
  <si>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</si>
  <si>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</si>
  <si>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</si>
  <si>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</si>
  <si>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</si>
  <si>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</si>
  <si>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</si>
  <si>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</si>
  <si>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</si>
  <si>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</si>
  <si>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</si>
  <si>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</si>
  <si>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</si>
  <si>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</si>
  <si>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</si>
  <si>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</si>
  <si>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</si>
  <si>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</si>
  <si>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</si>
  <si>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</si>
  <si>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</si>
  <si>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</si>
  <si>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</si>
  <si>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</si>
  <si>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</si>
  <si>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</si>
  <si>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</si>
  <si>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</si>
  <si>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</si>
  <si>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</si>
  <si>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</si>
  <si>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</si>
  <si>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</si>
  <si>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</si>
  <si>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</si>
  <si>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</si>
  <si>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</si>
  <si>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</si>
  <si>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</si>
  <si>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</si>
  <si>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</si>
  <si>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</si>
  <si>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</si>
  <si>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</si>
  <si>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</si>
  <si>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</si>
  <si>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</si>
  <si>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</si>
  <si>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</si>
  <si>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</si>
  <si>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</si>
  <si>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</si>
  <si>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</si>
  <si>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</si>
  <si>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</si>
  <si>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</si>
  <si>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</si>
  <si>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</si>
  <si>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</si>
  <si>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</si>
  <si>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</si>
  <si>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</si>
  <si>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</si>
  <si>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</si>
  <si>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</si>
  <si>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</si>
  <si>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</si>
  <si>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</si>
  <si>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</si>
  <si>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</si>
  <si>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</si>
  <si>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</si>
  <si>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</si>
  <si>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</si>
  <si>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</si>
  <si>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</si>
  <si>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</si>
  <si>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</si>
  <si>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</si>
  <si>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</si>
  <si>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</si>
  <si>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</si>
  <si>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</si>
  <si>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</si>
  <si>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</si>
  <si>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</si>
  <si>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</si>
  <si>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</si>
  <si>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</si>
  <si>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</si>
  <si>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</si>
  <si>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</si>
  <si>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</si>
  <si>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</si>
  <si>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</si>
  <si>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</si>
  <si>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</si>
  <si>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</si>
  <si>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</si>
  <si>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</si>
  <si>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</si>
  <si>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</si>
  <si>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</si>
  <si>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</si>
  <si>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</si>
  <si>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</si>
  <si>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</si>
  <si>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</si>
  <si>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</si>
  <si>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</si>
  <si>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</si>
  <si>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</si>
  <si>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</si>
  <si>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</si>
  <si>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</si>
  <si>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</si>
  <si>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</si>
  <si>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</si>
  <si>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</si>
  <si>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</si>
  <si>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</si>
  <si>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</si>
  <si>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</si>
  <si>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</si>
  <si>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</si>
  <si>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</si>
  <si>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</si>
  <si>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</si>
  <si>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</si>
  <si>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</si>
  <si>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</si>
  <si>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</si>
  <si>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</si>
  <si>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</si>
  <si>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</si>
  <si>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</si>
  <si>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</si>
  <si>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</si>
  <si>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</si>
  <si>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</si>
  <si>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</si>
  <si>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</si>
  <si>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</si>
  <si>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</si>
  <si>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</si>
  <si>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</si>
  <si>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</si>
  <si>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</si>
  <si>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</si>
  <si>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</si>
  <si>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</si>
  <si>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</si>
  <si>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</si>
  <si>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</si>
  <si>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</si>
  <si>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</si>
  <si>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</si>
  <si>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</si>
  <si>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</si>
  <si>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</si>
  <si>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</si>
  <si>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</si>
  <si>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</si>
  <si>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</si>
  <si>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</si>
  <si>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</si>
  <si>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</si>
  <si>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</si>
  <si>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</si>
  <si>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</si>
  <si>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</si>
  <si>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</si>
  <si>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</si>
  <si>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</si>
  <si>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</si>
  <si>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</si>
  <si>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</si>
  <si>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</si>
  <si>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</si>
  <si>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</si>
  <si>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</si>
  <si>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</si>
  <si>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</si>
  <si>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</si>
  <si>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</si>
  <si>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</si>
  <si>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</si>
  <si>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</si>
  <si>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</si>
  <si>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</si>
  <si>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</si>
  <si>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</si>
  <si>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</si>
  <si>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</si>
  <si>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</si>
  <si>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</si>
  <si>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</si>
  <si>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</si>
  <si>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</si>
  <si>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</si>
  <si>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</si>
  <si>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</si>
  <si>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</si>
  <si>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</si>
  <si>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</si>
  <si>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</si>
  <si>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</si>
  <si>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</si>
  <si>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</si>
  <si>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</si>
  <si>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</si>
  <si>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</si>
  <si>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</si>
  <si>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</si>
  <si>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</si>
  <si>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</si>
  <si>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</si>
  <si>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</si>
  <si>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</si>
  <si>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</si>
  <si>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</si>
  <si>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</si>
  <si>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</si>
  <si>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</si>
  <si>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</si>
  <si>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</si>
  <si>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</si>
  <si>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</si>
  <si>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</si>
  <si>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</si>
  <si>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</si>
  <si>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</si>
  <si>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</si>
  <si>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</si>
  <si>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</si>
  <si>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</si>
  <si>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</si>
  <si>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</si>
  <si>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</si>
  <si>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</si>
  <si>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</si>
  <si>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</si>
  <si>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</si>
  <si>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</si>
  <si>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</si>
  <si>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</si>
  <si>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</si>
  <si>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</si>
  <si>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</si>
  <si>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</si>
  <si>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</si>
  <si>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</si>
  <si>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</si>
  <si>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</si>
  <si>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</si>
  <si>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</si>
  <si>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</si>
  <si>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</si>
  <si>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</si>
  <si>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</si>
  <si>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</si>
  <si>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</si>
  <si>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</si>
  <si>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</si>
  <si>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</si>
  <si>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</si>
  <si>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</si>
  <si>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</si>
  <si>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</si>
  <si>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</si>
  <si>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</si>
  <si>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</si>
  <si>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</si>
  <si>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</si>
  <si>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</si>
  <si>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</si>
  <si>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</si>
  <si>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</si>
  <si>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</si>
  <si>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</si>
  <si>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</si>
  <si>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</si>
  <si>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</si>
  <si>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</si>
  <si>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</si>
  <si>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</si>
  <si>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</si>
  <si>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</si>
  <si>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</si>
  <si>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</si>
  <si>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</si>
  <si>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</si>
  <si>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</si>
  <si>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</si>
  <si>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</si>
  <si>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</si>
  <si>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</si>
  <si>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</si>
  <si>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</si>
  <si>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</si>
  <si>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</si>
  <si>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</si>
  <si>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</si>
  <si>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</si>
  <si>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</si>
  <si>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</si>
  <si>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</si>
  <si>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</si>
  <si>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</si>
  <si>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</si>
  <si>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</si>
  <si>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</si>
  <si>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</si>
  <si>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</si>
  <si>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</si>
  <si>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</si>
  <si>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</si>
  <si>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</si>
  <si>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</si>
  <si>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</si>
  <si>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</si>
  <si>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</si>
  <si>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</si>
  <si>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</si>
  <si>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</si>
  <si>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</si>
  <si>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</si>
  <si>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</si>
  <si>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</si>
  <si>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</si>
  <si>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</si>
  <si>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</si>
  <si>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</si>
  <si>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</si>
  <si>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</si>
  <si>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</si>
  <si>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</si>
  <si>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</si>
  <si>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</si>
  <si>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</si>
  <si>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</si>
  <si>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</si>
  <si>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</si>
  <si>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</si>
  <si>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</si>
  <si>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</si>
  <si>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</si>
  <si>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</si>
  <si>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</si>
  <si>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</si>
  <si>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</si>
  <si>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</si>
  <si>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</si>
  <si>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</si>
  <si>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</si>
  <si>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</si>
  <si>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</si>
  <si>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</si>
  <si>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</si>
  <si>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</si>
  <si>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</si>
  <si>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</si>
  <si>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</si>
  <si>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</si>
  <si>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</si>
  <si>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</si>
  <si>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</si>
  <si>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</si>
  <si>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</si>
  <si>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</si>
  <si>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</si>
  <si>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</si>
  <si>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</si>
  <si>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</si>
  <si>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</si>
  <si>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</si>
  <si>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</si>
  <si>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</si>
  <si>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</si>
  <si>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</si>
  <si>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</si>
  <si>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</si>
  <si>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</si>
  <si>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</si>
  <si>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</si>
  <si>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</si>
  <si>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</si>
  <si>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</si>
  <si>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</si>
  <si>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</si>
  <si>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</si>
  <si>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</si>
  <si>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</si>
  <si>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</si>
  <si>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</si>
  <si>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</si>
  <si>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</si>
  <si>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</si>
  <si>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</si>
  <si>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</si>
  <si>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</si>
  <si>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</si>
  <si>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</si>
  <si>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</si>
  <si>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</si>
  <si>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</si>
  <si>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</si>
  <si>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</si>
  <si>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</si>
  <si>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</si>
  <si>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</si>
  <si>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</si>
  <si>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</si>
  <si>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</si>
  <si>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</si>
  <si>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</si>
  <si>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</si>
  <si>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</si>
  <si>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</si>
  <si>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</si>
  <si>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</si>
  <si>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</si>
  <si>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</si>
  <si>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</si>
  <si>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</si>
  <si>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</si>
  <si>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</si>
  <si>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</si>
  <si>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</si>
  <si>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</si>
  <si>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</si>
  <si>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</si>
  <si>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</si>
  <si>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</si>
  <si>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</si>
  <si>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</si>
  <si>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</si>
  <si>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</si>
  <si>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</si>
  <si>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</si>
  <si>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</si>
  <si>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</si>
  <si>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</si>
  <si>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</si>
  <si>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</si>
  <si>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</si>
  <si>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</si>
  <si>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</si>
  <si>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</si>
  <si>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</si>
  <si>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</si>
  <si>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</si>
  <si>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</si>
  <si>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</si>
  <si>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</si>
  <si>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</si>
  <si>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</si>
  <si>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</si>
  <si>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</si>
  <si>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</si>
  <si>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</si>
  <si>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</si>
  <si>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</si>
  <si>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</si>
  <si>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</si>
  <si>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</si>
  <si>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</si>
  <si>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</si>
  <si>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</si>
  <si>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</si>
  <si>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</si>
  <si>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</si>
  <si>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</si>
  <si>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</si>
  <si>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</si>
  <si>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</si>
  <si>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</si>
  <si>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</si>
  <si>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</si>
  <si>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</si>
  <si>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</si>
  <si>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</si>
  <si>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</si>
  <si>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</si>
  <si>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</si>
  <si>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</si>
  <si>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</si>
  <si>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</si>
  <si>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</si>
  <si>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</si>
  <si>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</si>
  <si>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</si>
  <si>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</si>
  <si>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</si>
  <si>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</si>
  <si>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</si>
  <si>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</si>
  <si>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</si>
  <si>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</si>
  <si>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</si>
  <si>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</si>
  <si>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</si>
  <si>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</si>
  <si>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</si>
  <si>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</si>
  <si>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</si>
  <si>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</si>
  <si>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</si>
  <si>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</si>
  <si>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</si>
  <si>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</si>
  <si>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</si>
  <si>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</si>
  <si>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</si>
  <si>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</si>
  <si>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</si>
  <si>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</si>
  <si>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</si>
  <si>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</si>
  <si>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</si>
  <si>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</si>
  <si>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</si>
  <si>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</si>
  <si>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</si>
  <si>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</si>
  <si>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</si>
  <si>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</si>
  <si>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</si>
  <si>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</si>
  <si>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</si>
  <si>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</si>
  <si>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</si>
  <si>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</si>
  <si>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</si>
  <si>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</si>
  <si>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</si>
  <si>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</si>
  <si>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</si>
  <si>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</si>
  <si>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</si>
  <si>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</si>
  <si>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</si>
  <si>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</si>
  <si>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</si>
  <si>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</si>
  <si>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</si>
  <si>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</si>
  <si>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</si>
  <si>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</si>
  <si>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</si>
  <si>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</si>
  <si>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</si>
  <si>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</si>
  <si>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</si>
  <si>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</si>
  <si>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</si>
  <si>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</si>
  <si>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</si>
  <si>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</si>
  <si>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</si>
  <si>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</si>
  <si>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</si>
  <si>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</si>
  <si>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</si>
  <si>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</si>
  <si>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</si>
  <si>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</si>
  <si>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</si>
  <si>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</si>
  <si>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</si>
  <si>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</si>
  <si>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</si>
  <si>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</si>
  <si>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</si>
  <si>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</si>
  <si>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</si>
  <si>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</si>
  <si>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</si>
  <si>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</si>
  <si>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</si>
  <si>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</si>
  <si>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</si>
  <si>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</si>
  <si>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</si>
  <si>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</si>
  <si>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</si>
  <si>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</si>
  <si>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</si>
  <si>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</si>
  <si>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</si>
  <si>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</si>
  <si>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</si>
  <si>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</si>
  <si>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</si>
  <si>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</si>
  <si>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</si>
  <si>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</si>
  <si>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</si>
  <si>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</si>
  <si>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</si>
  <si>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</si>
  <si>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</si>
  <si>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</si>
  <si>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</si>
  <si>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</si>
  <si>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</si>
  <si>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</si>
  <si>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</si>
  <si>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</si>
  <si>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</si>
  <si>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</si>
  <si>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</si>
  <si>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</si>
  <si>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</si>
  <si>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</si>
  <si>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</si>
  <si>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</si>
  <si>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</si>
  <si>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</si>
  <si>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</si>
  <si>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</si>
  <si>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</si>
  <si>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</si>
  <si>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</si>
  <si>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</si>
  <si>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</si>
  <si>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</si>
  <si>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</si>
  <si>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</si>
  <si>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</si>
  <si>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</si>
  <si>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</si>
  <si>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</si>
  <si>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</si>
  <si>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</si>
  <si>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</si>
  <si>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</si>
  <si>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</si>
  <si>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</si>
  <si>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</si>
  <si>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</si>
  <si>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</si>
  <si>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</si>
  <si>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</si>
  <si>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</si>
  <si>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</si>
  <si>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</si>
  <si>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</si>
  <si>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</si>
  <si>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</si>
  <si>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</si>
  <si>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</si>
  <si>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</si>
  <si>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</si>
  <si>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</si>
  <si>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</si>
  <si>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</si>
  <si>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</si>
  <si>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</si>
  <si>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</si>
  <si>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</si>
  <si>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</si>
  <si>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</si>
  <si>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</si>
  <si>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</si>
  <si>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</si>
  <si>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</si>
  <si>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</si>
  <si>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</si>
  <si>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</si>
  <si>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</si>
  <si>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</si>
  <si>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</si>
  <si>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</si>
  <si>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</si>
  <si>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</si>
  <si>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</si>
  <si>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</si>
  <si>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</si>
  <si>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</si>
  <si>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</si>
  <si>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</si>
  <si>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</si>
  <si>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</si>
  <si>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</si>
  <si>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</si>
  <si>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</si>
  <si>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</si>
  <si>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</si>
  <si>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</si>
  <si>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</si>
  <si>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</si>
  <si>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</si>
  <si>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</si>
  <si>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</si>
  <si>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</si>
  <si>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</si>
  <si>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</si>
  <si>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</si>
  <si>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</si>
  <si>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</si>
  <si>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</si>
  <si>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</si>
  <si>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</si>
  <si>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</si>
  <si>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</si>
  <si>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</si>
  <si>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</si>
  <si>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</si>
  <si>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</si>
  <si>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</si>
  <si>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</si>
  <si>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</si>
  <si>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</si>
  <si>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</si>
  <si>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</si>
  <si>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</si>
  <si>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</si>
  <si>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</si>
  <si>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</si>
  <si>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</si>
  <si>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</si>
  <si>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</si>
  <si>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</si>
  <si>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</si>
  <si>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</si>
  <si>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</si>
  <si>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</si>
  <si>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</si>
  <si>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</si>
  <si>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</si>
  <si>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</si>
  <si>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</si>
  <si>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</si>
  <si>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</si>
  <si>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</si>
  <si>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</si>
  <si>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</si>
  <si>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</si>
  <si>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</si>
  <si>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</si>
  <si>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</si>
  <si>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</si>
  <si>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</si>
  <si>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</si>
  <si>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</si>
  <si>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</si>
  <si>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</si>
  <si>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</si>
  <si>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</si>
  <si>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</si>
  <si>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</si>
  <si>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</si>
  <si>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</si>
  <si>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</si>
  <si>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</si>
  <si>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</si>
  <si>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</si>
  <si>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</si>
  <si>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</si>
  <si>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</si>
  <si>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</si>
  <si>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</si>
  <si>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</si>
  <si>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</si>
  <si>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</si>
  <si>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</si>
  <si>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</si>
  <si>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</si>
  <si>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</si>
  <si>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</si>
  <si>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</si>
  <si>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</si>
  <si>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</si>
  <si>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</si>
  <si>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</si>
  <si>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</si>
  <si>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</si>
  <si>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</si>
  <si>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</si>
  <si>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</si>
  <si>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</si>
  <si>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</si>
  <si>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</si>
  <si>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</si>
  <si>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</si>
  <si>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</si>
  <si>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</si>
  <si>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</si>
  <si>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</si>
  <si>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</si>
  <si>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</si>
  <si>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</si>
  <si>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</si>
  <si>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</si>
  <si>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</si>
  <si>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</si>
  <si>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</si>
  <si>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</si>
  <si>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</si>
  <si>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</si>
  <si>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</si>
  <si>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</si>
  <si>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</si>
  <si>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</si>
  <si>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</si>
  <si>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</si>
  <si>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</si>
  <si>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</si>
  <si>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</si>
  <si>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</si>
  <si>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</si>
  <si>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</si>
  <si>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</si>
  <si>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</si>
  <si>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</si>
  <si>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</si>
  <si>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</si>
  <si>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</si>
  <si>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</si>
  <si>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</si>
  <si>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</si>
  <si>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</si>
  <si>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</si>
  <si>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</si>
  <si>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</si>
  <si>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</si>
  <si>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</si>
  <si>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</si>
  <si>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</si>
  <si>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</si>
  <si>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</si>
  <si>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</si>
  <si>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</si>
  <si>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</si>
  <si>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</si>
  <si>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</si>
  <si>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</si>
  <si>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</si>
  <si>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</si>
  <si>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</si>
  <si>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</si>
  <si>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</si>
  <si>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</si>
  <si>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</si>
  <si>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</si>
  <si>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</si>
  <si>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</si>
  <si>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</si>
  <si>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</si>
  <si>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</si>
  <si>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</si>
  <si>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</si>
  <si>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</si>
  <si>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</si>
  <si>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</si>
  <si>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</si>
  <si>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</si>
  <si>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</si>
  <si>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</si>
  <si>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</si>
  <si>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</si>
  <si>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</si>
  <si>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</si>
  <si>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</si>
  <si>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</si>
  <si>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</si>
  <si>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</si>
  <si>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</si>
  <si>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</si>
  <si>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</si>
  <si>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</si>
  <si>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</si>
  <si>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</si>
  <si>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</si>
  <si>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</si>
  <si>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</si>
  <si>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</si>
  <si>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</si>
  <si>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</si>
  <si>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</si>
  <si>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</si>
  <si>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</si>
  <si>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</si>
  <si>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</si>
  <si>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</si>
  <si>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</si>
  <si>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</si>
  <si>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</si>
  <si>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</si>
  <si>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</si>
  <si>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</si>
  <si>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</si>
  <si>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</si>
  <si>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</si>
  <si>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</si>
  <si>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</si>
  <si>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</si>
  <si>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</si>
  <si>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</si>
  <si>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</si>
  <si>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</si>
  <si>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</si>
  <si>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</si>
  <si>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</si>
  <si>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</si>
  <si>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</si>
  <si>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</si>
  <si>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</si>
  <si>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</si>
  <si>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</si>
  <si>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</si>
  <si>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</si>
  <si>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</si>
  <si>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</si>
  <si>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</si>
  <si>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</si>
  <si>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</si>
  <si>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</si>
  <si>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</si>
  <si>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</si>
  <si>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</si>
  <si>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</si>
  <si>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</si>
  <si>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</si>
  <si>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</si>
  <si>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</si>
  <si>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</si>
  <si>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</si>
  <si>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</si>
  <si>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</si>
  <si>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</si>
  <si>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</si>
  <si>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</si>
  <si>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</si>
  <si>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</si>
  <si>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</si>
  <si>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</si>
  <si>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</si>
  <si>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</si>
  <si>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</si>
  <si>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</si>
  <si>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</si>
  <si>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</si>
  <si>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</si>
  <si>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</si>
  <si>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</si>
  <si>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</si>
  <si>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</si>
  <si>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</si>
  <si>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</si>
  <si>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</si>
  <si>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</si>
  <si>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</si>
  <si>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</si>
  <si>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</si>
  <si>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</si>
  <si>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</si>
  <si>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</si>
  <si>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</si>
  <si>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</si>
  <si>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</si>
  <si>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</si>
  <si>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</si>
  <si>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</si>
  <si>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</si>
  <si>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</si>
  <si>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</si>
  <si>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</si>
  <si>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</si>
  <si>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</si>
  <si>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</si>
  <si>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</si>
  <si>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</si>
  <si>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</si>
  <si>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</si>
  <si>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</si>
  <si>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</si>
  <si>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</si>
  <si>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</si>
  <si>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</si>
  <si>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</si>
  <si>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</si>
  <si>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</si>
  <si>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</si>
  <si>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</si>
  <si>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</si>
  <si>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</si>
  <si>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</si>
  <si>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</si>
  <si>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</si>
  <si>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</si>
  <si>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</si>
  <si>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</si>
  <si>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</si>
  <si>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</si>
  <si>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</si>
  <si>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</si>
  <si>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</si>
  <si>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</si>
  <si>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</si>
  <si>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</si>
  <si>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</si>
  <si>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</si>
  <si>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</si>
  <si>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</si>
  <si>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</si>
  <si>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</si>
  <si>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</si>
  <si>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</si>
  <si>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</si>
  <si>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</si>
  <si>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</si>
  <si>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</si>
  <si>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</si>
  <si>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</si>
  <si>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</si>
  <si>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</si>
  <si>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</si>
  <si>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</si>
  <si>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</si>
  <si>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</si>
  <si>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</si>
  <si>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</si>
  <si>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</si>
  <si>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</si>
  <si>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</si>
  <si>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</si>
  <si>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</si>
  <si>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</si>
  <si>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</si>
  <si>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</si>
  <si>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</si>
  <si>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</si>
  <si>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</si>
  <si>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</si>
  <si>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</si>
  <si>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</si>
  <si>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</si>
  <si>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</si>
  <si>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</si>
  <si>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</si>
  <si>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</si>
  <si>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</si>
  <si>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</si>
  <si>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</si>
  <si>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</si>
  <si>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</si>
  <si>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</si>
  <si>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</si>
  <si>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</si>
  <si>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</si>
  <si>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</si>
  <si>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</si>
  <si>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</si>
  <si>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</si>
  <si>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</si>
  <si>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</si>
  <si>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</si>
  <si>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</si>
  <si>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</si>
  <si>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</si>
  <si>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</si>
  <si>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</si>
  <si>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</si>
  <si>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</si>
  <si>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</si>
  <si>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</si>
  <si>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</si>
  <si>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</si>
  <si>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</si>
  <si>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</si>
  <si>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</si>
  <si>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</si>
  <si>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</si>
  <si>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</si>
  <si>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</si>
  <si>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</si>
  <si>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</si>
  <si>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</si>
  <si>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</si>
  <si>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</si>
  <si>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</si>
  <si>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</si>
  <si>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</si>
  <si>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</si>
  <si>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</si>
  <si>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</si>
  <si>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</si>
  <si>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</si>
  <si>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</si>
  <si>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</si>
  <si>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</si>
  <si>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</si>
  <si>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</si>
  <si>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</si>
  <si>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</si>
  <si>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</si>
  <si>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</si>
  <si>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</si>
  <si>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</si>
  <si>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</si>
  <si>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</si>
  <si>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</si>
  <si>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</si>
  <si>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</si>
  <si>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</si>
  <si>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</si>
  <si>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</si>
  <si>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</si>
  <si>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</si>
  <si>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</si>
  <si>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</si>
  <si>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</si>
  <si>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</si>
  <si>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</si>
  <si>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</si>
  <si>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</si>
  <si>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</si>
  <si>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</si>
  <si>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</si>
  <si>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</si>
  <si>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</si>
  <si>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</si>
  <si>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</si>
  <si>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</si>
  <si>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</si>
  <si>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</si>
  <si>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</si>
  <si>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</si>
  <si>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</si>
  <si>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</si>
  <si>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</si>
  <si>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</si>
  <si>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</si>
  <si>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</si>
  <si>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</si>
  <si>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</si>
  <si>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</si>
  <si>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</si>
  <si>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</si>
  <si>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</si>
  <si>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</si>
  <si>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</si>
  <si>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</si>
  <si>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</si>
  <si>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</si>
  <si>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</si>
  <si>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</si>
  <si>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</si>
  <si>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</si>
  <si>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</si>
  <si>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</si>
  <si>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</si>
  <si>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</si>
  <si>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</si>
  <si>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</si>
  <si>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</si>
  <si>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</si>
  <si>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</si>
  <si>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</si>
  <si>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</si>
  <si>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</si>
  <si>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</si>
  <si>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</si>
  <si>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</si>
  <si>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</si>
  <si>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</si>
  <si>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</si>
  <si>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</si>
  <si>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</si>
  <si>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</si>
  <si>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</si>
  <si>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</si>
  <si>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</si>
  <si>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</si>
  <si>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</si>
  <si>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</si>
  <si>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</si>
  <si>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</si>
  <si>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</si>
  <si>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</si>
  <si>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</si>
  <si>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</si>
  <si>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</si>
  <si>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</si>
  <si>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</si>
  <si>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</si>
  <si>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</si>
  <si>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</si>
  <si>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</si>
  <si>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</si>
  <si>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</si>
  <si>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</si>
  <si>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</si>
  <si>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</si>
  <si>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</si>
  <si>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</si>
  <si>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</si>
  <si>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</si>
  <si>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</si>
  <si>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</si>
  <si>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</si>
  <si>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</si>
  <si>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</si>
  <si>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</si>
  <si>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</si>
  <si>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</si>
  <si>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</si>
  <si>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</si>
  <si>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</si>
  <si>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</si>
  <si>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</si>
  <si>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</si>
  <si>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</si>
  <si>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</si>
  <si>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</si>
  <si>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</si>
  <si>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</si>
  <si>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</si>
  <si>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</si>
  <si>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</si>
  <si>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</si>
  <si>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</si>
  <si>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</si>
  <si>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</si>
  <si>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</si>
  <si>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</si>
  <si>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</si>
  <si>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</si>
  <si>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</si>
  <si>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</si>
  <si>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</si>
  <si>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</si>
  <si>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</si>
  <si>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</si>
  <si>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</si>
  <si>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</si>
  <si>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</si>
  <si>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</si>
  <si>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</si>
  <si>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</si>
  <si>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</si>
  <si>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</si>
  <si>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</si>
  <si>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</si>
  <si>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</si>
  <si>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</si>
  <si>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</si>
  <si>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</si>
  <si>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</si>
  <si>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</si>
  <si>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</si>
  <si>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</si>
  <si>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</si>
  <si>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</si>
  <si>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</si>
  <si>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</si>
  <si>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</si>
  <si>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</si>
  <si>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</si>
  <si>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</si>
  <si>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</si>
  <si>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</si>
  <si>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</si>
  <si>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</si>
  <si>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</si>
  <si>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</si>
  <si>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</si>
  <si>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</si>
  <si>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</si>
  <si>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</si>
  <si>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</si>
  <si>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</si>
  <si>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</si>
  <si>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</si>
  <si>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</si>
  <si>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</si>
  <si>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</si>
  <si>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</si>
  <si>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</si>
  <si>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</si>
  <si>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</si>
  <si>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</si>
  <si>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</si>
  <si>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</si>
  <si>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</si>
  <si>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</si>
  <si>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</si>
  <si>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</si>
  <si>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</si>
  <si>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</si>
  <si>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</si>
  <si>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</si>
  <si>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</si>
  <si>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</si>
  <si>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</si>
  <si>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</si>
  <si>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</si>
  <si>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</si>
  <si>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</si>
  <si>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</si>
  <si>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</si>
  <si>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</si>
  <si>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</si>
  <si>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</si>
  <si>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</si>
  <si>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</si>
  <si>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</si>
  <si>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</si>
  <si>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</si>
  <si>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</si>
  <si>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</si>
  <si>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</si>
  <si>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</si>
  <si>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</si>
  <si>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</si>
  <si>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</si>
  <si>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</si>
  <si>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</si>
  <si>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</si>
  <si>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</si>
  <si>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</si>
  <si>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</si>
  <si>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</si>
  <si>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</si>
  <si>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</si>
  <si>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</si>
  <si>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</si>
  <si>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</si>
  <si>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</si>
  <si>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</si>
  <si>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</si>
  <si>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</si>
  <si>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</si>
  <si>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</si>
  <si>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</si>
  <si>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</si>
  <si>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</si>
  <si>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</si>
  <si>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</si>
  <si>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</si>
  <si>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</si>
  <si>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</si>
  <si>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</si>
  <si>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</si>
  <si>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</si>
  <si>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</si>
  <si>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</si>
  <si>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</si>
  <si>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</si>
  <si>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</si>
  <si>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</si>
  <si>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</si>
  <si>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</si>
  <si>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</si>
  <si>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</si>
  <si>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</si>
  <si>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</si>
  <si>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</si>
  <si>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</si>
  <si>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</si>
  <si>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</si>
  <si>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</si>
  <si>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</si>
  <si>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</si>
  <si>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</si>
  <si>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</si>
  <si>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</si>
  <si>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</si>
  <si>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</si>
  <si>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</si>
  <si>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</si>
  <si>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</si>
  <si>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</si>
  <si>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</si>
  <si>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</si>
  <si>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</si>
  <si>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</si>
  <si>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</si>
  <si>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</si>
  <si>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</si>
  <si>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</si>
  <si>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</si>
  <si>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</si>
  <si>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</si>
  <si>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</si>
  <si>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</si>
  <si>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</si>
  <si>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</si>
  <si>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</si>
  <si>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</si>
  <si>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</si>
  <si>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</si>
  <si>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</si>
  <si>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</si>
  <si>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</si>
  <si>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</si>
  <si>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</si>
  <si>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</si>
  <si>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</si>
  <si>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</si>
  <si>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</si>
  <si>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</si>
  <si>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</si>
  <si>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</si>
  <si>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</si>
  <si>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</si>
  <si>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</si>
  <si>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</si>
  <si>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</si>
  <si>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</si>
  <si>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</si>
  <si>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</si>
  <si>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</si>
  <si>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</si>
  <si>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</si>
  <si>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</si>
  <si>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</si>
  <si>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</si>
  <si>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</si>
  <si>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</si>
  <si>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</si>
  <si>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</si>
  <si>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</si>
  <si>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</si>
  <si>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</si>
  <si>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</si>
  <si>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</si>
  <si>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</si>
  <si>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</si>
  <si>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</si>
  <si>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</si>
  <si>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</si>
  <si>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</si>
  <si>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</si>
  <si>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</si>
  <si>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</si>
  <si>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</si>
  <si>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</si>
  <si>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</si>
  <si>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</si>
  <si>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</si>
  <si>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</si>
  <si>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</si>
  <si>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</si>
  <si>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</si>
  <si>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</si>
  <si>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</si>
  <si>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</si>
  <si>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</si>
  <si>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</si>
  <si>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</si>
  <si>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</si>
  <si>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</si>
  <si>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</si>
  <si>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</si>
  <si>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</si>
  <si>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</si>
  <si>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</si>
  <si>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</si>
  <si>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</si>
  <si>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</si>
  <si>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</si>
  <si>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</si>
  <si>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</si>
  <si>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</si>
  <si>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</si>
  <si>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</si>
  <si>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</si>
  <si>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</si>
  <si>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</si>
  <si>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</si>
  <si>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</si>
  <si>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</si>
  <si>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</si>
  <si>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</si>
  <si>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</si>
  <si>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</si>
  <si>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</si>
  <si>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</si>
  <si>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</si>
  <si>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</si>
  <si>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</si>
  <si>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</si>
  <si>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</si>
  <si>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</si>
  <si>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</si>
  <si>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</si>
  <si>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</si>
  <si>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</si>
  <si>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</si>
  <si>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</si>
  <si>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</si>
  <si>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</si>
  <si>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</si>
  <si>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</si>
  <si>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</si>
  <si>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</si>
  <si>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</si>
  <si>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</si>
  <si>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</si>
  <si>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</si>
  <si>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</si>
  <si>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</si>
  <si>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</si>
  <si>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</si>
  <si>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</si>
  <si>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</si>
  <si>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</si>
  <si>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</si>
  <si>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</si>
  <si>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</si>
  <si>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</si>
  <si>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</si>
  <si>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</si>
  <si>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</si>
  <si>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</si>
  <si>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</si>
  <si>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</si>
  <si>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</si>
  <si>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</si>
  <si>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</si>
  <si>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</si>
  <si>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</si>
  <si>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</si>
  <si>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</si>
  <si>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</si>
  <si>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We do not have a true Gifted and Talented Program - ours is an Enrichment Program</t>
  </si>
  <si>
    <t>FS Inventory:  $26,104.88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</si>
</sst>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0" zoomScaleNormal="130" workbookViewId="0">
      <pane xSplit="5" ySplit="3" topLeftCell="F655"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1410</v>
      </c>
      <c r="B2" s="126">
        <f>INDEX('School Tables'!$AH$3:$AH$208,MATCH('DOE25'!A2,'School Tables'!$AJ$3:$AJ$208,0))</f>
        <v>486</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2460916.44</v>
      </c>
      <c r="G9" s="18">
        <v>1205.77</v>
      </c>
      <c r="H9" s="18"/>
      <c r="I9" s="18"/>
      <c r="J9" s="67">
        <f>SUM(I440)</f>
        <v>186357.15</v>
      </c>
      <c r="K9" s="24" t="s">
        <v>288</v>
      </c>
      <c r="L9" s="24" t="s">
        <v>288</v>
      </c>
      <c r="M9" s="8"/>
      <c r="N9" s="265"/>
    </row>
    <row r="10" spans="1:14" s="3" customFormat="1" ht="12.2" customHeight="1" x14ac:dyDescent="0.15">
      <c r="A10" s="1" t="s">
        <v>562</v>
      </c>
      <c r="B10" s="2" t="s">
        <v>289</v>
      </c>
      <c r="C10" s="6">
        <v>2</v>
      </c>
      <c r="D10" s="2" t="s">
        <v>428</v>
      </c>
      <c r="E10" s="6">
        <v>110</v>
      </c>
      <c r="F10" s="18">
        <v>2059.6799999999998</v>
      </c>
      <c r="G10" s="18"/>
      <c r="H10" s="18"/>
      <c r="I10" s="18"/>
      <c r="J10" s="67">
        <f>SUM(I441)</f>
        <v>771731.08</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334460.14</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56501.26</v>
      </c>
      <c r="G13" s="18">
        <v>225609.17</v>
      </c>
      <c r="H13" s="18">
        <v>520902.69</v>
      </c>
      <c r="I13" s="18"/>
      <c r="J13" s="67">
        <f>SUM(I443)</f>
        <v>140000</v>
      </c>
      <c r="K13" s="24" t="s">
        <v>288</v>
      </c>
      <c r="L13" s="24" t="s">
        <v>288</v>
      </c>
      <c r="M13" s="8"/>
      <c r="N13" s="265"/>
    </row>
    <row r="14" spans="1:14" s="3" customFormat="1" ht="12.2" customHeight="1" x14ac:dyDescent="0.15">
      <c r="A14" s="1" t="s">
        <v>565</v>
      </c>
      <c r="B14" s="2" t="s">
        <v>289</v>
      </c>
      <c r="C14" s="6">
        <v>6</v>
      </c>
      <c r="D14" s="2" t="s">
        <v>428</v>
      </c>
      <c r="E14" s="6">
        <v>150</v>
      </c>
      <c r="F14" s="18">
        <v>3931.26</v>
      </c>
      <c r="G14" s="18">
        <v>1221.6099999999999</v>
      </c>
      <c r="H14" s="18">
        <v>11452.13</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29297.1</v>
      </c>
      <c r="G17" s="18">
        <v>26104.880000000001</v>
      </c>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2887165.88</v>
      </c>
      <c r="G19" s="41">
        <f>SUM(G9:G18)</f>
        <v>254141.43</v>
      </c>
      <c r="H19" s="41">
        <f>SUM(H9:H18)</f>
        <v>532354.81999999995</v>
      </c>
      <c r="I19" s="41">
        <f>SUM(I9:I18)</f>
        <v>0</v>
      </c>
      <c r="J19" s="41">
        <f>SUM(J9:J18)</f>
        <v>1098088.23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12564.7</v>
      </c>
      <c r="H22" s="18">
        <v>321895.40999999997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f>140000+17034.82</f>
        <v>157034.82</v>
      </c>
      <c r="G23" s="18"/>
      <c r="H23" s="18"/>
      <c r="I23" s="18"/>
      <c r="J23" s="67">
        <f>SUM(I450)</f>
        <v>80000</v>
      </c>
      <c r="K23" s="24" t="s">
        <v>288</v>
      </c>
      <c r="L23" s="24" t="s">
        <v>288</v>
      </c>
      <c r="M23" s="8"/>
      <c r="N23" s="265"/>
    </row>
    <row r="24" spans="1:14" s="3" customFormat="1" ht="12.2" customHeight="1" x14ac:dyDescent="0.15">
      <c r="A24" s="1" t="s">
        <v>570</v>
      </c>
      <c r="B24" s="2" t="s">
        <v>289</v>
      </c>
      <c r="C24" s="6">
        <v>14</v>
      </c>
      <c r="D24" s="2" t="s">
        <v>429</v>
      </c>
      <c r="E24" s="6">
        <v>420</v>
      </c>
      <c r="F24" s="18">
        <v>420129.69</v>
      </c>
      <c r="G24" s="18">
        <v>25586.28</v>
      </c>
      <c r="H24" s="18">
        <v>90606.16</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78732.84</v>
      </c>
      <c r="G28" s="18">
        <v>4919.43</v>
      </c>
      <c r="H28" s="18">
        <v>20445.900000000001</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5000</v>
      </c>
      <c r="G30" s="18">
        <v>36498.160000000003</v>
      </c>
      <c r="H30" s="18">
        <v>99407.35</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660897.35</v>
      </c>
      <c r="G32" s="41">
        <f>SUM(G22:G31)</f>
        <v>79568.570000000007</v>
      </c>
      <c r="H32" s="41">
        <f>SUM(H22:H31)</f>
        <v>532354.81999999995</v>
      </c>
      <c r="I32" s="41">
        <f>SUM(I22:I31)</f>
        <v>0</v>
      </c>
      <c r="J32" s="41">
        <f>SUM(J22:J31)</f>
        <v>80000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26104.880000000001</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f>29297.1</f>
        <v>29297.1</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148467.98000000001</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100682.05</v>
      </c>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120000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526042.31999999995</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590247</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1018088.23</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860000.06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2226268.5300000003</v>
      </c>
      <c r="G51" s="41">
        <f>SUM(G35:G50)</f>
        <v>174572.86000000002</v>
      </c>
      <c r="H51" s="41">
        <f>SUM(H35:H50)</f>
        <v>0</v>
      </c>
      <c r="I51" s="41">
        <f>SUM(I35:I50)</f>
        <v>0</v>
      </c>
      <c r="J51" s="41">
        <f>SUM(J35:J50)</f>
        <v>1018088.23</v>
      </c>
      <c r="K51" s="45" t="s">
        <v>288</v>
      </c>
      <c r="L51" s="45" t="s">
        <v>288</v>
      </c>
      <c r="N51" s="263"/>
    </row>
    <row r="52" spans="1:14" s="3" customFormat="1" ht="12.2" customHeight="1" thickTop="1" x14ac:dyDescent="0.15">
      <c r="A52" s="38" t="s">
        <v>455</v>
      </c>
      <c r="B52" s="39" t="s">
        <v>289</v>
      </c>
      <c r="C52" s="6">
        <v>37</v>
      </c>
      <c r="D52" s="39" t="s">
        <v>653</v>
      </c>
      <c r="E52" s="39"/>
      <c r="F52" s="41">
        <f>F51+F32</f>
        <v>2887165.8800000004</v>
      </c>
      <c r="G52" s="41">
        <f>G51+G32</f>
        <v>254141.43000000002</v>
      </c>
      <c r="H52" s="41">
        <f>H51+H32</f>
        <v>532354.81999999995</v>
      </c>
      <c r="I52" s="41">
        <f>I51+I32</f>
        <v>0</v>
      </c>
      <c r="J52" s="41">
        <f>J51+J32</f>
        <v>1098088.23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4250089+11097258</f>
        <v>15347347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15347347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2223</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2223</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1977.1</v>
      </c>
      <c r="G96" s="18"/>
      <c r="H96" s="18"/>
      <c r="I96" s="18"/>
      <c r="J96" s="18">
        <v>1519.36</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57225.41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800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324909.28999999998</v>
      </c>
      <c r="G110" s="18">
        <f>720.53+395.75</f>
        <v>1116.28</v>
      </c>
      <c r="H110" s="18">
        <v>217370.29</v>
      </c>
      <c r="I110" s="18"/>
      <c r="J110" s="18">
        <v>127208.17</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327686.38999999996</v>
      </c>
      <c r="G111" s="41">
        <f>SUM(G96:G110)</f>
        <v>58341.69</v>
      </c>
      <c r="H111" s="41">
        <f>SUM(H96:H110)</f>
        <v>217370.29</v>
      </c>
      <c r="I111" s="41">
        <f>SUM(I96:I110)</f>
        <v>0</v>
      </c>
      <c r="J111" s="41">
        <f>SUM(J96:J110)</f>
        <v>128727.53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15677256.390000001</v>
      </c>
      <c r="G112" s="41">
        <f>G60+G111</f>
        <v>58341.69</v>
      </c>
      <c r="H112" s="41">
        <f>H60+H79+H94+H111</f>
        <v>217370.29</v>
      </c>
      <c r="I112" s="41">
        <f>I60+I111</f>
        <v>0</v>
      </c>
      <c r="J112" s="41">
        <f>J60+J111</f>
        <v>128727.53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5229629.49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2069670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7301294.7000000002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236689.97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9814.7000000000007</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14256.17</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9159.85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v>10107.65</v>
      </c>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246504.67</v>
      </c>
      <c r="G136" s="41">
        <f>SUM(G123:G135)</f>
        <v>19267.5</v>
      </c>
      <c r="H136" s="41">
        <f>SUM(H123:H135)</f>
        <v>14256.17</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7547799.3700000001</v>
      </c>
      <c r="G140" s="41">
        <f>G121+SUM(G136:G137)</f>
        <v>19267.5</v>
      </c>
      <c r="H140" s="41">
        <f>H121+SUM(H136:H139)</f>
        <v>14256.17</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316015.74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117342.35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730942.75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266292.08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22991.37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452688.94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22991.37</v>
      </c>
      <c r="G163" s="41">
        <f>SUM(G150:G162)</f>
        <v>730942.75</v>
      </c>
      <c r="H163" s="41">
        <f>SUM(H150:H162)</f>
        <v>1152339.1099999999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22991.37</v>
      </c>
      <c r="G170" s="41">
        <f>G147+G163+SUM(G164:G169)</f>
        <v>730942.75</v>
      </c>
      <c r="H170" s="41">
        <f>H147+H163+SUM(H164:H169)</f>
        <v>1152339.1099999999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40040</v>
      </c>
      <c r="H180" s="18"/>
      <c r="I180" s="18"/>
      <c r="J180" s="18">
        <v>140000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40040</v>
      </c>
      <c r="H184" s="41">
        <f>SUM(H180:H183)</f>
        <v>0</v>
      </c>
      <c r="I184" s="41">
        <f>SUM(I180:I183)</f>
        <v>0</v>
      </c>
      <c r="J184" s="41">
        <f>SUM(J180:J183)</f>
        <v>140000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45000</v>
      </c>
      <c r="G187" s="18"/>
      <c r="H187" s="18">
        <v>35000</v>
      </c>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45000</v>
      </c>
      <c r="G189" s="41">
        <f>SUM(G186:G188)</f>
        <v>0</v>
      </c>
      <c r="H189" s="41">
        <f>SUM(H186:H188)</f>
        <v>35000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45000</v>
      </c>
      <c r="G193" s="41">
        <f>G184+SUM(G189:G192)</f>
        <v>40040</v>
      </c>
      <c r="H193" s="41">
        <f>+H184+SUM(H189:H192)</f>
        <v>35000</v>
      </c>
      <c r="I193" s="41">
        <f>I178+I184+SUM(I189:I192)</f>
        <v>0</v>
      </c>
      <c r="J193" s="41">
        <f>J184</f>
        <v>140000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23293047.130000003</v>
      </c>
      <c r="G194" s="47">
        <f>G112+G140+G170+G193</f>
        <v>848591.94</v>
      </c>
      <c r="H194" s="47">
        <f>H112+H140+H170+H193</f>
        <v>1418965.5699999998</v>
      </c>
      <c r="I194" s="47">
        <f>I112+I140+I170+I193</f>
        <v>0</v>
      </c>
      <c r="J194" s="47">
        <f>J112+J140+J193</f>
        <v>268727.53000000003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2212858.2999999998</v>
      </c>
      <c r="G198" s="18">
        <v>1250272.6499999999</v>
      </c>
      <c r="H198" s="18">
        <v>2050.65</v>
      </c>
      <c r="I198" s="18">
        <v>66708.679999999993</v>
      </c>
      <c r="J198" s="18">
        <v>3804.37</v>
      </c>
      <c r="K198" s="18"/>
      <c r="L198" s="19">
        <f>SUM(F198:K198)</f>
        <v>3535694.65</v>
      </c>
      <c r="M198" s="8"/>
      <c r="N198" s="265"/>
    </row>
    <row r="199" spans="1:14" s="3" customFormat="1" ht="12.2" customHeight="1" x14ac:dyDescent="0.15">
      <c r="A199" s="1" t="s">
        <v>439</v>
      </c>
      <c r="B199" s="2" t="s">
        <v>341</v>
      </c>
      <c r="C199" s="2" t="s">
        <v>291</v>
      </c>
      <c r="D199" s="2" t="s">
        <v>431</v>
      </c>
      <c r="E199" s="6">
        <v>1200</v>
      </c>
      <c r="F199" s="18">
        <v>808470.81</v>
      </c>
      <c r="G199" s="18">
        <v>355136.01</v>
      </c>
      <c r="H199" s="18">
        <v>320.44</v>
      </c>
      <c r="I199" s="18">
        <v>2922.8</v>
      </c>
      <c r="J199" s="18">
        <v>558.38</v>
      </c>
      <c r="K199" s="18"/>
      <c r="L199" s="19">
        <f>SUM(F199:K199)</f>
        <v>1167408.44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30503.360000000001</v>
      </c>
      <c r="G201" s="18">
        <v>7598.48</v>
      </c>
      <c r="H201" s="18">
        <v>5230</v>
      </c>
      <c r="I201" s="18">
        <v>689.36</v>
      </c>
      <c r="J201" s="18"/>
      <c r="K201" s="18"/>
      <c r="L201" s="19">
        <f>SUM(F201:K201)</f>
        <v>44021.2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691980.49</v>
      </c>
      <c r="G203" s="18">
        <v>377743.17</v>
      </c>
      <c r="H203" s="18">
        <v>358584.68</v>
      </c>
      <c r="I203" s="18">
        <v>14744.2</v>
      </c>
      <c r="J203" s="18">
        <v>449</v>
      </c>
      <c r="K203" s="18">
        <v>345</v>
      </c>
      <c r="L203" s="19">
        <f t="shared" ref="L203:L209" si="0">SUM(F203:K203)</f>
        <v>1443846.5399999998</v>
      </c>
      <c r="M203" s="8"/>
      <c r="N203" s="265"/>
    </row>
    <row r="204" spans="1:14" s="3" customFormat="1" ht="12.2" customHeight="1" x14ac:dyDescent="0.15">
      <c r="A204" s="1" t="s">
        <v>443</v>
      </c>
      <c r="B204" s="2" t="s">
        <v>341</v>
      </c>
      <c r="C204" s="2" t="s">
        <v>295</v>
      </c>
      <c r="D204" s="2" t="s">
        <v>431</v>
      </c>
      <c r="E204" s="6">
        <v>2200</v>
      </c>
      <c r="F204" s="18">
        <v>180964.08</v>
      </c>
      <c r="G204" s="18">
        <v>103328.58</v>
      </c>
      <c r="H204" s="18">
        <v>105921.69</v>
      </c>
      <c r="I204" s="18">
        <v>32897.5</v>
      </c>
      <c r="J204" s="18">
        <v>1534.86</v>
      </c>
      <c r="K204" s="18"/>
      <c r="L204" s="19">
        <f t="shared" si="0"/>
        <v>424646.70999999996</v>
      </c>
      <c r="M204" s="8"/>
      <c r="N204" s="265"/>
    </row>
    <row r="205" spans="1:14" s="3" customFormat="1" ht="12.2" customHeight="1" x14ac:dyDescent="0.15">
      <c r="A205" s="1" t="s">
        <v>444</v>
      </c>
      <c r="B205" s="2" t="s">
        <v>341</v>
      </c>
      <c r="C205" s="2" t="s">
        <v>296</v>
      </c>
      <c r="D205" s="2" t="s">
        <v>431</v>
      </c>
      <c r="E205" s="6">
        <v>2300</v>
      </c>
      <c r="F205" s="18">
        <v>75409.31</v>
      </c>
      <c r="G205" s="18">
        <v>35250.58</v>
      </c>
      <c r="H205" s="18">
        <v>30083.11</v>
      </c>
      <c r="I205" s="18">
        <v>5368.51</v>
      </c>
      <c r="J205" s="18">
        <v>70.290000000000006</v>
      </c>
      <c r="K205" s="18">
        <v>2634.65</v>
      </c>
      <c r="L205" s="19">
        <f t="shared" si="0"/>
        <v>148816.45000000001</v>
      </c>
      <c r="M205" s="8"/>
      <c r="N205" s="265"/>
    </row>
    <row r="206" spans="1:14" s="3" customFormat="1" ht="12.2" customHeight="1" x14ac:dyDescent="0.15">
      <c r="A206" s="1" t="s">
        <v>445</v>
      </c>
      <c r="B206" s="2" t="s">
        <v>341</v>
      </c>
      <c r="C206" s="2" t="s">
        <v>297</v>
      </c>
      <c r="D206" s="2" t="s">
        <v>431</v>
      </c>
      <c r="E206" s="6">
        <v>2400</v>
      </c>
      <c r="F206" s="18">
        <v>341078.66</v>
      </c>
      <c r="G206" s="18">
        <v>194773.87</v>
      </c>
      <c r="H206" s="18">
        <v>20357.66</v>
      </c>
      <c r="I206" s="18">
        <v>3481.38</v>
      </c>
      <c r="J206" s="18">
        <v>199.99</v>
      </c>
      <c r="K206" s="18">
        <v>1790</v>
      </c>
      <c r="L206" s="19">
        <f t="shared" si="0"/>
        <v>561681.56000000006</v>
      </c>
      <c r="M206" s="8"/>
      <c r="N206" s="265"/>
    </row>
    <row r="207" spans="1:14" s="3" customFormat="1" ht="12.2" customHeight="1" x14ac:dyDescent="0.15">
      <c r="A207" s="1" t="s">
        <v>446</v>
      </c>
      <c r="B207" s="2" t="s">
        <v>341</v>
      </c>
      <c r="C207" s="2" t="s">
        <v>298</v>
      </c>
      <c r="D207" s="2" t="s">
        <v>431</v>
      </c>
      <c r="E207" s="6">
        <v>2500</v>
      </c>
      <c r="F207" s="18">
        <v>89085.07</v>
      </c>
      <c r="G207" s="18">
        <v>41581.360000000001</v>
      </c>
      <c r="H207" s="18">
        <v>32974.54</v>
      </c>
      <c r="I207" s="18">
        <v>1205.44</v>
      </c>
      <c r="J207" s="18">
        <v>553.44000000000005</v>
      </c>
      <c r="K207" s="18">
        <v>717.99</v>
      </c>
      <c r="L207" s="19">
        <f t="shared" si="0"/>
        <v>166117.84</v>
      </c>
      <c r="M207" s="8"/>
      <c r="N207" s="265"/>
    </row>
    <row r="208" spans="1:14" s="3" customFormat="1" ht="12.2" customHeight="1" x14ac:dyDescent="0.15">
      <c r="A208" s="1" t="s">
        <v>447</v>
      </c>
      <c r="B208" s="2" t="s">
        <v>341</v>
      </c>
      <c r="C208" s="2" t="s">
        <v>299</v>
      </c>
      <c r="D208" s="2" t="s">
        <v>431</v>
      </c>
      <c r="E208" s="6">
        <v>2600</v>
      </c>
      <c r="F208" s="18">
        <v>217255.87</v>
      </c>
      <c r="G208" s="18">
        <v>98220.92</v>
      </c>
      <c r="H208" s="18">
        <v>226278.34</v>
      </c>
      <c r="I208" s="18">
        <v>144718.60999999999</v>
      </c>
      <c r="J208" s="18">
        <v>21473.63</v>
      </c>
      <c r="K208" s="18"/>
      <c r="L208" s="19">
        <f t="shared" si="0"/>
        <v>707947.37</v>
      </c>
      <c r="M208" s="8"/>
      <c r="N208" s="265"/>
    </row>
    <row r="209" spans="1:14" s="3" customFormat="1" ht="12.2" customHeight="1" x14ac:dyDescent="0.15">
      <c r="A209" s="1" t="s">
        <v>448</v>
      </c>
      <c r="B209" s="2" t="s">
        <v>341</v>
      </c>
      <c r="C209" s="2" t="s">
        <v>300</v>
      </c>
      <c r="D209" s="2" t="s">
        <v>431</v>
      </c>
      <c r="E209" s="6">
        <v>2700</v>
      </c>
      <c r="F209" s="18"/>
      <c r="G209" s="18"/>
      <c r="H209" s="18">
        <v>379634.14</v>
      </c>
      <c r="I209" s="18"/>
      <c r="J209" s="18"/>
      <c r="K209" s="18"/>
      <c r="L209" s="19">
        <f t="shared" si="0"/>
        <v>379634.14</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4647605.95</v>
      </c>
      <c r="G212" s="41">
        <f t="shared" si="1"/>
        <v>2463905.6199999996</v>
      </c>
      <c r="H212" s="41">
        <f t="shared" si="1"/>
        <v>1161435.25</v>
      </c>
      <c r="I212" s="41">
        <f t="shared" si="1"/>
        <v>272736.48</v>
      </c>
      <c r="J212" s="41">
        <f t="shared" si="1"/>
        <v>28643.96</v>
      </c>
      <c r="K212" s="41">
        <f t="shared" si="1"/>
        <v>5487.6399999999994</v>
      </c>
      <c r="L212" s="41">
        <f t="shared" si="1"/>
        <v>8579814.9000000004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1771723.05</v>
      </c>
      <c r="G216" s="18">
        <v>987959.71</v>
      </c>
      <c r="H216" s="18">
        <v>770.4</v>
      </c>
      <c r="I216" s="18">
        <v>48098.68</v>
      </c>
      <c r="J216" s="18">
        <v>1772.84</v>
      </c>
      <c r="K216" s="18"/>
      <c r="L216" s="19">
        <f>SUM(F216:K216)</f>
        <v>2810324.6799999997</v>
      </c>
      <c r="M216" s="8"/>
      <c r="N216" s="265"/>
    </row>
    <row r="217" spans="1:14" s="3" customFormat="1" ht="12.2" customHeight="1" x14ac:dyDescent="0.15">
      <c r="A217" s="1" t="s">
        <v>439</v>
      </c>
      <c r="B217" s="2" t="s">
        <v>346</v>
      </c>
      <c r="C217" s="2" t="s">
        <v>291</v>
      </c>
      <c r="D217" s="2" t="s">
        <v>431</v>
      </c>
      <c r="E217" s="6">
        <v>1200</v>
      </c>
      <c r="F217" s="18">
        <v>641167.17000000004</v>
      </c>
      <c r="G217" s="18">
        <v>386837.51</v>
      </c>
      <c r="H217" s="18">
        <v>216366.09</v>
      </c>
      <c r="I217" s="18">
        <v>2078.6</v>
      </c>
      <c r="J217" s="18">
        <v>263.7</v>
      </c>
      <c r="K217" s="18"/>
      <c r="L217" s="19">
        <f>SUM(F217:K217)</f>
        <v>1246713.07</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92913.27</v>
      </c>
      <c r="G219" s="18">
        <v>32318.75</v>
      </c>
      <c r="H219" s="18">
        <v>10814.5</v>
      </c>
      <c r="I219" s="18">
        <v>11410.7</v>
      </c>
      <c r="J219" s="18"/>
      <c r="K219" s="18">
        <v>2235</v>
      </c>
      <c r="L219" s="19">
        <f>SUM(F219:K219)</f>
        <v>149692.22000000003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354597.07</v>
      </c>
      <c r="G221" s="18">
        <v>214235.17</v>
      </c>
      <c r="H221" s="18">
        <v>196654.86</v>
      </c>
      <c r="I221" s="18">
        <v>11864.45</v>
      </c>
      <c r="J221" s="18">
        <v>2777.5</v>
      </c>
      <c r="K221" s="18">
        <v>893</v>
      </c>
      <c r="L221" s="19">
        <f t="shared" ref="L221:L227" si="2">SUM(F221:K221)</f>
        <v>781022.04999999993</v>
      </c>
      <c r="M221" s="8"/>
      <c r="N221" s="265"/>
    </row>
    <row r="222" spans="1:14" s="3" customFormat="1" ht="12.2" customHeight="1" x14ac:dyDescent="0.15">
      <c r="A222" s="1" t="s">
        <v>443</v>
      </c>
      <c r="B222" s="2" t="s">
        <v>346</v>
      </c>
      <c r="C222" s="2" t="s">
        <v>295</v>
      </c>
      <c r="D222" s="2" t="s">
        <v>431</v>
      </c>
      <c r="E222" s="6">
        <v>2200</v>
      </c>
      <c r="F222" s="18">
        <v>168537.67</v>
      </c>
      <c r="G222" s="18">
        <v>103809.11</v>
      </c>
      <c r="H222" s="18">
        <v>80708.490000000005</v>
      </c>
      <c r="I222" s="18">
        <v>23570.55</v>
      </c>
      <c r="J222" s="18">
        <v>1482.02</v>
      </c>
      <c r="K222" s="18"/>
      <c r="L222" s="19">
        <f t="shared" si="2"/>
        <v>378107.84</v>
      </c>
      <c r="M222" s="8"/>
      <c r="N222" s="265"/>
    </row>
    <row r="223" spans="1:14" s="3" customFormat="1" ht="12.2" customHeight="1" x14ac:dyDescent="0.15">
      <c r="A223" s="1" t="s">
        <v>444</v>
      </c>
      <c r="B223" s="2" t="s">
        <v>346</v>
      </c>
      <c r="C223" s="2" t="s">
        <v>296</v>
      </c>
      <c r="D223" s="2" t="s">
        <v>431</v>
      </c>
      <c r="E223" s="6">
        <v>2300</v>
      </c>
      <c r="F223" s="18">
        <v>61518.12</v>
      </c>
      <c r="G223" s="18">
        <v>28757.040000000001</v>
      </c>
      <c r="H223" s="18">
        <v>24541.48</v>
      </c>
      <c r="I223" s="18">
        <v>4379.57</v>
      </c>
      <c r="J223" s="18">
        <v>57.34</v>
      </c>
      <c r="K223" s="18">
        <v>2149.33</v>
      </c>
      <c r="L223" s="19">
        <f t="shared" si="2"/>
        <v>121402.87999999999</v>
      </c>
      <c r="M223" s="8"/>
      <c r="N223" s="265"/>
    </row>
    <row r="224" spans="1:14" s="3" customFormat="1" ht="12.2" customHeight="1" x14ac:dyDescent="0.15">
      <c r="A224" s="1" t="s">
        <v>445</v>
      </c>
      <c r="B224" s="2" t="s">
        <v>346</v>
      </c>
      <c r="C224" s="2" t="s">
        <v>297</v>
      </c>
      <c r="D224" s="2" t="s">
        <v>431</v>
      </c>
      <c r="E224" s="6">
        <v>2400</v>
      </c>
      <c r="F224" s="18">
        <v>252294.14</v>
      </c>
      <c r="G224" s="18">
        <v>148055.45000000001</v>
      </c>
      <c r="H224" s="18">
        <v>13288.51</v>
      </c>
      <c r="I224" s="18">
        <v>2545.89</v>
      </c>
      <c r="J224" s="18">
        <v>3038.86</v>
      </c>
      <c r="K224" s="18">
        <v>1590</v>
      </c>
      <c r="L224" s="19">
        <f t="shared" si="2"/>
        <v>420812.85000000003</v>
      </c>
      <c r="M224" s="8"/>
      <c r="N224" s="265"/>
    </row>
    <row r="225" spans="1:14" s="3" customFormat="1" ht="12.2" customHeight="1" x14ac:dyDescent="0.15">
      <c r="A225" s="1" t="s">
        <v>446</v>
      </c>
      <c r="B225" s="2" t="s">
        <v>346</v>
      </c>
      <c r="C225" s="2" t="s">
        <v>298</v>
      </c>
      <c r="D225" s="2" t="s">
        <v>431</v>
      </c>
      <c r="E225" s="6">
        <v>2500</v>
      </c>
      <c r="F225" s="18">
        <v>72674.66</v>
      </c>
      <c r="G225" s="18">
        <v>33921.620000000003</v>
      </c>
      <c r="H225" s="18">
        <v>26900.29</v>
      </c>
      <c r="I225" s="18">
        <v>983.38</v>
      </c>
      <c r="J225" s="18">
        <v>451.49</v>
      </c>
      <c r="K225" s="18">
        <v>585.73</v>
      </c>
      <c r="L225" s="19">
        <f t="shared" si="2"/>
        <v>135517.17000000001</v>
      </c>
      <c r="M225" s="8"/>
      <c r="N225" s="265"/>
    </row>
    <row r="226" spans="1:14" s="3" customFormat="1" ht="12.2" customHeight="1" x14ac:dyDescent="0.15">
      <c r="A226" s="1" t="s">
        <v>447</v>
      </c>
      <c r="B226" s="2" t="s">
        <v>346</v>
      </c>
      <c r="C226" s="2" t="s">
        <v>299</v>
      </c>
      <c r="D226" s="2" t="s">
        <v>431</v>
      </c>
      <c r="E226" s="6">
        <v>2600</v>
      </c>
      <c r="F226" s="18">
        <v>130807.63</v>
      </c>
      <c r="G226" s="18">
        <v>62795.54</v>
      </c>
      <c r="H226" s="18">
        <v>236325.67</v>
      </c>
      <c r="I226" s="18">
        <v>133370.53</v>
      </c>
      <c r="J226" s="18">
        <v>14355.06</v>
      </c>
      <c r="K226" s="18"/>
      <c r="L226" s="19">
        <f t="shared" si="2"/>
        <v>577654.43000000005</v>
      </c>
      <c r="M226" s="8"/>
      <c r="N226" s="265"/>
    </row>
    <row r="227" spans="1:14" s="3" customFormat="1" ht="12.2" customHeight="1" x14ac:dyDescent="0.15">
      <c r="A227" s="1" t="s">
        <v>448</v>
      </c>
      <c r="B227" s="2" t="s">
        <v>346</v>
      </c>
      <c r="C227" s="2" t="s">
        <v>300</v>
      </c>
      <c r="D227" s="2" t="s">
        <v>431</v>
      </c>
      <c r="E227" s="6">
        <v>2700</v>
      </c>
      <c r="F227" s="18"/>
      <c r="G227" s="18"/>
      <c r="H227" s="18">
        <v>318697.67</v>
      </c>
      <c r="I227" s="18"/>
      <c r="J227" s="18"/>
      <c r="K227" s="18"/>
      <c r="L227" s="19">
        <f t="shared" si="2"/>
        <v>318697.67</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3546232.7800000003</v>
      </c>
      <c r="G230" s="41">
        <f>SUM(G216:G229)</f>
        <v>1998689.9000000001</v>
      </c>
      <c r="H230" s="41">
        <f>SUM(H216:H229)</f>
        <v>1125067.96</v>
      </c>
      <c r="I230" s="41">
        <f>SUM(I216:I229)</f>
        <v>238302.34999999998</v>
      </c>
      <c r="J230" s="41">
        <f>SUM(J216:J229)</f>
        <v>24198.809999999998</v>
      </c>
      <c r="K230" s="41">
        <f t="shared" si="3"/>
        <v>7453.0599999999995</v>
      </c>
      <c r="L230" s="41">
        <f t="shared" si="3"/>
        <v>6939944.8599999985</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1947560.22</v>
      </c>
      <c r="G234" s="18">
        <v>1110819.45</v>
      </c>
      <c r="H234" s="18">
        <v>1880</v>
      </c>
      <c r="I234" s="18">
        <v>55305.09</v>
      </c>
      <c r="J234" s="18">
        <v>5286.69</v>
      </c>
      <c r="K234" s="18"/>
      <c r="L234" s="19">
        <f>SUM(F234:K234)</f>
        <v>3120851.4499999997</v>
      </c>
      <c r="M234" s="8"/>
      <c r="N234" s="265"/>
    </row>
    <row r="235" spans="1:14" s="3" customFormat="1" ht="12.2" customHeight="1" x14ac:dyDescent="0.15">
      <c r="A235" s="1" t="s">
        <v>439</v>
      </c>
      <c r="B235" s="2" t="s">
        <v>350</v>
      </c>
      <c r="C235" s="2" t="s">
        <v>291</v>
      </c>
      <c r="D235" s="2" t="s">
        <v>431</v>
      </c>
      <c r="E235" s="6">
        <v>1200</v>
      </c>
      <c r="F235" s="18">
        <v>466792.06</v>
      </c>
      <c r="G235" s="18">
        <v>331234.09999999998</v>
      </c>
      <c r="H235" s="18">
        <v>384298.06</v>
      </c>
      <c r="I235" s="18">
        <v>2856.91</v>
      </c>
      <c r="J235" s="18"/>
      <c r="K235" s="18"/>
      <c r="L235" s="19">
        <f>SUM(F235:K235)</f>
        <v>1185181.1299999999</v>
      </c>
      <c r="M235" s="8"/>
      <c r="N235" s="265"/>
    </row>
    <row r="236" spans="1:14" s="3" customFormat="1" ht="12.2" customHeight="1" x14ac:dyDescent="0.15">
      <c r="A236" s="1" t="s">
        <v>440</v>
      </c>
      <c r="B236" s="2" t="s">
        <v>350</v>
      </c>
      <c r="C236" s="2" t="s">
        <v>292</v>
      </c>
      <c r="D236" s="2" t="s">
        <v>431</v>
      </c>
      <c r="E236" s="6">
        <v>1300</v>
      </c>
      <c r="F236" s="18">
        <v>21859.54</v>
      </c>
      <c r="G236" s="18">
        <v>1746</v>
      </c>
      <c r="H236" s="18">
        <v>141722.5</v>
      </c>
      <c r="I236" s="18"/>
      <c r="J236" s="18"/>
      <c r="K236" s="18"/>
      <c r="L236" s="19">
        <f>SUM(F236:K236)</f>
        <v>165328.04</v>
      </c>
      <c r="M236" s="8"/>
      <c r="N236" s="265"/>
    </row>
    <row r="237" spans="1:14" s="3" customFormat="1" ht="12.2" customHeight="1" x14ac:dyDescent="0.15">
      <c r="A237" s="1" t="s">
        <v>441</v>
      </c>
      <c r="B237" s="2" t="s">
        <v>350</v>
      </c>
      <c r="C237" s="2" t="s">
        <v>293</v>
      </c>
      <c r="D237" s="2" t="s">
        <v>431</v>
      </c>
      <c r="E237" s="6">
        <v>1400</v>
      </c>
      <c r="F237" s="18">
        <v>140170.04</v>
      </c>
      <c r="G237" s="18">
        <v>44771.62</v>
      </c>
      <c r="H237" s="18">
        <v>28462.43</v>
      </c>
      <c r="I237" s="18">
        <v>22331.75</v>
      </c>
      <c r="J237" s="18">
        <v>179.99</v>
      </c>
      <c r="K237" s="18">
        <v>21218</v>
      </c>
      <c r="L237" s="19">
        <f>SUM(F237:K237)</f>
        <v>257133.83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384454.78</v>
      </c>
      <c r="G239" s="18">
        <v>208904.71</v>
      </c>
      <c r="H239" s="18">
        <v>61701.47</v>
      </c>
      <c r="I239" s="18">
        <v>14405.72</v>
      </c>
      <c r="J239" s="18">
        <v>99.74</v>
      </c>
      <c r="K239" s="18">
        <v>275</v>
      </c>
      <c r="L239" s="19">
        <f t="shared" ref="L239:L245" si="4">SUM(F239:K239)</f>
        <v>669841.41999999993</v>
      </c>
      <c r="M239" s="8"/>
      <c r="N239" s="265"/>
    </row>
    <row r="240" spans="1:14" s="3" customFormat="1" ht="12.2" customHeight="1" x14ac:dyDescent="0.15">
      <c r="A240" s="1" t="s">
        <v>443</v>
      </c>
      <c r="B240" s="2" t="s">
        <v>350</v>
      </c>
      <c r="C240" s="2" t="s">
        <v>295</v>
      </c>
      <c r="D240" s="2" t="s">
        <v>431</v>
      </c>
      <c r="E240" s="6">
        <v>2200</v>
      </c>
      <c r="F240" s="18">
        <v>146693.79999999999</v>
      </c>
      <c r="G240" s="18">
        <v>88062.15</v>
      </c>
      <c r="H240" s="18">
        <v>83770</v>
      </c>
      <c r="I240" s="18">
        <v>24466.01</v>
      </c>
      <c r="J240" s="18">
        <v>1252.1199999999999</v>
      </c>
      <c r="K240" s="18"/>
      <c r="L240" s="19">
        <f t="shared" si="4"/>
        <v>344244.07999999996</v>
      </c>
      <c r="M240" s="8"/>
      <c r="N240" s="265"/>
    </row>
    <row r="241" spans="1:14" s="3" customFormat="1" ht="12.2" customHeight="1" x14ac:dyDescent="0.15">
      <c r="A241" s="1" t="s">
        <v>444</v>
      </c>
      <c r="B241" s="2" t="s">
        <v>350</v>
      </c>
      <c r="C241" s="2" t="s">
        <v>296</v>
      </c>
      <c r="D241" s="2" t="s">
        <v>431</v>
      </c>
      <c r="E241" s="6">
        <v>2300</v>
      </c>
      <c r="F241" s="18">
        <v>61518.12</v>
      </c>
      <c r="G241" s="18">
        <v>28757.040000000001</v>
      </c>
      <c r="H241" s="18">
        <v>24541.48</v>
      </c>
      <c r="I241" s="18">
        <v>4379.57</v>
      </c>
      <c r="J241" s="18">
        <v>57.34</v>
      </c>
      <c r="K241" s="18">
        <v>2149.33</v>
      </c>
      <c r="L241" s="19">
        <f t="shared" si="4"/>
        <v>121402.87999999999</v>
      </c>
      <c r="M241" s="8"/>
      <c r="N241" s="265"/>
    </row>
    <row r="242" spans="1:14" s="3" customFormat="1" ht="12.2" customHeight="1" x14ac:dyDescent="0.15">
      <c r="A242" s="1" t="s">
        <v>445</v>
      </c>
      <c r="B242" s="2" t="s">
        <v>350</v>
      </c>
      <c r="C242" s="2" t="s">
        <v>297</v>
      </c>
      <c r="D242" s="2" t="s">
        <v>431</v>
      </c>
      <c r="E242" s="6">
        <v>2400</v>
      </c>
      <c r="F242" s="18">
        <v>237341.7</v>
      </c>
      <c r="G242" s="18">
        <v>144963.25</v>
      </c>
      <c r="H242" s="18">
        <v>11055.81</v>
      </c>
      <c r="I242" s="18">
        <v>2454.09</v>
      </c>
      <c r="J242" s="18"/>
      <c r="K242" s="18">
        <v>15047.1</v>
      </c>
      <c r="L242" s="19">
        <f t="shared" si="4"/>
        <v>410861.95</v>
      </c>
      <c r="M242" s="8"/>
      <c r="N242" s="265"/>
    </row>
    <row r="243" spans="1:14" s="3" customFormat="1" ht="12.2" customHeight="1" x14ac:dyDescent="0.15">
      <c r="A243" s="1" t="s">
        <v>446</v>
      </c>
      <c r="B243" s="2" t="s">
        <v>350</v>
      </c>
      <c r="C243" s="2" t="s">
        <v>298</v>
      </c>
      <c r="D243" s="2" t="s">
        <v>431</v>
      </c>
      <c r="E243" s="6">
        <v>2500</v>
      </c>
      <c r="F243" s="18">
        <v>72674.66</v>
      </c>
      <c r="G243" s="18">
        <v>33921.620000000003</v>
      </c>
      <c r="H243" s="18">
        <v>26900.29</v>
      </c>
      <c r="I243" s="18">
        <v>983.38</v>
      </c>
      <c r="J243" s="18">
        <v>451.49</v>
      </c>
      <c r="K243" s="18">
        <v>585.73</v>
      </c>
      <c r="L243" s="19">
        <f t="shared" si="4"/>
        <v>135517.17000000001</v>
      </c>
      <c r="M243" s="8"/>
      <c r="N243" s="265"/>
    </row>
    <row r="244" spans="1:14" s="3" customFormat="1" ht="12.2" customHeight="1" x14ac:dyDescent="0.15">
      <c r="A244" s="1" t="s">
        <v>447</v>
      </c>
      <c r="B244" s="2" t="s">
        <v>350</v>
      </c>
      <c r="C244" s="2" t="s">
        <v>299</v>
      </c>
      <c r="D244" s="2" t="s">
        <v>431</v>
      </c>
      <c r="E244" s="6">
        <v>2600</v>
      </c>
      <c r="F244" s="18">
        <v>123529.63</v>
      </c>
      <c r="G244" s="18">
        <v>52782.39</v>
      </c>
      <c r="H244" s="18">
        <v>228189.02</v>
      </c>
      <c r="I244" s="18">
        <v>117388.66</v>
      </c>
      <c r="J244" s="18">
        <v>14355.06</v>
      </c>
      <c r="K244" s="18"/>
      <c r="L244" s="19">
        <f t="shared" si="4"/>
        <v>536244.76000000013</v>
      </c>
      <c r="M244" s="8"/>
      <c r="N244" s="265"/>
    </row>
    <row r="245" spans="1:14" s="3" customFormat="1" ht="12.2" customHeight="1" x14ac:dyDescent="0.15">
      <c r="A245" s="1" t="s">
        <v>448</v>
      </c>
      <c r="B245" s="2" t="s">
        <v>350</v>
      </c>
      <c r="C245" s="2" t="s">
        <v>300</v>
      </c>
      <c r="D245" s="2" t="s">
        <v>431</v>
      </c>
      <c r="E245" s="6">
        <v>2700</v>
      </c>
      <c r="F245" s="18"/>
      <c r="G245" s="18"/>
      <c r="H245" s="18">
        <v>396334.67</v>
      </c>
      <c r="I245" s="18">
        <v>3732.9</v>
      </c>
      <c r="J245" s="18"/>
      <c r="K245" s="18"/>
      <c r="L245" s="19">
        <f t="shared" si="4"/>
        <v>400067.57</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3602594.55</v>
      </c>
      <c r="G248" s="41">
        <f t="shared" si="5"/>
        <v>2045962.3299999998</v>
      </c>
      <c r="H248" s="41">
        <f t="shared" si="5"/>
        <v>1388855.7300000002</v>
      </c>
      <c r="I248" s="41">
        <f t="shared" si="5"/>
        <v>248304.08</v>
      </c>
      <c r="J248" s="41">
        <f t="shared" si="5"/>
        <v>21682.43</v>
      </c>
      <c r="K248" s="41">
        <f t="shared" si="5"/>
        <v>39275.160000000003</v>
      </c>
      <c r="L248" s="41">
        <f t="shared" si="5"/>
        <v>7346674.2800000003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v>2538.75</v>
      </c>
      <c r="G254" s="18">
        <v>388.43</v>
      </c>
      <c r="H254" s="18"/>
      <c r="I254" s="18"/>
      <c r="J254" s="18"/>
      <c r="K254" s="18"/>
      <c r="L254" s="19">
        <f t="shared" si="6"/>
        <v>2927.18</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560999.93999999994</v>
      </c>
      <c r="I256" s="18"/>
      <c r="J256" s="18"/>
      <c r="K256" s="18"/>
      <c r="L256" s="19">
        <f t="shared" si="6"/>
        <v>560999.93999999994</v>
      </c>
      <c r="M256" s="8"/>
      <c r="N256" s="265"/>
    </row>
    <row r="257" spans="1:14" s="3" customFormat="1" ht="12.2" customHeight="1" thickTop="1" thickBot="1" x14ac:dyDescent="0.2">
      <c r="A257" s="38" t="s">
        <v>461</v>
      </c>
      <c r="B257" s="40">
        <v>10</v>
      </c>
      <c r="C257" s="40">
        <v>7</v>
      </c>
      <c r="D257" s="39" t="s">
        <v>431</v>
      </c>
      <c r="E257" s="40"/>
      <c r="F257" s="41">
        <f t="shared" ref="F257:K257" si="7">SUM(F251:F256)</f>
        <v>2538.75</v>
      </c>
      <c r="G257" s="41">
        <f t="shared" si="7"/>
        <v>388.43</v>
      </c>
      <c r="H257" s="41">
        <f t="shared" si="7"/>
        <v>560999.93999999994</v>
      </c>
      <c r="I257" s="41">
        <f t="shared" si="7"/>
        <v>0</v>
      </c>
      <c r="J257" s="41">
        <f t="shared" si="7"/>
        <v>0</v>
      </c>
      <c r="K257" s="41">
        <f t="shared" si="7"/>
        <v>0</v>
      </c>
      <c r="L257" s="41">
        <f>SUM(F257:K257)</f>
        <v>563927.12</v>
      </c>
      <c r="M257" s="8"/>
      <c r="N257" s="265"/>
    </row>
    <row r="258" spans="1:14" s="3" customFormat="1" ht="12.2" customHeight="1" thickTop="1" x14ac:dyDescent="0.15">
      <c r="A258" s="38" t="s">
        <v>462</v>
      </c>
      <c r="B258" s="40">
        <v>10</v>
      </c>
      <c r="C258" s="40">
        <v>8</v>
      </c>
      <c r="D258" s="39" t="s">
        <v>431</v>
      </c>
      <c r="E258" s="40"/>
      <c r="F258" s="41">
        <f t="shared" ref="F258:L258" si="8">F212+F230+F248+F257</f>
        <v>11798972.030000001</v>
      </c>
      <c r="G258" s="41">
        <f t="shared" si="8"/>
        <v>6508946.2799999993</v>
      </c>
      <c r="H258" s="41">
        <f t="shared" si="8"/>
        <v>4236358.8800000008</v>
      </c>
      <c r="I258" s="41">
        <f t="shared" si="8"/>
        <v>759342.90999999992</v>
      </c>
      <c r="J258" s="41">
        <f t="shared" si="8"/>
        <v>74525.2</v>
      </c>
      <c r="K258" s="41">
        <f t="shared" si="8"/>
        <v>52215.86</v>
      </c>
      <c r="L258" s="41">
        <f t="shared" si="8"/>
        <v>23430361.16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40040</v>
      </c>
      <c r="L264" s="19">
        <f>SUM(F264:K264)</f>
        <v>40040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140000</v>
      </c>
      <c r="L267" s="19">
        <f t="shared" si="9"/>
        <v>140000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180040</v>
      </c>
      <c r="L271" s="41">
        <f t="shared" si="9"/>
        <v>180040</v>
      </c>
      <c r="M271" s="8"/>
      <c r="N271" s="265"/>
    </row>
    <row r="272" spans="1:14" s="34" customFormat="1" ht="12.2" customHeight="1" thickTop="1" x14ac:dyDescent="0.2">
      <c r="A272" s="43" t="s">
        <v>464</v>
      </c>
      <c r="B272" s="40">
        <v>10</v>
      </c>
      <c r="C272" s="40">
        <v>18</v>
      </c>
      <c r="D272" s="39" t="s">
        <v>431</v>
      </c>
      <c r="E272" s="40"/>
      <c r="F272" s="42">
        <f t="shared" ref="F272:L272" si="11">F258+F271</f>
        <v>11798972.030000001</v>
      </c>
      <c r="G272" s="42">
        <f t="shared" si="11"/>
        <v>6508946.2799999993</v>
      </c>
      <c r="H272" s="42">
        <f t="shared" si="11"/>
        <v>4236358.8800000008</v>
      </c>
      <c r="I272" s="42">
        <f t="shared" si="11"/>
        <v>759342.90999999992</v>
      </c>
      <c r="J272" s="42">
        <f t="shared" si="11"/>
        <v>74525.2</v>
      </c>
      <c r="K272" s="42">
        <f t="shared" si="11"/>
        <v>232255.86</v>
      </c>
      <c r="L272" s="42">
        <f t="shared" si="11"/>
        <v>23610401.16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123812.81</v>
      </c>
      <c r="G277" s="18">
        <v>42670.6</v>
      </c>
      <c r="H277" s="18">
        <v>2252</v>
      </c>
      <c r="I277" s="18">
        <v>4505.92</v>
      </c>
      <c r="J277" s="18"/>
      <c r="K277" s="18"/>
      <c r="L277" s="19">
        <f>SUM(F277:K277)</f>
        <v>173241.33000000002</v>
      </c>
      <c r="M277" s="8"/>
      <c r="N277" s="265"/>
    </row>
    <row r="278" spans="1:14" s="3" customFormat="1" ht="12.2" customHeight="1" x14ac:dyDescent="0.15">
      <c r="A278" s="1" t="s">
        <v>439</v>
      </c>
      <c r="B278" s="2" t="s">
        <v>357</v>
      </c>
      <c r="C278" s="2" t="s">
        <v>291</v>
      </c>
      <c r="D278" s="2" t="s">
        <v>431</v>
      </c>
      <c r="E278" s="6">
        <v>1200</v>
      </c>
      <c r="F278" s="18">
        <v>80867.81</v>
      </c>
      <c r="G278" s="18">
        <v>52851.19</v>
      </c>
      <c r="H278" s="18">
        <v>2818.36</v>
      </c>
      <c r="I278" s="18">
        <v>22280.799999999999</v>
      </c>
      <c r="J278" s="18">
        <v>3877.87</v>
      </c>
      <c r="K278" s="18">
        <v>8714.7900000000009</v>
      </c>
      <c r="L278" s="19">
        <f>SUM(F278:K278)</f>
        <v>171410.81999999998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27919.8</v>
      </c>
      <c r="G280" s="18">
        <v>7614.15</v>
      </c>
      <c r="H280" s="18">
        <v>2615</v>
      </c>
      <c r="I280" s="18">
        <v>254.72</v>
      </c>
      <c r="J280" s="18"/>
      <c r="K280" s="18"/>
      <c r="L280" s="19">
        <f>SUM(F280:K280)</f>
        <v>38403.67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19501.68</v>
      </c>
      <c r="G282" s="18">
        <v>8419.7199999999993</v>
      </c>
      <c r="H282" s="18">
        <v>427.5</v>
      </c>
      <c r="I282" s="18"/>
      <c r="J282" s="18"/>
      <c r="K282" s="18"/>
      <c r="L282" s="19">
        <f t="shared" ref="L282:L288" si="12">SUM(F282:K282)</f>
        <v>28348.9</v>
      </c>
      <c r="M282" s="8"/>
      <c r="N282" s="265"/>
    </row>
    <row r="283" spans="1:14" s="3" customFormat="1" ht="12.2" customHeight="1" x14ac:dyDescent="0.15">
      <c r="A283" s="1" t="s">
        <v>443</v>
      </c>
      <c r="B283" s="2" t="s">
        <v>357</v>
      </c>
      <c r="C283" s="2" t="s">
        <v>295</v>
      </c>
      <c r="D283" s="2" t="s">
        <v>431</v>
      </c>
      <c r="E283" s="6">
        <v>2200</v>
      </c>
      <c r="F283" s="18">
        <v>15916.32</v>
      </c>
      <c r="G283" s="18">
        <v>4522.95</v>
      </c>
      <c r="H283" s="18">
        <v>35164.129999999997</v>
      </c>
      <c r="I283" s="18">
        <v>1056.32</v>
      </c>
      <c r="J283" s="18">
        <v>70520.55</v>
      </c>
      <c r="K283" s="18">
        <v>2592.06</v>
      </c>
      <c r="L283" s="19">
        <f t="shared" si="12"/>
        <v>129772.32999999999</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v>8625.24</v>
      </c>
      <c r="J286" s="18"/>
      <c r="K286" s="18"/>
      <c r="L286" s="19">
        <f t="shared" si="12"/>
        <v>8625.24</v>
      </c>
      <c r="M286" s="8"/>
      <c r="N286" s="265"/>
    </row>
    <row r="287" spans="1:14" s="3" customFormat="1" ht="12.2" customHeight="1" x14ac:dyDescent="0.15">
      <c r="A287" s="1" t="s">
        <v>447</v>
      </c>
      <c r="B287" s="2" t="s">
        <v>357</v>
      </c>
      <c r="C287" s="2" t="s">
        <v>299</v>
      </c>
      <c r="D287" s="2" t="s">
        <v>431</v>
      </c>
      <c r="E287" s="6">
        <v>2600</v>
      </c>
      <c r="F287" s="18"/>
      <c r="G287" s="18"/>
      <c r="H287" s="18">
        <v>6356.86</v>
      </c>
      <c r="I287" s="18">
        <v>1986.1</v>
      </c>
      <c r="J287" s="18"/>
      <c r="K287" s="18"/>
      <c r="L287" s="19">
        <f t="shared" si="12"/>
        <v>8342.9599999999991</v>
      </c>
      <c r="M287" s="8"/>
      <c r="N287" s="265"/>
    </row>
    <row r="288" spans="1:14" s="3" customFormat="1" ht="12.2" customHeight="1" x14ac:dyDescent="0.15">
      <c r="A288" s="1" t="s">
        <v>448</v>
      </c>
      <c r="B288" s="2" t="s">
        <v>357</v>
      </c>
      <c r="C288" s="2" t="s">
        <v>300</v>
      </c>
      <c r="D288" s="2" t="s">
        <v>431</v>
      </c>
      <c r="E288" s="6">
        <v>2700</v>
      </c>
      <c r="F288" s="18"/>
      <c r="G288" s="18"/>
      <c r="H288" s="18">
        <v>32707.61</v>
      </c>
      <c r="I288" s="18"/>
      <c r="J288" s="18"/>
      <c r="K288" s="18"/>
      <c r="L288" s="19">
        <f t="shared" si="12"/>
        <v>32707.61</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268018.42</v>
      </c>
      <c r="G291" s="42">
        <f t="shared" si="13"/>
        <v>116078.61</v>
      </c>
      <c r="H291" s="42">
        <f t="shared" si="13"/>
        <v>82341.459999999992</v>
      </c>
      <c r="I291" s="42">
        <f t="shared" si="13"/>
        <v>38709.1</v>
      </c>
      <c r="J291" s="42">
        <f t="shared" si="13"/>
        <v>74398.42</v>
      </c>
      <c r="K291" s="42">
        <f t="shared" si="13"/>
        <v>11306.85</v>
      </c>
      <c r="L291" s="41">
        <f t="shared" si="13"/>
        <v>590852.86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88123.78</v>
      </c>
      <c r="G296" s="18">
        <v>29771.91</v>
      </c>
      <c r="H296" s="18"/>
      <c r="I296" s="18">
        <v>4477.55</v>
      </c>
      <c r="J296" s="18">
        <v>8144.01</v>
      </c>
      <c r="K296" s="18"/>
      <c r="L296" s="19">
        <f>SUM(F296:K296)</f>
        <v>130517.25</v>
      </c>
      <c r="M296" s="8"/>
      <c r="N296" s="265"/>
    </row>
    <row r="297" spans="1:14" s="3" customFormat="1" ht="12.2" customHeight="1" x14ac:dyDescent="0.15">
      <c r="A297" s="1" t="s">
        <v>439</v>
      </c>
      <c r="B297" s="2" t="s">
        <v>358</v>
      </c>
      <c r="C297" s="2" t="s">
        <v>291</v>
      </c>
      <c r="D297" s="2" t="s">
        <v>431</v>
      </c>
      <c r="E297" s="6">
        <v>1200</v>
      </c>
      <c r="F297" s="18">
        <v>17750.740000000002</v>
      </c>
      <c r="G297" s="18">
        <v>6835.29</v>
      </c>
      <c r="H297" s="18">
        <v>2080.21</v>
      </c>
      <c r="I297" s="18">
        <v>16131.68</v>
      </c>
      <c r="J297" s="18">
        <v>1822.46</v>
      </c>
      <c r="K297" s="18">
        <v>6432.34</v>
      </c>
      <c r="L297" s="19">
        <f>SUM(F297:K297)</f>
        <v>51052.72</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5262.1</v>
      </c>
      <c r="G299" s="18">
        <v>1439.17</v>
      </c>
      <c r="H299" s="18">
        <v>272.39999999999998</v>
      </c>
      <c r="I299" s="18">
        <v>747.58</v>
      </c>
      <c r="J299" s="18">
        <v>1808.18</v>
      </c>
      <c r="K299" s="18">
        <v>1700</v>
      </c>
      <c r="L299" s="19">
        <f>SUM(F299:K299)</f>
        <v>11229.43</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15909.27</v>
      </c>
      <c r="G301" s="18">
        <v>6868.72</v>
      </c>
      <c r="H301" s="18">
        <v>348.75</v>
      </c>
      <c r="I301" s="18"/>
      <c r="J301" s="18"/>
      <c r="K301" s="18"/>
      <c r="L301" s="19">
        <f t="shared" ref="L301:L307" si="14">SUM(F301:K301)</f>
        <v>23126.74</v>
      </c>
      <c r="M301" s="8"/>
      <c r="N301" s="265"/>
    </row>
    <row r="302" spans="1:14" s="3" customFormat="1" ht="12.2" customHeight="1" x14ac:dyDescent="0.15">
      <c r="A302" s="1" t="s">
        <v>443</v>
      </c>
      <c r="B302" s="2" t="s">
        <v>358</v>
      </c>
      <c r="C302" s="2" t="s">
        <v>295</v>
      </c>
      <c r="D302" s="2" t="s">
        <v>431</v>
      </c>
      <c r="E302" s="6">
        <v>2200</v>
      </c>
      <c r="F302" s="18">
        <v>12153.84</v>
      </c>
      <c r="G302" s="18">
        <v>3447.32</v>
      </c>
      <c r="H302" s="18">
        <v>28040.04</v>
      </c>
      <c r="I302" s="18">
        <v>294.01</v>
      </c>
      <c r="J302" s="18">
        <v>57529.919999999998</v>
      </c>
      <c r="K302" s="18">
        <v>2114.58</v>
      </c>
      <c r="L302" s="19">
        <f t="shared" si="14"/>
        <v>103579.71</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v>7036.38</v>
      </c>
      <c r="J305" s="18"/>
      <c r="K305" s="18"/>
      <c r="L305" s="19">
        <f t="shared" si="14"/>
        <v>7036.38</v>
      </c>
      <c r="M305" s="8"/>
      <c r="N305" s="265"/>
    </row>
    <row r="306" spans="1:14" s="3" customFormat="1" ht="12.2" customHeight="1" x14ac:dyDescent="0.15">
      <c r="A306" s="1" t="s">
        <v>447</v>
      </c>
      <c r="B306" s="2" t="s">
        <v>358</v>
      </c>
      <c r="C306" s="2" t="s">
        <v>299</v>
      </c>
      <c r="D306" s="2" t="s">
        <v>431</v>
      </c>
      <c r="E306" s="6">
        <v>2600</v>
      </c>
      <c r="F306" s="18"/>
      <c r="G306" s="18"/>
      <c r="H306" s="18">
        <v>5185.87</v>
      </c>
      <c r="I306" s="18">
        <v>1620.24</v>
      </c>
      <c r="J306" s="18"/>
      <c r="K306" s="18"/>
      <c r="L306" s="19">
        <f t="shared" si="14"/>
        <v>6806.11</v>
      </c>
      <c r="M306" s="8"/>
      <c r="N306" s="265"/>
    </row>
    <row r="307" spans="1:14" s="3" customFormat="1" ht="12.2" customHeight="1" x14ac:dyDescent="0.15">
      <c r="A307" s="1" t="s">
        <v>448</v>
      </c>
      <c r="B307" s="2" t="s">
        <v>358</v>
      </c>
      <c r="C307" s="2" t="s">
        <v>300</v>
      </c>
      <c r="D307" s="2" t="s">
        <v>431</v>
      </c>
      <c r="E307" s="6">
        <v>2700</v>
      </c>
      <c r="F307" s="18"/>
      <c r="G307" s="18"/>
      <c r="H307" s="18">
        <v>12570.28</v>
      </c>
      <c r="I307" s="18"/>
      <c r="J307" s="18"/>
      <c r="K307" s="18"/>
      <c r="L307" s="19">
        <f t="shared" si="14"/>
        <v>12570.28</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139199.73000000001</v>
      </c>
      <c r="G310" s="42">
        <f t="shared" si="15"/>
        <v>48362.409999999996</v>
      </c>
      <c r="H310" s="42">
        <f t="shared" si="15"/>
        <v>48497.55</v>
      </c>
      <c r="I310" s="42">
        <f t="shared" si="15"/>
        <v>30307.440000000002</v>
      </c>
      <c r="J310" s="42">
        <f t="shared" si="15"/>
        <v>69304.570000000007</v>
      </c>
      <c r="K310" s="42">
        <f t="shared" si="15"/>
        <v>10246.92</v>
      </c>
      <c r="L310" s="41">
        <f t="shared" si="15"/>
        <v>345918.62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17815.63</v>
      </c>
      <c r="G315" s="18">
        <v>5077.46</v>
      </c>
      <c r="H315" s="18"/>
      <c r="I315" s="18">
        <v>840</v>
      </c>
      <c r="J315" s="18">
        <v>10000</v>
      </c>
      <c r="K315" s="18"/>
      <c r="L315" s="19">
        <f>SUM(F315:K315)</f>
        <v>33733.089999999997</v>
      </c>
      <c r="M315" s="8"/>
      <c r="N315" s="265"/>
    </row>
    <row r="316" spans="1:14" s="3" customFormat="1" ht="12.2" customHeight="1" x14ac:dyDescent="0.15">
      <c r="A316" s="1" t="s">
        <v>439</v>
      </c>
      <c r="B316" s="2" t="s">
        <v>359</v>
      </c>
      <c r="C316" s="2" t="s">
        <v>291</v>
      </c>
      <c r="D316" s="2" t="s">
        <v>431</v>
      </c>
      <c r="E316" s="6">
        <v>1200</v>
      </c>
      <c r="F316" s="18">
        <v>15460.31</v>
      </c>
      <c r="G316" s="18">
        <v>5953.32</v>
      </c>
      <c r="H316" s="18">
        <v>6811.8</v>
      </c>
      <c r="I316" s="18">
        <v>14050.15</v>
      </c>
      <c r="J316" s="18">
        <v>1613.85</v>
      </c>
      <c r="K316" s="18">
        <v>5602.36</v>
      </c>
      <c r="L316" s="19">
        <f>SUM(F316:K316)</f>
        <v>49491.789999999994</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9664.1</v>
      </c>
      <c r="G318" s="18">
        <v>1650.3</v>
      </c>
      <c r="H318" s="18">
        <v>19932.45</v>
      </c>
      <c r="I318" s="18"/>
      <c r="J318" s="18">
        <v>4000</v>
      </c>
      <c r="K318" s="18">
        <v>1325</v>
      </c>
      <c r="L318" s="19">
        <f>SUM(F318:K318)</f>
        <v>36571.85</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15909.26</v>
      </c>
      <c r="G320" s="18">
        <v>6868.71</v>
      </c>
      <c r="H320" s="18">
        <v>348.75</v>
      </c>
      <c r="I320" s="18"/>
      <c r="J320" s="18"/>
      <c r="K320" s="18"/>
      <c r="L320" s="19">
        <f t="shared" ref="L320:L326" si="16">SUM(F320:K320)</f>
        <v>23126.720000000001</v>
      </c>
      <c r="M320" s="8"/>
      <c r="N320" s="265"/>
    </row>
    <row r="321" spans="1:14" s="3" customFormat="1" ht="12.2" customHeight="1" x14ac:dyDescent="0.15">
      <c r="A321" s="1" t="s">
        <v>443</v>
      </c>
      <c r="B321" s="2" t="s">
        <v>359</v>
      </c>
      <c r="C321" s="2" t="s">
        <v>295</v>
      </c>
      <c r="D321" s="2" t="s">
        <v>431</v>
      </c>
      <c r="E321" s="6">
        <v>2200</v>
      </c>
      <c r="F321" s="18">
        <v>11843.84</v>
      </c>
      <c r="G321" s="18">
        <v>3432.49</v>
      </c>
      <c r="H321" s="18">
        <v>8971.2900000000009</v>
      </c>
      <c r="I321" s="18">
        <v>294.01</v>
      </c>
      <c r="J321" s="18">
        <v>57529.919999999998</v>
      </c>
      <c r="K321" s="18">
        <v>2114.58</v>
      </c>
      <c r="L321" s="19">
        <f t="shared" si="16"/>
        <v>84186.13</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v>7036.38</v>
      </c>
      <c r="J324" s="18"/>
      <c r="K324" s="18"/>
      <c r="L324" s="19">
        <f t="shared" si="16"/>
        <v>7036.38</v>
      </c>
      <c r="M324" s="8"/>
      <c r="N324" s="265"/>
    </row>
    <row r="325" spans="1:14" s="3" customFormat="1" ht="12.2" customHeight="1" x14ac:dyDescent="0.15">
      <c r="A325" s="1" t="s">
        <v>447</v>
      </c>
      <c r="B325" s="2" t="s">
        <v>359</v>
      </c>
      <c r="C325" s="2" t="s">
        <v>299</v>
      </c>
      <c r="D325" s="2" t="s">
        <v>431</v>
      </c>
      <c r="E325" s="6">
        <v>2600</v>
      </c>
      <c r="F325" s="18"/>
      <c r="G325" s="18"/>
      <c r="H325" s="18">
        <v>5185.87</v>
      </c>
      <c r="I325" s="18">
        <v>1620.25</v>
      </c>
      <c r="J325" s="18"/>
      <c r="K325" s="18"/>
      <c r="L325" s="19">
        <f t="shared" si="16"/>
        <v>6806.12</v>
      </c>
      <c r="M325" s="8"/>
      <c r="N325" s="265"/>
    </row>
    <row r="326" spans="1:14" s="3" customFormat="1" ht="12.2" customHeight="1" x14ac:dyDescent="0.15">
      <c r="A326" s="1" t="s">
        <v>448</v>
      </c>
      <c r="B326" s="2" t="s">
        <v>359</v>
      </c>
      <c r="C326" s="2" t="s">
        <v>300</v>
      </c>
      <c r="D326" s="2" t="s">
        <v>431</v>
      </c>
      <c r="E326" s="6">
        <v>2700</v>
      </c>
      <c r="F326" s="18"/>
      <c r="G326" s="18"/>
      <c r="H326" s="18">
        <v>15329.57</v>
      </c>
      <c r="I326" s="18"/>
      <c r="J326" s="18"/>
      <c r="K326" s="18"/>
      <c r="L326" s="19">
        <f t="shared" si="16"/>
        <v>15329.57</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70693.14</v>
      </c>
      <c r="G329" s="42">
        <f t="shared" si="17"/>
        <v>22982.28</v>
      </c>
      <c r="H329" s="42">
        <f t="shared" si="17"/>
        <v>56579.73</v>
      </c>
      <c r="I329" s="42">
        <f t="shared" si="17"/>
        <v>23840.79</v>
      </c>
      <c r="J329" s="42">
        <f t="shared" si="17"/>
        <v>73143.77</v>
      </c>
      <c r="K329" s="42">
        <f t="shared" si="17"/>
        <v>9041.9399999999987</v>
      </c>
      <c r="L329" s="41">
        <f t="shared" si="17"/>
        <v>256281.65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f>93434.44+132478</f>
        <v>225912.44</v>
      </c>
      <c r="I337" s="18"/>
      <c r="J337" s="18"/>
      <c r="K337" s="18"/>
      <c r="L337" s="19">
        <f t="shared" si="18"/>
        <v>225912.44</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225912.44</v>
      </c>
      <c r="I338" s="41">
        <f t="shared" si="19"/>
        <v>0</v>
      </c>
      <c r="J338" s="41">
        <f t="shared" si="19"/>
        <v>0</v>
      </c>
      <c r="K338" s="41">
        <f t="shared" si="19"/>
        <v>0</v>
      </c>
      <c r="L338" s="41">
        <f t="shared" si="18"/>
        <v>225912.44</v>
      </c>
      <c r="M338" s="8"/>
      <c r="N338" s="265"/>
    </row>
    <row r="339" spans="1:43" s="3" customFormat="1" ht="12.2" customHeight="1" thickTop="1" x14ac:dyDescent="0.15">
      <c r="A339" s="38" t="s">
        <v>468</v>
      </c>
      <c r="B339" s="40">
        <v>14</v>
      </c>
      <c r="C339" s="40">
        <v>7</v>
      </c>
      <c r="D339" s="39" t="s">
        <v>431</v>
      </c>
      <c r="E339" s="40"/>
      <c r="F339" s="41">
        <f t="shared" ref="F339:L339" si="20">F291+F310+F329+F338</f>
        <v>477911.29000000004</v>
      </c>
      <c r="G339" s="41">
        <f t="shared" si="20"/>
        <v>187423.3</v>
      </c>
      <c r="H339" s="41">
        <f t="shared" si="20"/>
        <v>413331.18</v>
      </c>
      <c r="I339" s="41">
        <f t="shared" si="20"/>
        <v>92857.330000000016</v>
      </c>
      <c r="J339" s="41">
        <f t="shared" si="20"/>
        <v>216846.76</v>
      </c>
      <c r="K339" s="41">
        <f t="shared" si="20"/>
        <v>30595.71</v>
      </c>
      <c r="L339" s="41">
        <f t="shared" si="20"/>
        <v>1418965.5699999998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477911.29000000004</v>
      </c>
      <c r="G353" s="41">
        <f>G339</f>
        <v>187423.3</v>
      </c>
      <c r="H353" s="41">
        <f>H339</f>
        <v>413331.18</v>
      </c>
      <c r="I353" s="41">
        <f>I339</f>
        <v>92857.330000000016</v>
      </c>
      <c r="J353" s="41">
        <f>J339</f>
        <v>216846.76</v>
      </c>
      <c r="K353" s="47">
        <f>K339+K352</f>
        <v>30595.71</v>
      </c>
      <c r="L353" s="41">
        <f>L339+L352</f>
        <v>1418965.5699999998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114248.99</v>
      </c>
      <c r="G359" s="18">
        <v>39411.35</v>
      </c>
      <c r="H359" s="18">
        <v>5054.0600000000004</v>
      </c>
      <c r="I359" s="18">
        <v>135554.1</v>
      </c>
      <c r="J359" s="18">
        <v>24066</v>
      </c>
      <c r="K359" s="18">
        <v>442</v>
      </c>
      <c r="L359" s="13">
        <f>SUM(F359:K359)</f>
        <v>318776.5</v>
      </c>
      <c r="M359" s="8"/>
      <c r="N359" s="265"/>
    </row>
    <row r="360" spans="1:22" s="3" customFormat="1" ht="12.2" customHeight="1" x14ac:dyDescent="0.15">
      <c r="A360" s="1" t="s">
        <v>542</v>
      </c>
      <c r="B360" s="2" t="s">
        <v>366</v>
      </c>
      <c r="C360" s="6">
        <v>2</v>
      </c>
      <c r="D360" s="2" t="s">
        <v>431</v>
      </c>
      <c r="E360" s="6"/>
      <c r="F360" s="18">
        <v>72395.89</v>
      </c>
      <c r="G360" s="18">
        <v>26816.59</v>
      </c>
      <c r="H360" s="18">
        <v>3441.88</v>
      </c>
      <c r="I360" s="18">
        <v>74367.839999999997</v>
      </c>
      <c r="J360" s="18"/>
      <c r="K360" s="18">
        <v>221</v>
      </c>
      <c r="L360" s="19">
        <f>SUM(F360:K360)</f>
        <v>177243.2</v>
      </c>
      <c r="M360" s="8"/>
      <c r="N360" s="265"/>
    </row>
    <row r="361" spans="1:22" s="3" customFormat="1" ht="12.2" customHeight="1" x14ac:dyDescent="0.15">
      <c r="A361" s="3" t="s">
        <v>543</v>
      </c>
      <c r="B361" s="2" t="s">
        <v>366</v>
      </c>
      <c r="C361" s="6">
        <v>3</v>
      </c>
      <c r="D361" s="2" t="s">
        <v>431</v>
      </c>
      <c r="E361" s="6"/>
      <c r="F361" s="18">
        <v>73529.320000000007</v>
      </c>
      <c r="G361" s="18">
        <v>36554.019999999997</v>
      </c>
      <c r="H361" s="18">
        <v>12043.59</v>
      </c>
      <c r="I361" s="18">
        <v>81756.33</v>
      </c>
      <c r="J361" s="18"/>
      <c r="K361" s="18">
        <v>221</v>
      </c>
      <c r="L361" s="19">
        <f>SUM(F361:K361)</f>
        <v>204104.26</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260174.2</v>
      </c>
      <c r="G363" s="47">
        <f t="shared" si="22"/>
        <v>102781.95999999999</v>
      </c>
      <c r="H363" s="47">
        <f t="shared" si="22"/>
        <v>20539.53</v>
      </c>
      <c r="I363" s="47">
        <f t="shared" si="22"/>
        <v>291678.27</v>
      </c>
      <c r="J363" s="47">
        <f t="shared" si="22"/>
        <v>24066</v>
      </c>
      <c r="K363" s="47">
        <f t="shared" si="22"/>
        <v>884</v>
      </c>
      <c r="L363" s="47">
        <f t="shared" si="22"/>
        <v>700123.96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125417.44</v>
      </c>
      <c r="G368" s="18">
        <v>70238.850000000006</v>
      </c>
      <c r="H368" s="18">
        <v>70561.2</v>
      </c>
      <c r="I368" s="56">
        <f>SUM(F368:H368)</f>
        <v>266217.49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10136.66</v>
      </c>
      <c r="G369" s="63">
        <v>4128.99</v>
      </c>
      <c r="H369" s="63">
        <v>11195.13</v>
      </c>
      <c r="I369" s="56">
        <f>SUM(F369:H369)</f>
        <v>25460.78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135554.1</v>
      </c>
      <c r="G370" s="47">
        <f>SUM(G368:G369)</f>
        <v>74367.840000000011</v>
      </c>
      <c r="H370" s="47">
        <f>SUM(H368:H369)</f>
        <v>81756.33</v>
      </c>
      <c r="I370" s="47">
        <f>SUM(I368:I369)</f>
        <v>291678.27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v>52.53</v>
      </c>
      <c r="I388" s="18"/>
      <c r="J388" s="24" t="s">
        <v>288</v>
      </c>
      <c r="K388" s="24" t="s">
        <v>288</v>
      </c>
      <c r="L388" s="56">
        <f t="shared" ref="L388:L393" si="25">SUM(F388:K388)</f>
        <v>52.53</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52.53</v>
      </c>
      <c r="I394" s="65">
        <f>SUM(I388:I393)</f>
        <v>0</v>
      </c>
      <c r="J394" s="45" t="s">
        <v>288</v>
      </c>
      <c r="K394" s="45" t="s">
        <v>288</v>
      </c>
      <c r="L394" s="47">
        <f>SUM(L388:L393)</f>
        <v>52.53</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100000</v>
      </c>
      <c r="H397" s="18">
        <v>565.04</v>
      </c>
      <c r="I397" s="18"/>
      <c r="J397" s="24" t="s">
        <v>288</v>
      </c>
      <c r="K397" s="24" t="s">
        <v>288</v>
      </c>
      <c r="L397" s="56">
        <f t="shared" si="26"/>
        <v>100565.04</v>
      </c>
      <c r="M397" s="8"/>
      <c r="N397" s="265"/>
    </row>
    <row r="398" spans="1:14" s="3" customFormat="1" ht="12.2" customHeight="1" x14ac:dyDescent="0.15">
      <c r="A398" s="79" t="s">
        <v>515</v>
      </c>
      <c r="B398" s="2" t="s">
        <v>381</v>
      </c>
      <c r="C398" s="6">
        <v>10</v>
      </c>
      <c r="D398" s="2" t="s">
        <v>432</v>
      </c>
      <c r="E398" s="6"/>
      <c r="F398" s="18"/>
      <c r="G398" s="18"/>
      <c r="H398" s="18">
        <v>636.69000000000005</v>
      </c>
      <c r="I398" s="18"/>
      <c r="J398" s="24" t="s">
        <v>288</v>
      </c>
      <c r="K398" s="24" t="s">
        <v>288</v>
      </c>
      <c r="L398" s="56">
        <f t="shared" si="26"/>
        <v>636.69000000000005</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20000</v>
      </c>
      <c r="H400" s="18">
        <v>143.47999999999999</v>
      </c>
      <c r="I400" s="18"/>
      <c r="J400" s="24" t="s">
        <v>288</v>
      </c>
      <c r="K400" s="24" t="s">
        <v>288</v>
      </c>
      <c r="L400" s="56">
        <f t="shared" si="26"/>
        <v>20143.48</v>
      </c>
      <c r="M400" s="8"/>
      <c r="N400" s="265"/>
    </row>
    <row r="401" spans="1:21" s="3" customFormat="1" ht="12.2" customHeight="1" thickBot="1" x14ac:dyDescent="0.2">
      <c r="A401" s="79" t="s">
        <v>510</v>
      </c>
      <c r="B401" s="2" t="s">
        <v>381</v>
      </c>
      <c r="C401" s="6">
        <v>13</v>
      </c>
      <c r="D401" s="2" t="s">
        <v>432</v>
      </c>
      <c r="E401" s="6"/>
      <c r="F401" s="18"/>
      <c r="G401" s="18">
        <v>20000</v>
      </c>
      <c r="H401" s="18">
        <f>1.89+119.73</f>
        <v>121.62</v>
      </c>
      <c r="I401" s="18">
        <v>127208.17</v>
      </c>
      <c r="J401" s="24" t="s">
        <v>288</v>
      </c>
      <c r="K401" s="24" t="s">
        <v>288</v>
      </c>
      <c r="L401" s="56">
        <f t="shared" si="26"/>
        <v>147329.79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140000</v>
      </c>
      <c r="H402" s="47">
        <f>SUM(H396:H401)</f>
        <v>1466.83</v>
      </c>
      <c r="I402" s="47">
        <f>SUM(I396:I401)</f>
        <v>127208.17</v>
      </c>
      <c r="J402" s="45" t="s">
        <v>288</v>
      </c>
      <c r="K402" s="45" t="s">
        <v>288</v>
      </c>
      <c r="L402" s="47">
        <f>SUM(L396:L401)</f>
        <v>268675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140000</v>
      </c>
      <c r="H409" s="47">
        <f>H394+H402+H408</f>
        <v>1519.36</v>
      </c>
      <c r="I409" s="47">
        <f>I394+I402+I408</f>
        <v>127208.17</v>
      </c>
      <c r="J409" s="24" t="s">
        <v>288</v>
      </c>
      <c r="K409" s="24" t="s">
        <v>288</v>
      </c>
      <c r="L409" s="47">
        <f>L394+L402+L408</f>
        <v>268727.53000000003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v>35000</v>
      </c>
      <c r="I426" s="18"/>
      <c r="J426" s="18"/>
      <c r="K426" s="18"/>
      <c r="L426" s="56">
        <f t="shared" si="29"/>
        <v>35000</v>
      </c>
      <c r="M426" s="8"/>
      <c r="N426" s="265"/>
    </row>
    <row r="427" spans="1:21" s="3" customFormat="1" ht="12.2" customHeight="1" thickBot="1" x14ac:dyDescent="0.2">
      <c r="A427" s="79" t="s">
        <v>510</v>
      </c>
      <c r="B427" s="6">
        <v>17</v>
      </c>
      <c r="C427" s="6">
        <v>13</v>
      </c>
      <c r="D427" s="2" t="s">
        <v>432</v>
      </c>
      <c r="E427" s="6"/>
      <c r="F427" s="18"/>
      <c r="G427" s="18"/>
      <c r="H427" s="18">
        <v>45000</v>
      </c>
      <c r="I427" s="18">
        <v>158294.99</v>
      </c>
      <c r="J427" s="18"/>
      <c r="K427" s="18"/>
      <c r="L427" s="56">
        <f t="shared" si="29"/>
        <v>203294.99</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80000</v>
      </c>
      <c r="I428" s="47">
        <f t="shared" si="30"/>
        <v>158294.99</v>
      </c>
      <c r="J428" s="47">
        <f t="shared" si="30"/>
        <v>0</v>
      </c>
      <c r="K428" s="47">
        <f t="shared" si="30"/>
        <v>0</v>
      </c>
      <c r="L428" s="47">
        <f t="shared" si="30"/>
        <v>238294.99</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80000</v>
      </c>
      <c r="I435" s="47">
        <f t="shared" si="32"/>
        <v>158294.99</v>
      </c>
      <c r="J435" s="47">
        <f t="shared" si="32"/>
        <v>0</v>
      </c>
      <c r="K435" s="47">
        <f t="shared" si="32"/>
        <v>0</v>
      </c>
      <c r="L435" s="47">
        <f t="shared" si="32"/>
        <v>238294.99</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186357.15</v>
      </c>
      <c r="H440" s="18"/>
      <c r="I440" s="56">
        <f t="shared" ref="I440:I446" si="33">SUM(F440:H440)</f>
        <v>186357.15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26679.19</v>
      </c>
      <c r="G441" s="18">
        <v>745051.89</v>
      </c>
      <c r="H441" s="18"/>
      <c r="I441" s="56">
        <f t="shared" si="33"/>
        <v>771731.08</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140000</v>
      </c>
      <c r="H443" s="18"/>
      <c r="I443" s="56">
        <f t="shared" si="33"/>
        <v>140000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26679.19</v>
      </c>
      <c r="G447" s="13">
        <f>SUM(G440:G446)</f>
        <v>1071409.04</v>
      </c>
      <c r="H447" s="13">
        <f>SUM(H440:H446)</f>
        <v>0</v>
      </c>
      <c r="I447" s="13">
        <f>SUM(I440:I446)</f>
        <v>1098088.23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v>80000</v>
      </c>
      <c r="H450" s="18"/>
      <c r="I450" s="56">
        <f>SUM(F450:H450)</f>
        <v>80000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80000</v>
      </c>
      <c r="H453" s="72">
        <f>SUM(H449:H452)</f>
        <v>0</v>
      </c>
      <c r="I453" s="72">
        <f>SUM(I449:I452)</f>
        <v>80000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26679.19</v>
      </c>
      <c r="G460" s="18">
        <v>991409.04</v>
      </c>
      <c r="H460" s="18"/>
      <c r="I460" s="56">
        <f t="shared" si="34"/>
        <v>1018088.23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26679.19</v>
      </c>
      <c r="G461" s="83">
        <f>SUM(G455:G460)</f>
        <v>991409.04</v>
      </c>
      <c r="H461" s="83">
        <f>SUM(H455:H460)</f>
        <v>0</v>
      </c>
      <c r="I461" s="83">
        <f>SUM(I455:I460)</f>
        <v>1018088.23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26679.19</v>
      </c>
      <c r="G462" s="42">
        <f>G453+G461</f>
        <v>1071409.04</v>
      </c>
      <c r="H462" s="42">
        <f>H453+H461</f>
        <v>0</v>
      </c>
      <c r="I462" s="42">
        <f>I453+I461</f>
        <v>1098088.23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2543622.56</v>
      </c>
      <c r="G466" s="18">
        <v>0</v>
      </c>
      <c r="H466" s="18">
        <v>0</v>
      </c>
      <c r="I466" s="18"/>
      <c r="J466" s="18">
        <v>987655.69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23293047.129999999</v>
      </c>
      <c r="G469" s="18">
        <v>848591.94</v>
      </c>
      <c r="H469" s="18">
        <v>1418965.57</v>
      </c>
      <c r="I469" s="18"/>
      <c r="J469" s="18">
        <v>268727.53000000003</v>
      </c>
      <c r="K469" s="24" t="s">
        <v>288</v>
      </c>
      <c r="L469" s="24" t="s">
        <v>288</v>
      </c>
      <c r="N469" s="264"/>
    </row>
    <row r="470" spans="1:14" s="52" customFormat="1" ht="12.2" customHeight="1" x14ac:dyDescent="0.2">
      <c r="A470" s="93" t="s">
        <v>611</v>
      </c>
      <c r="B470" s="75">
        <v>19</v>
      </c>
      <c r="C470" s="80">
        <v>3</v>
      </c>
      <c r="D470" s="2" t="s">
        <v>432</v>
      </c>
      <c r="E470" s="80"/>
      <c r="F470" s="18"/>
      <c r="G470" s="18">
        <v>26104.880000000001</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23293047.129999999</v>
      </c>
      <c r="G471" s="53">
        <f>SUM(G469:G470)</f>
        <v>874696.82</v>
      </c>
      <c r="H471" s="53">
        <f>SUM(H469:H470)</f>
        <v>1418965.57</v>
      </c>
      <c r="I471" s="53">
        <f>SUM(I469:I470)</f>
        <v>0</v>
      </c>
      <c r="J471" s="53">
        <f>SUM(J469:J470)</f>
        <v>268727.53000000003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140000+23470401.16</f>
        <v>23610401.16</v>
      </c>
      <c r="G473" s="18">
        <v>700123.96</v>
      </c>
      <c r="H473" s="18">
        <v>1418965.57</v>
      </c>
      <c r="I473" s="18"/>
      <c r="J473" s="18">
        <v>238294.99</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23610401.16</v>
      </c>
      <c r="G475" s="53">
        <f>SUM(G473:G474)</f>
        <v>700123.96</v>
      </c>
      <c r="H475" s="53">
        <f>SUM(H473:H474)</f>
        <v>1418965.57</v>
      </c>
      <c r="I475" s="53">
        <f>SUM(I473:I474)</f>
        <v>0</v>
      </c>
      <c r="J475" s="53">
        <f>SUM(J473:J474)</f>
        <v>238294.99</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2226268.5299999975</v>
      </c>
      <c r="G477" s="53">
        <f>(G466+G471)- G475</f>
        <v>174572.86</v>
      </c>
      <c r="H477" s="53">
        <f>(H466+H471)- H475</f>
        <v>0</v>
      </c>
      <c r="I477" s="53">
        <f>(I466+I471)- I475</f>
        <v>0</v>
      </c>
      <c r="J477" s="53">
        <f>(J466+J471)- J475</f>
        <v>1018088.23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1803</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686946.7</v>
      </c>
      <c r="G522" s="18">
        <v>325728.03000000003</v>
      </c>
      <c r="H522" s="18">
        <v>3138.8</v>
      </c>
      <c r="I522" s="18">
        <v>24223.439999999999</v>
      </c>
      <c r="J522" s="18">
        <v>2748.98</v>
      </c>
      <c r="K522" s="18">
        <v>8714.7900000000009</v>
      </c>
      <c r="L522" s="88">
        <f>SUM(F522:K522)</f>
        <v>1051500.74</v>
      </c>
      <c r="N522" s="264"/>
    </row>
    <row r="523" spans="1:14" s="52" customFormat="1" ht="12.2" customHeight="1" x14ac:dyDescent="0.2">
      <c r="A523" s="22" t="s">
        <v>634</v>
      </c>
      <c r="B523" s="105">
        <v>21</v>
      </c>
      <c r="C523" s="115">
        <v>2</v>
      </c>
      <c r="D523" s="2" t="s">
        <v>432</v>
      </c>
      <c r="E523" s="115"/>
      <c r="F523" s="18">
        <v>484018.01</v>
      </c>
      <c r="G523" s="18">
        <v>282408.28000000003</v>
      </c>
      <c r="H523" s="18">
        <v>218446.3</v>
      </c>
      <c r="I523" s="18">
        <v>17746.330000000002</v>
      </c>
      <c r="J523" s="18">
        <v>1616.86</v>
      </c>
      <c r="K523" s="18">
        <v>6432.34</v>
      </c>
      <c r="L523" s="88">
        <f>SUM(F523:K523)</f>
        <v>1010668.12</v>
      </c>
      <c r="N523" s="264"/>
    </row>
    <row r="524" spans="1:14" s="52" customFormat="1" ht="12.2" customHeight="1" thickBot="1" x14ac:dyDescent="0.25">
      <c r="A524" s="22" t="s">
        <v>635</v>
      </c>
      <c r="B524" s="105">
        <v>21</v>
      </c>
      <c r="C524" s="115">
        <v>3</v>
      </c>
      <c r="D524" s="2" t="s">
        <v>432</v>
      </c>
      <c r="E524" s="115"/>
      <c r="F524" s="18">
        <v>477854.35</v>
      </c>
      <c r="G524" s="18">
        <v>336630.09</v>
      </c>
      <c r="H524" s="18">
        <v>386109.86</v>
      </c>
      <c r="I524" s="18">
        <v>16907.060000000001</v>
      </c>
      <c r="J524" s="18">
        <v>1408.24</v>
      </c>
      <c r="K524" s="18">
        <v>5602.36</v>
      </c>
      <c r="L524" s="88">
        <f>SUM(F524:K524)</f>
        <v>1224511.96</v>
      </c>
      <c r="N524" s="264"/>
    </row>
    <row r="525" spans="1:14" s="52" customFormat="1" ht="12.2" customHeight="1" thickTop="1" x14ac:dyDescent="0.2">
      <c r="A525" s="139" t="s">
        <v>63</v>
      </c>
      <c r="B525" s="107">
        <v>21</v>
      </c>
      <c r="C525" s="194">
        <v>4</v>
      </c>
      <c r="D525" s="195" t="s">
        <v>432</v>
      </c>
      <c r="E525" s="194"/>
      <c r="F525" s="108">
        <f>SUM(F522:F524)</f>
        <v>1648819.06</v>
      </c>
      <c r="G525" s="108">
        <f t="shared" ref="G525:L525" si="36">SUM(G522:G524)</f>
        <v>944766.40000000014</v>
      </c>
      <c r="H525" s="108">
        <f t="shared" si="36"/>
        <v>607694.96</v>
      </c>
      <c r="I525" s="108">
        <f t="shared" si="36"/>
        <v>58876.83</v>
      </c>
      <c r="J525" s="108">
        <f t="shared" si="36"/>
        <v>5774.08</v>
      </c>
      <c r="K525" s="108">
        <f t="shared" si="36"/>
        <v>20749.490000000002</v>
      </c>
      <c r="L525" s="89">
        <f t="shared" si="36"/>
        <v>3286680.82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350987.08</v>
      </c>
      <c r="G527" s="18">
        <v>155318.54999999999</v>
      </c>
      <c r="H527" s="18">
        <v>18159</v>
      </c>
      <c r="I527" s="18">
        <v>551.71</v>
      </c>
      <c r="J527" s="18"/>
      <c r="K527" s="18"/>
      <c r="L527" s="88">
        <f>SUM(F527:K527)</f>
        <v>525016.34</v>
      </c>
      <c r="M527" s="8"/>
      <c r="N527" s="265"/>
    </row>
    <row r="528" spans="1:14" s="3" customFormat="1" ht="12.2" customHeight="1" x14ac:dyDescent="0.15">
      <c r="A528" s="22" t="s">
        <v>634</v>
      </c>
      <c r="B528" s="105">
        <v>21</v>
      </c>
      <c r="C528" s="115">
        <v>6</v>
      </c>
      <c r="D528" s="2" t="s">
        <v>432</v>
      </c>
      <c r="E528" s="115"/>
      <c r="F528" s="18">
        <v>87046.49</v>
      </c>
      <c r="G528" s="18">
        <v>51289.73</v>
      </c>
      <c r="H528" s="18">
        <v>17571</v>
      </c>
      <c r="I528" s="18">
        <v>431.93</v>
      </c>
      <c r="J528" s="18"/>
      <c r="K528" s="18"/>
      <c r="L528" s="88">
        <f>SUM(F528:K528)</f>
        <v>156339.15</v>
      </c>
      <c r="M528" s="8"/>
      <c r="N528" s="265"/>
    </row>
    <row r="529" spans="1:14" s="3" customFormat="1" ht="12.2" customHeight="1" thickBot="1" x14ac:dyDescent="0.2">
      <c r="A529" s="22" t="s">
        <v>635</v>
      </c>
      <c r="B529" s="118">
        <v>21</v>
      </c>
      <c r="C529" s="118">
        <v>7</v>
      </c>
      <c r="D529" s="2" t="s">
        <v>432</v>
      </c>
      <c r="E529" s="118"/>
      <c r="F529" s="18">
        <v>73596.81</v>
      </c>
      <c r="G529" s="18">
        <v>32414.87</v>
      </c>
      <c r="H529" s="18">
        <v>11828</v>
      </c>
      <c r="I529" s="18">
        <v>409.67</v>
      </c>
      <c r="J529" s="18"/>
      <c r="K529" s="18"/>
      <c r="L529" s="88">
        <f>SUM(F529:K529)</f>
        <v>118249.34999999999</v>
      </c>
      <c r="M529" s="8"/>
      <c r="N529" s="265"/>
    </row>
    <row r="530" spans="1:14" s="3" customFormat="1" ht="12.2" customHeight="1" thickTop="1" x14ac:dyDescent="0.15">
      <c r="A530" s="139" t="s">
        <v>65</v>
      </c>
      <c r="B530" s="107">
        <v>21</v>
      </c>
      <c r="C530" s="107">
        <v>8</v>
      </c>
      <c r="D530" s="158" t="s">
        <v>432</v>
      </c>
      <c r="E530" s="107"/>
      <c r="F530" s="89">
        <f>SUM(F527:F529)</f>
        <v>511630.38</v>
      </c>
      <c r="G530" s="89">
        <f t="shared" ref="G530:L530" si="37">SUM(G527:G529)</f>
        <v>239023.15</v>
      </c>
      <c r="H530" s="89">
        <f t="shared" si="37"/>
        <v>47558</v>
      </c>
      <c r="I530" s="89">
        <f t="shared" si="37"/>
        <v>1393.3100000000002</v>
      </c>
      <c r="J530" s="89">
        <f t="shared" si="37"/>
        <v>0</v>
      </c>
      <c r="K530" s="89">
        <f t="shared" si="37"/>
        <v>0</v>
      </c>
      <c r="L530" s="89">
        <f t="shared" si="37"/>
        <v>799604.84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47425.25</v>
      </c>
      <c r="G532" s="18">
        <v>22568.799999999999</v>
      </c>
      <c r="H532" s="18">
        <v>337685.88</v>
      </c>
      <c r="I532" s="18">
        <v>9771.86</v>
      </c>
      <c r="J532" s="18"/>
      <c r="K532" s="18"/>
      <c r="L532" s="88">
        <f>SUM(F532:K532)</f>
        <v>417451.79</v>
      </c>
      <c r="M532" s="8"/>
      <c r="N532" s="265"/>
    </row>
    <row r="533" spans="1:14" s="3" customFormat="1" ht="12.2" customHeight="1" x14ac:dyDescent="0.15">
      <c r="A533" s="22" t="s">
        <v>634</v>
      </c>
      <c r="B533" s="105">
        <v>21</v>
      </c>
      <c r="C533" s="105">
        <v>10</v>
      </c>
      <c r="D533" s="2" t="s">
        <v>432</v>
      </c>
      <c r="E533" s="105"/>
      <c r="F533" s="18">
        <v>38689.019999999997</v>
      </c>
      <c r="G533" s="18">
        <v>18411.39</v>
      </c>
      <c r="H533" s="18">
        <v>177212.26</v>
      </c>
      <c r="I533" s="18">
        <v>7971.78</v>
      </c>
      <c r="J533" s="18"/>
      <c r="K533" s="18"/>
      <c r="L533" s="88">
        <f>SUM(F533:K533)</f>
        <v>242284.45</v>
      </c>
      <c r="M533" s="8"/>
      <c r="N533" s="265"/>
    </row>
    <row r="534" spans="1:14" s="3" customFormat="1" ht="12.2" customHeight="1" thickBot="1" x14ac:dyDescent="0.2">
      <c r="A534" s="22" t="s">
        <v>635</v>
      </c>
      <c r="B534" s="105">
        <v>21</v>
      </c>
      <c r="C534" s="105">
        <v>11</v>
      </c>
      <c r="D534" s="2" t="s">
        <v>432</v>
      </c>
      <c r="E534" s="105"/>
      <c r="F534" s="18">
        <v>38689.01</v>
      </c>
      <c r="G534" s="18">
        <v>18411.41</v>
      </c>
      <c r="H534" s="18">
        <v>46556.17</v>
      </c>
      <c r="I534" s="18">
        <f>7971.77</f>
        <v>7971.77</v>
      </c>
      <c r="J534" s="18"/>
      <c r="K534" s="18"/>
      <c r="L534" s="88">
        <f>SUM(F534:K534)</f>
        <v>111628.36</v>
      </c>
      <c r="M534" s="8"/>
      <c r="N534" s="265"/>
    </row>
    <row r="535" spans="1:14" s="3" customFormat="1" ht="12.2" customHeight="1" thickTop="1" x14ac:dyDescent="0.15">
      <c r="A535" s="139" t="s">
        <v>67</v>
      </c>
      <c r="B535" s="107">
        <v>21</v>
      </c>
      <c r="C535" s="107">
        <v>12</v>
      </c>
      <c r="D535" s="158" t="s">
        <v>432</v>
      </c>
      <c r="E535" s="107"/>
      <c r="F535" s="89">
        <f>SUM(F532:F534)</f>
        <v>124803.28</v>
      </c>
      <c r="G535" s="89">
        <f t="shared" ref="G535:L535" si="38">SUM(G532:G534)</f>
        <v>59391.600000000006</v>
      </c>
      <c r="H535" s="89">
        <f t="shared" si="38"/>
        <v>561454.31000000006</v>
      </c>
      <c r="I535" s="89">
        <f t="shared" si="38"/>
        <v>25715.41</v>
      </c>
      <c r="J535" s="89">
        <f t="shared" si="38"/>
        <v>0</v>
      </c>
      <c r="K535" s="89">
        <f t="shared" si="38"/>
        <v>0</v>
      </c>
      <c r="L535" s="89">
        <f t="shared" si="38"/>
        <v>771364.6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4578</v>
      </c>
      <c r="I537" s="18"/>
      <c r="J537" s="18"/>
      <c r="K537" s="18"/>
      <c r="L537" s="88">
        <f>SUM(F537:K537)</f>
        <v>4578</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4578</v>
      </c>
      <c r="I540" s="89">
        <f t="shared" si="39"/>
        <v>0</v>
      </c>
      <c r="J540" s="89">
        <f t="shared" si="39"/>
        <v>0</v>
      </c>
      <c r="K540" s="89">
        <f t="shared" si="39"/>
        <v>0</v>
      </c>
      <c r="L540" s="89">
        <f t="shared" si="39"/>
        <v>4578</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91722.58</v>
      </c>
      <c r="I542" s="18">
        <v>1418.5</v>
      </c>
      <c r="J542" s="18"/>
      <c r="K542" s="18"/>
      <c r="L542" s="88">
        <f>SUM(F542:K542)</f>
        <v>93141.08</v>
      </c>
      <c r="M542" s="8"/>
      <c r="N542" s="265"/>
    </row>
    <row r="543" spans="1:14" s="3" customFormat="1" ht="12.2" customHeight="1" x14ac:dyDescent="0.15">
      <c r="A543" s="22" t="s">
        <v>634</v>
      </c>
      <c r="B543" s="105">
        <v>21</v>
      </c>
      <c r="C543" s="105">
        <v>18</v>
      </c>
      <c r="D543" s="2" t="s">
        <v>432</v>
      </c>
      <c r="E543" s="105"/>
      <c r="F543" s="18"/>
      <c r="G543" s="18"/>
      <c r="H543" s="18">
        <v>67120.62</v>
      </c>
      <c r="I543" s="18">
        <v>1157.2</v>
      </c>
      <c r="J543" s="18"/>
      <c r="K543" s="18"/>
      <c r="L543" s="88">
        <f>SUM(F543:K543)</f>
        <v>68277.819999999992</v>
      </c>
      <c r="M543" s="8"/>
      <c r="N543" s="265"/>
    </row>
    <row r="544" spans="1:14" s="3" customFormat="1" ht="12.2" customHeight="1" thickBot="1" x14ac:dyDescent="0.2">
      <c r="A544" s="22" t="s">
        <v>635</v>
      </c>
      <c r="B544" s="105">
        <v>21</v>
      </c>
      <c r="C544" s="105">
        <v>19</v>
      </c>
      <c r="D544" s="2" t="s">
        <v>432</v>
      </c>
      <c r="E544" s="105"/>
      <c r="F544" s="18"/>
      <c r="G544" s="18"/>
      <c r="H544" s="18">
        <v>48152.83</v>
      </c>
      <c r="I544" s="18">
        <v>1157.2</v>
      </c>
      <c r="J544" s="18"/>
      <c r="K544" s="18"/>
      <c r="L544" s="88">
        <f>SUM(F544:K544)</f>
        <v>49310.03</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206996.03000000003</v>
      </c>
      <c r="I545" s="192">
        <f t="shared" si="40"/>
        <v>3732.8999999999996</v>
      </c>
      <c r="J545" s="192">
        <f t="shared" si="40"/>
        <v>0</v>
      </c>
      <c r="K545" s="192">
        <f t="shared" si="40"/>
        <v>0</v>
      </c>
      <c r="L545" s="192">
        <f t="shared" si="40"/>
        <v>210728.93</v>
      </c>
      <c r="M545" s="8"/>
      <c r="N545" s="265"/>
    </row>
    <row r="546" spans="1:14" s="3" customFormat="1" ht="12.2" customHeight="1" thickTop="1" x14ac:dyDescent="0.15">
      <c r="A546" s="98" t="s">
        <v>72</v>
      </c>
      <c r="B546" s="107">
        <v>21</v>
      </c>
      <c r="C546" s="107">
        <v>21</v>
      </c>
      <c r="D546" s="158" t="s">
        <v>432</v>
      </c>
      <c r="E546" s="107"/>
      <c r="F546" s="89">
        <f>F525+F530+F535+F540+F545</f>
        <v>2285252.7199999997</v>
      </c>
      <c r="G546" s="89">
        <f t="shared" ref="G546:L546" si="41">G525+G530+G535+G540+G545</f>
        <v>1243181.1500000001</v>
      </c>
      <c r="H546" s="89">
        <f t="shared" si="41"/>
        <v>1428281.3</v>
      </c>
      <c r="I546" s="89">
        <f t="shared" si="41"/>
        <v>89718.45</v>
      </c>
      <c r="J546" s="89">
        <f t="shared" si="41"/>
        <v>5774.08</v>
      </c>
      <c r="K546" s="89">
        <f t="shared" si="41"/>
        <v>20749.490000000002</v>
      </c>
      <c r="L546" s="89">
        <f t="shared" si="41"/>
        <v>5072957.1899999995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1051500.74</v>
      </c>
      <c r="G550" s="87">
        <f>L527</f>
        <v>525016.34</v>
      </c>
      <c r="H550" s="87">
        <f>L532</f>
        <v>417451.79</v>
      </c>
      <c r="I550" s="87">
        <f>L537</f>
        <v>4578</v>
      </c>
      <c r="J550" s="87">
        <f>L542</f>
        <v>93141.08</v>
      </c>
      <c r="K550" s="87">
        <f>SUM(F550:J550)</f>
        <v>2091687.9500000002</v>
      </c>
      <c r="L550" s="24" t="s">
        <v>288</v>
      </c>
      <c r="M550" s="8"/>
      <c r="N550" s="265"/>
    </row>
    <row r="551" spans="1:14" s="3" customFormat="1" ht="12.2" customHeight="1" x14ac:dyDescent="0.15">
      <c r="A551" s="22" t="s">
        <v>634</v>
      </c>
      <c r="B551" s="75">
        <v>21</v>
      </c>
      <c r="C551" s="75">
        <v>23</v>
      </c>
      <c r="D551" s="2" t="s">
        <v>432</v>
      </c>
      <c r="E551" s="75"/>
      <c r="F551" s="87">
        <f>L523</f>
        <v>1010668.12</v>
      </c>
      <c r="G551" s="87">
        <f>L528</f>
        <v>156339.15</v>
      </c>
      <c r="H551" s="87">
        <f>L533</f>
        <v>242284.45</v>
      </c>
      <c r="I551" s="87">
        <f>L538</f>
        <v>0</v>
      </c>
      <c r="J551" s="87">
        <f>L543</f>
        <v>68277.819999999992</v>
      </c>
      <c r="K551" s="87">
        <f>SUM(F551:J551)</f>
        <v>1477569.54</v>
      </c>
      <c r="L551" s="24" t="s">
        <v>288</v>
      </c>
      <c r="M551" s="8"/>
      <c r="N551" s="265"/>
    </row>
    <row r="552" spans="1:14" s="3" customFormat="1" ht="12.2" customHeight="1" thickBot="1" x14ac:dyDescent="0.2">
      <c r="A552" s="22" t="s">
        <v>635</v>
      </c>
      <c r="B552" s="75">
        <v>21</v>
      </c>
      <c r="C552" s="75">
        <v>24</v>
      </c>
      <c r="D552" s="2" t="s">
        <v>432</v>
      </c>
      <c r="E552" s="75"/>
      <c r="F552" s="87">
        <f>L524</f>
        <v>1224511.96</v>
      </c>
      <c r="G552" s="87">
        <f>L529</f>
        <v>118249.34999999999</v>
      </c>
      <c r="H552" s="87">
        <f>L534</f>
        <v>111628.36</v>
      </c>
      <c r="I552" s="87">
        <f>L539</f>
        <v>0</v>
      </c>
      <c r="J552" s="87">
        <f>L544</f>
        <v>49310.03</v>
      </c>
      <c r="K552" s="87">
        <f>SUM(F552:J552)</f>
        <v>1503699.7000000002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3286680.82</v>
      </c>
      <c r="G553" s="89">
        <f t="shared" si="42"/>
        <v>799604.84</v>
      </c>
      <c r="H553" s="89">
        <f t="shared" si="42"/>
        <v>771364.6</v>
      </c>
      <c r="I553" s="89">
        <f t="shared" si="42"/>
        <v>4578</v>
      </c>
      <c r="J553" s="89">
        <f t="shared" si="42"/>
        <v>210728.93</v>
      </c>
      <c r="K553" s="89">
        <f t="shared" si="42"/>
        <v>5072957.1900000004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21990.080000000002</v>
      </c>
      <c r="G563" s="18">
        <v>2786.61</v>
      </c>
      <c r="H563" s="18"/>
      <c r="I563" s="18"/>
      <c r="J563" s="18"/>
      <c r="K563" s="18"/>
      <c r="L563" s="88">
        <f>SUM(F563:K563)</f>
        <v>24776.690000000002</v>
      </c>
      <c r="M563" s="8"/>
      <c r="N563" s="265"/>
    </row>
    <row r="564" spans="1:14" s="3" customFormat="1" ht="12.2" customHeight="1" x14ac:dyDescent="0.15">
      <c r="A564" s="22" t="s">
        <v>634</v>
      </c>
      <c r="B564" s="105">
        <v>22</v>
      </c>
      <c r="C564" s="115">
        <v>6</v>
      </c>
      <c r="D564" s="2" t="s">
        <v>432</v>
      </c>
      <c r="E564" s="115"/>
      <c r="F564" s="18">
        <v>8796.0300000000007</v>
      </c>
      <c r="G564" s="18">
        <v>1114.6500000000001</v>
      </c>
      <c r="H564" s="18"/>
      <c r="I564" s="18"/>
      <c r="J564" s="18"/>
      <c r="K564" s="18"/>
      <c r="L564" s="88">
        <f>SUM(F564:K564)</f>
        <v>9910.68</v>
      </c>
      <c r="M564" s="8"/>
      <c r="N564" s="265"/>
    </row>
    <row r="565" spans="1:14" s="3" customFormat="1" ht="12.2" customHeight="1" thickBot="1" x14ac:dyDescent="0.2">
      <c r="A565" s="22" t="s">
        <v>635</v>
      </c>
      <c r="B565" s="105">
        <v>22</v>
      </c>
      <c r="C565" s="118">
        <v>7</v>
      </c>
      <c r="D565" s="2" t="s">
        <v>432</v>
      </c>
      <c r="E565" s="118"/>
      <c r="F565" s="18">
        <v>4398.0200000000004</v>
      </c>
      <c r="G565" s="18">
        <v>557.32000000000005</v>
      </c>
      <c r="H565" s="18"/>
      <c r="I565" s="18"/>
      <c r="J565" s="18"/>
      <c r="K565" s="18"/>
      <c r="L565" s="88">
        <f>SUM(F565:K565)</f>
        <v>4955.34</v>
      </c>
      <c r="M565" s="8"/>
      <c r="N565" s="265"/>
    </row>
    <row r="566" spans="1:14" s="3" customFormat="1" ht="12.2" customHeight="1" thickTop="1" x14ac:dyDescent="0.15">
      <c r="A566" s="139" t="s">
        <v>65</v>
      </c>
      <c r="B566" s="107">
        <v>22</v>
      </c>
      <c r="C566" s="107">
        <v>8</v>
      </c>
      <c r="D566" s="195" t="s">
        <v>432</v>
      </c>
      <c r="E566" s="107"/>
      <c r="F566" s="89">
        <f t="shared" ref="F566:L566" si="44">SUM(F563:F565)</f>
        <v>35184.130000000005</v>
      </c>
      <c r="G566" s="89">
        <f t="shared" si="44"/>
        <v>4458.58</v>
      </c>
      <c r="H566" s="89">
        <f t="shared" si="44"/>
        <v>0</v>
      </c>
      <c r="I566" s="89">
        <f t="shared" si="44"/>
        <v>0</v>
      </c>
      <c r="J566" s="89">
        <f t="shared" si="44"/>
        <v>0</v>
      </c>
      <c r="K566" s="89">
        <f t="shared" si="44"/>
        <v>0</v>
      </c>
      <c r="L566" s="89">
        <f t="shared" si="44"/>
        <v>39642.710000000006</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35184.130000000005</v>
      </c>
      <c r="G572" s="89">
        <f t="shared" ref="G572:L572" si="46">G561+G566+G571</f>
        <v>4458.58</v>
      </c>
      <c r="H572" s="89">
        <f t="shared" si="46"/>
        <v>0</v>
      </c>
      <c r="I572" s="89">
        <f t="shared" si="46"/>
        <v>0</v>
      </c>
      <c r="J572" s="89">
        <f t="shared" si="46"/>
        <v>0</v>
      </c>
      <c r="K572" s="89">
        <f t="shared" si="46"/>
        <v>0</v>
      </c>
      <c r="L572" s="89">
        <f t="shared" si="46"/>
        <v>39642.710000000006</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v>3408.21</v>
      </c>
      <c r="H580" s="18">
        <f>17908.21+5000</f>
        <v>22908.21</v>
      </c>
      <c r="I580" s="87">
        <f t="shared" si="47"/>
        <v>26316.42</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212745.81</v>
      </c>
      <c r="H583" s="18">
        <v>361418.14</v>
      </c>
      <c r="I583" s="87">
        <f t="shared" si="47"/>
        <v>574163.94999999995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141722.5</v>
      </c>
      <c r="I585" s="87">
        <f t="shared" si="47"/>
        <v>141722.5</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280650.59999999998</v>
      </c>
      <c r="I592" s="18">
        <v>228951.81</v>
      </c>
      <c r="J592" s="18">
        <v>234888.45</v>
      </c>
      <c r="K592" s="104">
        <f t="shared" ref="K592:K598" si="48">SUM(H592:J592)</f>
        <v>744490.86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91722.58</v>
      </c>
      <c r="I593" s="18">
        <v>67120.62</v>
      </c>
      <c r="J593" s="18">
        <v>51885.74</v>
      </c>
      <c r="K593" s="104">
        <f t="shared" si="48"/>
        <v>210728.94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69213.7</v>
      </c>
      <c r="K594" s="104">
        <f t="shared" si="48"/>
        <v>69213.7</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12090.87</v>
      </c>
      <c r="J595" s="18">
        <v>32529.88</v>
      </c>
      <c r="K595" s="104">
        <f t="shared" si="48"/>
        <v>44620.75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7260.96</v>
      </c>
      <c r="I596" s="18">
        <v>2495.5100000000002</v>
      </c>
      <c r="J596" s="18">
        <v>6190.56</v>
      </c>
      <c r="K596" s="104">
        <f t="shared" si="48"/>
        <v>15947.030000000002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f>5359.24+2679.62</f>
        <v>8038.86</v>
      </c>
      <c r="J598" s="18">
        <f>8038.86-2679.62</f>
        <v>5359.24</v>
      </c>
      <c r="K598" s="104">
        <f t="shared" si="48"/>
        <v>13398.099999999999</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379634.14</v>
      </c>
      <c r="I599" s="108">
        <f>SUM(I592:I598)</f>
        <v>318697.67</v>
      </c>
      <c r="J599" s="108">
        <f>SUM(J592:J598)</f>
        <v>400067.57</v>
      </c>
      <c r="K599" s="108">
        <f>SUM(K592:K598)</f>
        <v>1098399.3800000001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103042.38</v>
      </c>
      <c r="I605" s="18">
        <v>93503.38</v>
      </c>
      <c r="J605" s="18">
        <v>94826.2</v>
      </c>
      <c r="K605" s="104">
        <f>SUM(H605:J605)</f>
        <v>291371.96000000002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103042.38</v>
      </c>
      <c r="I606" s="108">
        <f>SUM(I603:I605)</f>
        <v>93503.38</v>
      </c>
      <c r="J606" s="108">
        <f>SUM(J603:J605)</f>
        <v>94826.2</v>
      </c>
      <c r="K606" s="108">
        <f>SUM(K603:K605)</f>
        <v>291371.96000000002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27919.8</v>
      </c>
      <c r="G612" s="18">
        <v>7614.15</v>
      </c>
      <c r="H612" s="18"/>
      <c r="I612" s="18"/>
      <c r="J612" s="18"/>
      <c r="K612" s="18"/>
      <c r="L612" s="88">
        <f>SUM(F612:K612)</f>
        <v>35533.949999999997</v>
      </c>
      <c r="M612" s="8"/>
      <c r="N612" s="265"/>
    </row>
    <row r="613" spans="1:14" s="3" customFormat="1" ht="12.2" customHeight="1" x14ac:dyDescent="0.15">
      <c r="A613" s="22" t="s">
        <v>634</v>
      </c>
      <c r="B613" s="75">
        <v>23</v>
      </c>
      <c r="C613" s="75">
        <v>14</v>
      </c>
      <c r="D613" s="2" t="s">
        <v>432</v>
      </c>
      <c r="E613" s="75"/>
      <c r="F613" s="18">
        <v>12017.1</v>
      </c>
      <c r="G613" s="18">
        <v>3416.23</v>
      </c>
      <c r="H613" s="18">
        <v>272.39999999999998</v>
      </c>
      <c r="I613" s="18">
        <v>292.58</v>
      </c>
      <c r="J613" s="18"/>
      <c r="K613" s="18"/>
      <c r="L613" s="88">
        <f>SUM(F613:K613)</f>
        <v>15998.31</v>
      </c>
      <c r="M613" s="8"/>
      <c r="N613" s="265"/>
    </row>
    <row r="614" spans="1:14" s="3" customFormat="1" ht="12.2" customHeight="1" thickBot="1" x14ac:dyDescent="0.2">
      <c r="A614" s="22" t="s">
        <v>645</v>
      </c>
      <c r="B614" s="75">
        <v>23</v>
      </c>
      <c r="C614" s="75">
        <v>15</v>
      </c>
      <c r="D614" s="2" t="s">
        <v>432</v>
      </c>
      <c r="E614" s="75"/>
      <c r="F614" s="18">
        <v>5927.1</v>
      </c>
      <c r="G614" s="18">
        <v>1645.55</v>
      </c>
      <c r="H614" s="18"/>
      <c r="I614" s="18"/>
      <c r="J614" s="18"/>
      <c r="K614" s="18"/>
      <c r="L614" s="88">
        <f>SUM(F614:K614)</f>
        <v>7572.6500000000005</v>
      </c>
      <c r="M614" s="8"/>
      <c r="N614" s="265"/>
    </row>
    <row r="615" spans="1:14" s="3" customFormat="1" ht="12.2" customHeight="1" thickTop="1" x14ac:dyDescent="0.15">
      <c r="A615" s="98" t="s">
        <v>340</v>
      </c>
      <c r="B615" s="107">
        <v>23</v>
      </c>
      <c r="C615" s="107">
        <v>16</v>
      </c>
      <c r="D615" s="39" t="s">
        <v>432</v>
      </c>
      <c r="E615" s="107"/>
      <c r="F615" s="108">
        <f t="shared" ref="F615:L615" si="49">SUM(F612:F614)</f>
        <v>45864</v>
      </c>
      <c r="G615" s="108">
        <f t="shared" si="49"/>
        <v>12675.929999999998</v>
      </c>
      <c r="H615" s="108">
        <f t="shared" si="49"/>
        <v>272.39999999999998</v>
      </c>
      <c r="I615" s="108">
        <f t="shared" si="49"/>
        <v>292.58</v>
      </c>
      <c r="J615" s="108">
        <f t="shared" si="49"/>
        <v>0</v>
      </c>
      <c r="K615" s="108">
        <f t="shared" si="49"/>
        <v>0</v>
      </c>
      <c r="L615" s="89">
        <f t="shared" si="49"/>
        <v>59104.909999999996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2887165.88</v>
      </c>
      <c r="H618" s="109">
        <f>SUM(F52)</f>
        <v>2887165.8800000004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254141.43</v>
      </c>
      <c r="H619" s="109">
        <f>SUM(G52)</f>
        <v>254141.43000000002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532354.81999999995</v>
      </c>
      <c r="H620" s="109">
        <f>SUM(H52)</f>
        <v>532354.81999999995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1098088.23</v>
      </c>
      <c r="H622" s="109">
        <f>SUM(J52)</f>
        <v>1098088.23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2226268.5300000003</v>
      </c>
      <c r="H623" s="109">
        <f>F477</f>
        <v>2226268.5299999975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174572.86000000002</v>
      </c>
      <c r="H624" s="109">
        <f>G477</f>
        <v>174572.86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1018088.23</v>
      </c>
      <c r="H627" s="109">
        <f>J477</f>
        <v>1018088.23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23293047.130000003</v>
      </c>
      <c r="H628" s="104">
        <f>SUM(F469)</f>
        <v>23293047.129999999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848591.94</v>
      </c>
      <c r="H629" s="104">
        <f>SUM(G469)</f>
        <v>848591.94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1418965.5699999998</v>
      </c>
      <c r="H630" s="104">
        <f>SUM(H469)</f>
        <v>1418965.57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268727.53000000003</v>
      </c>
      <c r="H632" s="104">
        <f>SUM(J469)</f>
        <v>268727.53000000003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23610401.16</v>
      </c>
      <c r="H633" s="104">
        <f>SUM(F473)</f>
        <v>23610401.16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1418965.5699999998</v>
      </c>
      <c r="H634" s="104">
        <f>SUM(H473)</f>
        <v>1418965.57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291678.27</v>
      </c>
      <c r="H635" s="104">
        <f>I370</f>
        <v>291678.27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700123.96</v>
      </c>
      <c r="H636" s="104">
        <f>SUM(G473)</f>
        <v>700123.96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268727.53000000003</v>
      </c>
      <c r="H638" s="164">
        <f>SUM(J469)</f>
        <v>268727.53000000003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238294.99</v>
      </c>
      <c r="H639" s="164">
        <f>SUM(J473)</f>
        <v>238294.99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26679.19</v>
      </c>
      <c r="H640" s="104">
        <f>SUM(F462)</f>
        <v>26679.19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1071409.04</v>
      </c>
      <c r="H641" s="104">
        <f>SUM(G462)</f>
        <v>1071409.04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1098088.23</v>
      </c>
      <c r="H643" s="104">
        <f>SUM(I462)</f>
        <v>1098088.23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1519.36</v>
      </c>
      <c r="H645" s="104">
        <f>H409</f>
        <v>1519.36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140000</v>
      </c>
      <c r="H646" s="104">
        <f>G409</f>
        <v>140000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268727.53000000003</v>
      </c>
      <c r="H647" s="104">
        <f>L409</f>
        <v>268727.53000000003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1098399.3800000001</v>
      </c>
      <c r="H648" s="104">
        <f>L209+L227+L245</f>
        <v>1098399.3800000001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291371.96000000002</v>
      </c>
      <c r="H649" s="104">
        <f>(J258+J339)-(J256+J337)</f>
        <v>291371.96000000002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379634.14</v>
      </c>
      <c r="H650" s="104">
        <f>H599</f>
        <v>379634.14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318697.67</v>
      </c>
      <c r="H651" s="104">
        <f>I599</f>
        <v>318697.67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400067.57</v>
      </c>
      <c r="H652" s="104">
        <f>J599</f>
        <v>400067.57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40040</v>
      </c>
      <c r="H653" s="104">
        <f>K264+K346</f>
        <v>40040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140000</v>
      </c>
      <c r="H656" s="104">
        <f>K267+K348</f>
        <v>140000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9489444.2599999998</v>
      </c>
      <c r="G661" s="19">
        <f>(L230+L310+L360)</f>
        <v>7463106.6799999988</v>
      </c>
      <c r="H661" s="19">
        <f>(L248+L329+L361)</f>
        <v>7807060.1900000004</v>
      </c>
      <c r="I661" s="19">
        <f>SUM(F661:H661)</f>
        <v>24759611.129999999</v>
      </c>
      <c r="J661" s="13"/>
      <c r="K661" s="13"/>
      <c r="L661" s="13"/>
      <c r="M661" s="9"/>
    </row>
    <row r="662" spans="1:13" s="3" customFormat="1" ht="12.2" customHeight="1" x14ac:dyDescent="0.2">
      <c r="A662" s="1" t="s">
        <v>127</v>
      </c>
      <c r="F662" s="19">
        <f>(L359/IF(SUM(L359:L361)=0,1,SUM(L359:L361))*(SUM(G97:G110)))</f>
        <v>26563.809846309217</v>
      </c>
      <c r="G662" s="19">
        <f>(L360/IF(SUM(L359:L361)=0,1,SUM(L359:L361))*(SUM(G97:G110)))</f>
        <v>14769.767098112172</v>
      </c>
      <c r="H662" s="19">
        <f>(L361/IF(SUM(L359:L361)=0,1,SUM(L359:L361))*(SUM(G97:G110)))</f>
        <v>17008.113055578619</v>
      </c>
      <c r="I662" s="19">
        <f>SUM(F662:H662)</f>
        <v>58341.69</v>
      </c>
      <c r="J662"/>
      <c r="K662" s="13"/>
      <c r="L662" s="13"/>
      <c r="M662" s="8"/>
    </row>
    <row r="663" spans="1:13" s="3" customFormat="1" ht="12.2" customHeight="1" x14ac:dyDescent="0.2">
      <c r="A663" s="1" t="s">
        <v>128</v>
      </c>
      <c r="F663" s="19">
        <f>(L209+L288)-(J209+J288)</f>
        <v>412341.75</v>
      </c>
      <c r="G663" s="19">
        <f>(L227+L307)-(J227+J307)</f>
        <v>331267.95</v>
      </c>
      <c r="H663" s="19">
        <f>(L245+L326)-(J245+J326)</f>
        <v>415397.14</v>
      </c>
      <c r="I663" s="19">
        <f>SUM(F663:H663)</f>
        <v>1159006.8399999999</v>
      </c>
      <c r="J663"/>
      <c r="K663" s="13"/>
      <c r="L663" s="13"/>
      <c r="M663" s="9"/>
    </row>
    <row r="664" spans="1:13" s="3" customFormat="1" ht="12.2" customHeight="1" x14ac:dyDescent="0.15">
      <c r="A664" s="197" t="s">
        <v>129</v>
      </c>
      <c r="B664" s="169"/>
      <c r="C664" s="169"/>
      <c r="D664" s="169"/>
      <c r="E664" s="169"/>
      <c r="F664" s="198">
        <f>SUM(F576:F588)+SUM(H603:H605)+SUM(L612)</f>
        <v>138576.33000000002</v>
      </c>
      <c r="G664" s="198">
        <f>SUM(G576:G588)+SUM(I603:I605)+L613</f>
        <v>325655.71000000002</v>
      </c>
      <c r="H664" s="198">
        <f>SUM(H576:H588)+SUM(J603:J605)+L614</f>
        <v>628447.70000000007</v>
      </c>
      <c r="I664" s="19">
        <f>SUM(F664:H664)</f>
        <v>1092679.7400000002</v>
      </c>
      <c r="J664" s="13"/>
      <c r="K664" s="13"/>
      <c r="L664" s="13"/>
      <c r="M664" s="9"/>
    </row>
    <row r="665" spans="1:13" s="3" customFormat="1" ht="12.2" customHeight="1" x14ac:dyDescent="0.15">
      <c r="A665" s="1" t="s">
        <v>130</v>
      </c>
      <c r="F665" s="19">
        <f>F661-SUM(F662:F664)</f>
        <v>8911962.3701536898</v>
      </c>
      <c r="G665" s="19">
        <f>G661-SUM(G662:G664)</f>
        <v>6791413.2529018866</v>
      </c>
      <c r="H665" s="19">
        <f>H661-SUM(H662:H664)</f>
        <v>6746207.2369444221</v>
      </c>
      <c r="I665" s="19">
        <f>I661-SUM(I662:I664)</f>
        <v>22449582.859999999</v>
      </c>
      <c r="J665" s="13"/>
      <c r="K665" s="13"/>
      <c r="L665" s="13"/>
      <c r="M665" s="8"/>
    </row>
    <row r="666" spans="1:13" s="3" customFormat="1" ht="12.2" customHeight="1" x14ac:dyDescent="0.2">
      <c r="A666" s="1" t="s">
        <v>131</v>
      </c>
      <c r="F666" s="245">
        <v>439.6</v>
      </c>
      <c r="G666" s="246">
        <v>362.37</v>
      </c>
      <c r="H666" s="246">
        <v>367.15</v>
      </c>
      <c r="I666" s="19">
        <f>SUM(F666:H666)</f>
        <v>1169.1199999999999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20272.89</v>
      </c>
      <c r="G668" s="19">
        <f>ROUND(G665/G666,2)</f>
        <v>18741.650000000001</v>
      </c>
      <c r="H668" s="19">
        <f>ROUND(H665/H666,2)</f>
        <v>18374.53</v>
      </c>
      <c r="I668" s="19">
        <f>ROUND(I665/I666,2)</f>
        <v>19202.12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-12.61</v>
      </c>
      <c r="I671" s="19">
        <f>SUM(F671:H671)</f>
        <v>-12.61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20272.89</v>
      </c>
      <c r="G673" s="19">
        <f>ROUND((G665+G670)/(G666+G671),2)</f>
        <v>18741.650000000001</v>
      </c>
      <c r="H673" s="19">
        <f>ROUND((H665+H670)/(H666+H671),2)</f>
        <v>19028.060000000001</v>
      </c>
      <c r="I673" s="19">
        <f>ROUND((I665+I670)/(I666+I671),2)</f>
        <v>19411.490000000002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117342.35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59093.61</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53248.74</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5000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Shaker Regional</v>
      </c>
      <c r="C5" s="375"/>
      <c r="D5" s="375"/>
      <c r="E5" s="375"/>
      <c r="F5" s="375"/>
    </row>
    <row r="8" spans="1:9" ht="18" x14ac:dyDescent="0.25">
      <c r="A8" s="312" t="s">
        <v>1568</v>
      </c>
      <c r="F8" s="319" t="s">
        <v>1586</v>
      </c>
    </row>
    <row r="9" spans="1:9" ht="15" x14ac:dyDescent="0.2">
      <c r="A9" s="310" t="s">
        <v>1569</v>
      </c>
      <c r="B9" s="313">
        <f>'DOE25'!G97</f>
        <v>57225.41</v>
      </c>
      <c r="F9" s="310" t="s">
        <v>1582</v>
      </c>
    </row>
    <row r="10" spans="1:9" ht="15" x14ac:dyDescent="0.2">
      <c r="A10" s="310" t="s">
        <v>1570</v>
      </c>
      <c r="B10" s="313">
        <f>'DOE25'!G112-'DOE25'!G97</f>
        <v>1116.2799999999988</v>
      </c>
      <c r="F10" s="310" t="s">
        <v>1583</v>
      </c>
    </row>
    <row r="11" spans="1:9" ht="15" x14ac:dyDescent="0.2">
      <c r="A11" s="310" t="s">
        <v>1571</v>
      </c>
      <c r="B11" s="313">
        <f>'DOE25'!G140</f>
        <v>19267.5</v>
      </c>
      <c r="F11" s="310" t="s">
        <v>1584</v>
      </c>
    </row>
    <row r="12" spans="1:9" ht="15" x14ac:dyDescent="0.2">
      <c r="A12" s="310" t="s">
        <v>1572</v>
      </c>
      <c r="B12" s="313">
        <f>'DOE25'!G170</f>
        <v>730942.75</v>
      </c>
      <c r="F12" s="310" t="s">
        <v>1585</v>
      </c>
    </row>
    <row r="13" spans="1:9" ht="15" x14ac:dyDescent="0.2">
      <c r="A13" s="310" t="s">
        <v>1573</v>
      </c>
      <c r="B13" s="313">
        <f>'DOE25'!G193-'DOE25'!G180</f>
        <v>0</v>
      </c>
      <c r="F13" s="310" t="s">
        <v>1595</v>
      </c>
    </row>
    <row r="14" spans="1:9" ht="18" x14ac:dyDescent="0.25">
      <c r="A14" s="312" t="s">
        <v>732</v>
      </c>
      <c r="B14" s="314">
        <f>SUM(B9:B13)</f>
        <v>808551.94</v>
      </c>
    </row>
    <row r="16" spans="1:9" ht="18" x14ac:dyDescent="0.25">
      <c r="A16" s="312" t="s">
        <v>786</v>
      </c>
      <c r="F16" s="319" t="s">
        <v>1587</v>
      </c>
    </row>
    <row r="17" spans="1:6" ht="15" x14ac:dyDescent="0.2">
      <c r="A17" s="310" t="s">
        <v>1574</v>
      </c>
      <c r="B17" s="313">
        <f>'DOE25'!L363-'DOE25'!L362</f>
        <v>700123.96</v>
      </c>
      <c r="F17" s="310" t="s">
        <v>1588</v>
      </c>
    </row>
    <row r="18" spans="1:6" ht="15" x14ac:dyDescent="0.2">
      <c r="A18" s="310" t="s">
        <v>1575</v>
      </c>
      <c r="B18" s="323"/>
      <c r="F18" s="319" t="s">
        <v>1612</v>
      </c>
    </row>
    <row r="19" spans="1:6" ht="18" x14ac:dyDescent="0.25">
      <c r="A19" s="312" t="s">
        <v>725</v>
      </c>
      <c r="B19" s="314">
        <f>SUM(B17:B18)</f>
        <v>700123.96</v>
      </c>
    </row>
    <row r="21" spans="1:6" ht="18.75" thickBot="1" x14ac:dyDescent="0.3">
      <c r="A21" s="312" t="s">
        <v>1576</v>
      </c>
    </row>
    <row r="22" spans="1:6" ht="18.75" thickTop="1" x14ac:dyDescent="0.25">
      <c r="A22" s="312" t="s">
        <v>1577</v>
      </c>
      <c r="B22" s="318">
        <f>B14-B19</f>
        <v>108427.97999999998</v>
      </c>
      <c r="F22" s="310" t="s">
        <v>1589</v>
      </c>
    </row>
    <row r="26" spans="1:6" ht="18" x14ac:dyDescent="0.25">
      <c r="A26" s="312" t="s">
        <v>186</v>
      </c>
    </row>
    <row r="27" spans="1:6" ht="15" x14ac:dyDescent="0.2">
      <c r="A27" s="310" t="s">
        <v>1578</v>
      </c>
      <c r="B27" s="313">
        <f>'DOE25'!G180</f>
        <v>40040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174572.86</v>
      </c>
      <c r="F33" s="310" t="s">
        <v>1593</v>
      </c>
    </row>
    <row r="36" spans="1:6" ht="15" x14ac:dyDescent="0.2">
      <c r="A36" s="310" t="s">
        <v>1579</v>
      </c>
      <c r="B36" s="324">
        <v>34884.25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1" sqref="C4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Shaker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6161893.7899999991</v>
      </c>
      <c r="C9" s="228">
        <f>'DOE25'!G198+'DOE25'!G216+'DOE25'!G234+'DOE25'!G277+'DOE25'!G296+'DOE25'!G315</f>
        <v>3426571.78</v>
      </c>
    </row>
    <row r="10" spans="1:3" x14ac:dyDescent="0.2">
      <c r="A10" t="s">
        <v>775</v>
      </c>
      <c r="B10" s="239">
        <v>5671306.8600000003</v>
      </c>
      <c r="C10" s="239">
        <v>3268656.27</v>
      </c>
    </row>
    <row r="11" spans="1:3" x14ac:dyDescent="0.2">
      <c r="A11" t="s">
        <v>776</v>
      </c>
      <c r="B11" s="239">
        <v>325186.25</v>
      </c>
      <c r="C11" s="239">
        <v>144576.56</v>
      </c>
    </row>
    <row r="12" spans="1:3" x14ac:dyDescent="0.2">
      <c r="A12" t="s">
        <v>777</v>
      </c>
      <c r="B12" s="239">
        <v>165400.68</v>
      </c>
      <c r="C12" s="239">
        <v>13338.95</v>
      </c>
    </row>
    <row r="13" spans="1:3" x14ac:dyDescent="0.2">
      <c r="A13" t="str">
        <f>IF(B9=B13,IF(C9=C13,"Check Total OK","Check Total Error"),"Check Total Error")</f>
        <v>Check Total OK</v>
      </c>
      <c r="B13" s="230">
        <f>SUM(B10:B12)</f>
        <v>6161893.79</v>
      </c>
      <c r="C13" s="230">
        <f>SUM(C10:C12)</f>
        <v>3426571.7800000003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2030508.9000000001</v>
      </c>
      <c r="C18" s="228">
        <f>'DOE25'!G199+'DOE25'!G217+'DOE25'!G235+'DOE25'!G278+'DOE25'!G297+'DOE25'!G316</f>
        <v>1138847.4200000002</v>
      </c>
    </row>
    <row r="19" spans="1:3" x14ac:dyDescent="0.2">
      <c r="A19" t="s">
        <v>775</v>
      </c>
      <c r="B19" s="239">
        <v>1215321.8600000001</v>
      </c>
      <c r="C19" s="239">
        <f>645936.4+95025.32</f>
        <v>740961.72</v>
      </c>
    </row>
    <row r="20" spans="1:3" x14ac:dyDescent="0.2">
      <c r="A20" t="s">
        <v>776</v>
      </c>
      <c r="B20" s="239">
        <v>815187.04</v>
      </c>
      <c r="C20" s="239">
        <v>397885.7</v>
      </c>
    </row>
    <row r="21" spans="1:3" x14ac:dyDescent="0.2">
      <c r="A21" t="s">
        <v>777</v>
      </c>
      <c r="B21" s="239"/>
      <c r="C21" s="239"/>
    </row>
    <row r="22" spans="1:3" x14ac:dyDescent="0.2">
      <c r="A22" t="str">
        <f>IF(B18=B22,IF(C18=C22,"Check Total OK","Check Total Error"),"Check Total Error")</f>
        <v>Check Total OK</v>
      </c>
      <c r="B22" s="230">
        <f>SUM(B19:B21)</f>
        <v>2030508.9000000001</v>
      </c>
      <c r="C22" s="230">
        <f>SUM(C19:C21)</f>
        <v>1138847.42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21859.54</v>
      </c>
      <c r="C27" s="233">
        <f>'DOE25'!G200+'DOE25'!G218+'DOE25'!G236+'DOE25'!G279+'DOE25'!G298+'DOE25'!G317</f>
        <v>1746</v>
      </c>
    </row>
    <row r="28" spans="1:3" x14ac:dyDescent="0.2">
      <c r="A28" t="s">
        <v>775</v>
      </c>
      <c r="B28" s="239"/>
      <c r="C28" s="239"/>
    </row>
    <row r="29" spans="1:3" x14ac:dyDescent="0.2">
      <c r="A29" t="s">
        <v>776</v>
      </c>
      <c r="B29" s="239"/>
      <c r="C29" s="239"/>
    </row>
    <row r="30" spans="1:3" x14ac:dyDescent="0.2">
      <c r="A30" t="s">
        <v>777</v>
      </c>
      <c r="B30" s="239">
        <v>21859.54</v>
      </c>
      <c r="C30" s="239">
        <v>1746</v>
      </c>
    </row>
    <row r="31" spans="1:3" x14ac:dyDescent="0.2">
      <c r="A31" t="str">
        <f>IF(B27=B31,IF(C27=C31,"Check Total OK","Check Total Error"),"Check Total Error")</f>
        <v>Check Total OK</v>
      </c>
      <c r="B31" s="230">
        <f>SUM(B28:B30)</f>
        <v>21859.54</v>
      </c>
      <c r="C31" s="230">
        <f>SUM(C28:C30)</f>
        <v>1746</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306432.67</v>
      </c>
      <c r="C36" s="234">
        <f>'DOE25'!G201+'DOE25'!G219+'DOE25'!G237+'DOE25'!G280+'DOE25'!G299+'DOE25'!G318</f>
        <v>95392.47</v>
      </c>
    </row>
    <row r="37" spans="1:3" x14ac:dyDescent="0.2">
      <c r="A37" t="s">
        <v>775</v>
      </c>
      <c r="B37" s="239">
        <v>196726.27</v>
      </c>
      <c r="C37" s="239">
        <v>76544.72</v>
      </c>
    </row>
    <row r="38" spans="1:3" x14ac:dyDescent="0.2">
      <c r="A38" t="s">
        <v>776</v>
      </c>
      <c r="B38" s="239">
        <v>7907.6</v>
      </c>
      <c r="C38" s="239">
        <v>637.74</v>
      </c>
    </row>
    <row r="39" spans="1:3" x14ac:dyDescent="0.2">
      <c r="A39" t="s">
        <v>777</v>
      </c>
      <c r="B39" s="239">
        <v>101798.8</v>
      </c>
      <c r="C39" s="239">
        <v>18210.009999999998</v>
      </c>
    </row>
    <row r="40" spans="1:3" x14ac:dyDescent="0.2">
      <c r="A40" t="str">
        <f>IF(B36=B40,IF(C36=C40,"Check Total OK","Check Total Error"),"Check Total Error")</f>
        <v>Check Total OK</v>
      </c>
      <c r="B40" s="230">
        <f>SUM(B37:B39)</f>
        <v>306432.67</v>
      </c>
      <c r="C40" s="230">
        <f>SUM(C37:C39)</f>
        <v>95392.47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Shaker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13682348.710000001</v>
      </c>
      <c r="D5" s="20">
        <f>SUM('DOE25'!L198:L201)+SUM('DOE25'!L216:L219)+SUM('DOE25'!L234:L237)-F5-G5-H5</f>
        <v>13647029.74</v>
      </c>
      <c r="E5" s="242"/>
      <c r="F5" s="243"/>
      <c r="G5" s="53">
        <f>SUM('DOE25'!J198:J201)+SUM('DOE25'!J216:J219)+SUM('DOE25'!J234:J237)</f>
        <v>11865.97</v>
      </c>
      <c r="H5" s="53">
        <f>SUM('DOE25'!K198:K201)+SUM('DOE25'!K216:K219)+SUM('DOE25'!K234:K237)</f>
        <v>23453</v>
      </c>
      <c r="I5" s="255"/>
    </row>
    <row r="6" spans="1:9" x14ac:dyDescent="0.2">
      <c r="A6" s="32">
        <v>2100</v>
      </c>
      <c r="B6" t="s">
        <v>796</v>
      </c>
      <c r="C6" s="274">
        <f t="shared" si="0"/>
        <v>2894710.01</v>
      </c>
      <c r="D6" s="20">
        <f>'DOE25'!L203+'DOE25'!L221+'DOE25'!L239-F6-G6-H6</f>
        <v>2889870.7699999996</v>
      </c>
      <c r="E6" s="242"/>
      <c r="F6" s="243"/>
      <c r="G6" s="53">
        <f>'DOE25'!J203+'DOE25'!J221+'DOE25'!J239</f>
        <v>3326.24</v>
      </c>
      <c r="H6" s="53">
        <f>'DOE25'!K203+'DOE25'!K221+'DOE25'!K239</f>
        <v>1513</v>
      </c>
      <c r="I6" s="255"/>
    </row>
    <row r="7" spans="1:9" x14ac:dyDescent="0.2">
      <c r="A7" s="32">
        <v>2200</v>
      </c>
      <c r="B7" t="s">
        <v>821</v>
      </c>
      <c r="C7" s="274">
        <f t="shared" si="0"/>
        <v>1146998.6299999999</v>
      </c>
      <c r="D7" s="20">
        <f>'DOE25'!L204+'DOE25'!L222+'DOE25'!L240-F7-G7-H7</f>
        <v>1142729.6299999999</v>
      </c>
      <c r="E7" s="242"/>
      <c r="F7" s="243"/>
      <c r="G7" s="53">
        <f>'DOE25'!J204+'DOE25'!J222+'DOE25'!J240</f>
        <v>4269</v>
      </c>
      <c r="H7" s="53">
        <f>'DOE25'!K204+'DOE25'!K222+'DOE25'!K240</f>
        <v>0</v>
      </c>
      <c r="I7" s="255"/>
    </row>
    <row r="8" spans="1:9" x14ac:dyDescent="0.2">
      <c r="A8" s="32">
        <v>2300</v>
      </c>
      <c r="B8" t="s">
        <v>797</v>
      </c>
      <c r="C8" s="274">
        <f t="shared" si="0"/>
        <v>391622.21</v>
      </c>
      <c r="D8" s="242"/>
      <c r="E8" s="20">
        <f>'DOE25'!L205+'DOE25'!L223+'DOE25'!L241-F8-G8-H8-D9-D11</f>
        <v>384503.93000000005</v>
      </c>
      <c r="F8" s="243"/>
      <c r="G8" s="53">
        <f>'DOE25'!J205+'DOE25'!J223+'DOE25'!J241</f>
        <v>184.97000000000003</v>
      </c>
      <c r="H8" s="53">
        <f>'DOE25'!K205+'DOE25'!K223+'DOE25'!K241</f>
        <v>6933.3099999999995</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1393356.36</v>
      </c>
      <c r="D12" s="20">
        <f>'DOE25'!L206+'DOE25'!L224+'DOE25'!L242-F12-G12-H12</f>
        <v>1371690.41</v>
      </c>
      <c r="E12" s="242"/>
      <c r="F12" s="243"/>
      <c r="G12" s="53">
        <f>'DOE25'!J206+'DOE25'!J224+'DOE25'!J242</f>
        <v>3238.8500000000004</v>
      </c>
      <c r="H12" s="53">
        <f>'DOE25'!K206+'DOE25'!K224+'DOE25'!K242</f>
        <v>18427.099999999999</v>
      </c>
      <c r="I12" s="255"/>
    </row>
    <row r="13" spans="1:9" x14ac:dyDescent="0.2">
      <c r="A13" s="32">
        <v>2500</v>
      </c>
      <c r="B13" t="s">
        <v>798</v>
      </c>
      <c r="C13" s="274">
        <f t="shared" si="0"/>
        <v>437152.18000000005</v>
      </c>
      <c r="D13" s="242"/>
      <c r="E13" s="20">
        <f>'DOE25'!L207+'DOE25'!L225+'DOE25'!L243-F13-G13-H13</f>
        <v>433806.31000000006</v>
      </c>
      <c r="F13" s="243"/>
      <c r="G13" s="53">
        <f>'DOE25'!J207+'DOE25'!J225+'DOE25'!J243</f>
        <v>1456.42</v>
      </c>
      <c r="H13" s="53">
        <f>'DOE25'!K207+'DOE25'!K225+'DOE25'!K243</f>
        <v>1889.45</v>
      </c>
      <c r="I13" s="255"/>
    </row>
    <row r="14" spans="1:9" x14ac:dyDescent="0.2">
      <c r="A14" s="32">
        <v>2600</v>
      </c>
      <c r="B14" t="s">
        <v>819</v>
      </c>
      <c r="C14" s="274">
        <f t="shared" si="0"/>
        <v>1821846.56</v>
      </c>
      <c r="D14" s="20">
        <f>'DOE25'!L208+'DOE25'!L226+'DOE25'!L244-F14-G14-H14</f>
        <v>1771662.81</v>
      </c>
      <c r="E14" s="242"/>
      <c r="F14" s="243"/>
      <c r="G14" s="53">
        <f>'DOE25'!J208+'DOE25'!J226+'DOE25'!J244</f>
        <v>50183.75</v>
      </c>
      <c r="H14" s="53">
        <f>'DOE25'!K208+'DOE25'!K226+'DOE25'!K244</f>
        <v>0</v>
      </c>
      <c r="I14" s="255"/>
    </row>
    <row r="15" spans="1:9" x14ac:dyDescent="0.2">
      <c r="A15" s="32">
        <v>2700</v>
      </c>
      <c r="B15" t="s">
        <v>799</v>
      </c>
      <c r="C15" s="274">
        <f t="shared" si="0"/>
        <v>1098399.3800000001</v>
      </c>
      <c r="D15" s="20">
        <f>'DOE25'!L209+'DOE25'!L227+'DOE25'!L245-F15-G15-H15</f>
        <v>1098399.3800000001</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2927.18</v>
      </c>
      <c r="D19" s="20">
        <f>'DOE25'!L254-F19-G19-H19</f>
        <v>2927.18</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786912.37999999989</v>
      </c>
      <c r="D22" s="242"/>
      <c r="E22" s="242"/>
      <c r="F22" s="242"/>
      <c r="G22" s="53">
        <f>'DOE25'!L256+'DOE25'!L337</f>
        <v>786912.37999999989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433906.47</v>
      </c>
      <c r="D29" s="282">
        <f>'DOE25'!L359+'DOE25'!L360+'DOE25'!L361-'DOE25'!I368-F29-G29-H29</f>
        <v>408956.47</v>
      </c>
      <c r="E29" s="242"/>
      <c r="F29" s="243"/>
      <c r="G29" s="53">
        <f>'DOE25'!J359+'DOE25'!J360+'DOE25'!J361</f>
        <v>24066</v>
      </c>
      <c r="H29" s="53">
        <f>'DOE25'!K359+'DOE25'!K360+'DOE25'!K361</f>
        <v>884</v>
      </c>
      <c r="I29" s="255"/>
    </row>
    <row r="30" spans="1:9" x14ac:dyDescent="0.2">
      <c r="A30" s="32"/>
      <c r="C30" s="275"/>
      <c r="D30" s="20"/>
      <c r="E30" s="279"/>
      <c r="F30" s="269"/>
      <c r="G30" s="53"/>
      <c r="H30" s="53"/>
      <c r="I30" s="255"/>
    </row>
    <row r="31" spans="1:9" x14ac:dyDescent="0.2">
      <c r="A31" s="32" t="s">
        <v>818</v>
      </c>
      <c r="B31" t="s">
        <v>817</v>
      </c>
      <c r="C31" s="274">
        <f>SUM(D31:I31)</f>
        <v>1193053.1299999999</v>
      </c>
      <c r="D31" s="20">
        <f>'DOE25'!L291+'DOE25'!L310+'DOE25'!L329+'DOE25'!L334+'DOE25'!L335+'DOE25'!L336-F31-G31-H31</f>
        <v>945610.65999999992</v>
      </c>
      <c r="E31" s="242"/>
      <c r="F31" s="243"/>
      <c r="G31" s="53">
        <f>'DOE25'!J291+'DOE25'!J310+'DOE25'!J329+'DOE25'!J334+'DOE25'!J335+'DOE25'!J336</f>
        <v>216846.76</v>
      </c>
      <c r="H31" s="53">
        <f>'DOE25'!K291+'DOE25'!K310+'DOE25'!K329+'DOE25'!K334+'DOE25'!K335+'DOE25'!K336</f>
        <v>30595.71</v>
      </c>
      <c r="I31" s="255"/>
    </row>
    <row r="32" spans="1:9" ht="12" thickBot="1" x14ac:dyDescent="0.25">
      <c r="C32" s="275"/>
      <c r="G32" s="250"/>
      <c r="H32" s="250"/>
      <c r="I32" s="257"/>
    </row>
    <row r="33" spans="1:9" ht="12" thickTop="1" x14ac:dyDescent="0.2">
      <c r="B33" t="s">
        <v>809</v>
      </c>
      <c r="D33" s="244">
        <f t="shared" ref="D33:I33" si="1">SUM(D5:D31)</f>
        <v>23278877.049999997</v>
      </c>
      <c r="E33" s="244">
        <f t="shared" si="1"/>
        <v>818310.24000000011</v>
      </c>
      <c r="F33" s="244">
        <f t="shared" si="1"/>
        <v>0</v>
      </c>
      <c r="G33" s="244">
        <f t="shared" si="1"/>
        <v>1102350.3399999999</v>
      </c>
      <c r="H33" s="244">
        <f t="shared" si="1"/>
        <v>83695.569999999992</v>
      </c>
      <c r="I33" s="244">
        <f t="shared" si="1"/>
        <v>0</v>
      </c>
    </row>
    <row r="35" spans="1:9" ht="12" thickBot="1" x14ac:dyDescent="0.25">
      <c r="B35" s="250" t="s">
        <v>831</v>
      </c>
      <c r="D35" s="251">
        <f>E33</f>
        <v>818310.24000000011</v>
      </c>
      <c r="E35" s="247"/>
      <c r="F35" s="328" t="s">
        <v>1617</v>
      </c>
      <c r="G35" s="329"/>
      <c r="H35" s="329"/>
      <c r="I35" s="329"/>
    </row>
    <row r="36" spans="1:9" ht="12" thickTop="1" x14ac:dyDescent="0.2">
      <c r="B36" t="s">
        <v>810</v>
      </c>
      <c r="D36" s="20">
        <f>D33</f>
        <v>23278877.049999997</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F45" sqref="F4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Shaker Regional</v>
      </c>
      <c r="B2" s="126">
        <f>'DOE25'!B2</f>
        <v>486</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9170667.7599999998</v>
      </c>
      <c r="G4" s="299">
        <f>'DOE25'!L212+'DOE25'!L291</f>
        <v>9170667.7599999998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0</v>
      </c>
      <c r="E5" s="290">
        <v>0</v>
      </c>
      <c r="F5" s="303">
        <f>D5+E5</f>
        <v>0</v>
      </c>
      <c r="G5" s="293"/>
      <c r="H5" s="293"/>
      <c r="I5" s="384"/>
      <c r="N5"/>
    </row>
    <row r="6" spans="1:18" x14ac:dyDescent="0.2">
      <c r="A6" s="126" t="str" cm="1">
        <f t="array" ref="A6">IFERROR(INDEX('School Tables'!$A$4:$G$325,'School Tables'!$J4,3),"")</f>
        <v>Belmont Elementary School</v>
      </c>
      <c r="B6" s="300">
        <f>IFERROR(VLOOKUP(A6,'School Tables'!$C$3:$D$365,2,FALSE),"")</f>
        <v>22135</v>
      </c>
      <c r="C6" s="293" t="str">
        <f>IFERROR(INDEX('School Tables'!$B$3:$B$365,MATCH('School Level Expenditures'!B6,'School Tables'!$D$3:$D$365,0)),"")</f>
        <v>Shaker Regional</v>
      </c>
      <c r="D6" s="290">
        <v>6493060.8499999996</v>
      </c>
      <c r="E6" s="290">
        <v>507452.96</v>
      </c>
      <c r="F6" s="303">
        <f t="shared" ref="F6:F20" si="0">D6+E6</f>
        <v>7000513.8099999996</v>
      </c>
      <c r="G6" s="293"/>
      <c r="H6" s="293"/>
      <c r="I6" s="384"/>
      <c r="N6"/>
    </row>
    <row r="7" spans="1:18" x14ac:dyDescent="0.2">
      <c r="A7" s="126" t="str" cm="1">
        <f t="array" ref="A7">IFERROR(INDEX('School Tables'!$A$4:$G$325,'School Tables'!$J5,3),"")</f>
        <v>Canterbury Elementary School</v>
      </c>
      <c r="B7" s="300">
        <f>IFERROR(VLOOKUP(A7,'School Tables'!$C$3:$D$365,2,FALSE),"")</f>
        <v>22165</v>
      </c>
      <c r="C7" s="293" t="str">
        <f>IFERROR(INDEX('School Tables'!$B$3:$B$365,MATCH('School Level Expenditures'!B7,'School Tables'!$D$3:$D$365,0)),"")</f>
        <v>Shaker Regional</v>
      </c>
      <c r="D7" s="290">
        <v>2086754.05</v>
      </c>
      <c r="E7" s="290">
        <v>83399.899999999994</v>
      </c>
      <c r="F7" s="303">
        <f t="shared" si="0"/>
        <v>2170153.9500000002</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8579814.9000000004</v>
      </c>
      <c r="E21" s="338">
        <f>SUM(E5:E20)</f>
        <v>590852.86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7285863.4800000004</v>
      </c>
      <c r="G24" s="299">
        <f>'DOE25'!L230+'DOE25'!L310</f>
        <v>7285863.4799999986</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Belmont Middle School</v>
      </c>
      <c r="B26" s="300">
        <f>IFERROR(VLOOKUP(A26,'School Tables'!$N$4:$O$75,2,FALSE),"")</f>
        <v>22150</v>
      </c>
      <c r="C26" s="293" t="str">
        <f>IFERROR(INDEX('School Tables'!$M$4:$M$75,MATCH('School Level Expenditures'!A26,'School Tables'!$N$4:$N$75,0)),"")</f>
        <v>Shaker Regional</v>
      </c>
      <c r="D26" s="290">
        <v>6939944.8600000003</v>
      </c>
      <c r="E26" s="290">
        <v>345918.62</v>
      </c>
      <c r="F26" s="303">
        <f t="shared" ref="F26:F32" si="1">D26+E26</f>
        <v>7285863.4800000004</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6939944.8600000003</v>
      </c>
      <c r="E33" s="338">
        <f>SUM(E25:E32)</f>
        <v>345918.62</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7602955.9300000006</v>
      </c>
      <c r="G36" s="299">
        <f>'DOE25'!L248+'DOE25'!L329</f>
        <v>7602955.9300000006</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Belmont High School</v>
      </c>
      <c r="B38" s="300">
        <f>IFERROR(VLOOKUP(A38,'School Tables'!$Y$4:$Z$100,2,FALSE),"")</f>
        <v>22145</v>
      </c>
      <c r="C38" s="293" t="str">
        <f>IFERROR(INDEX('School Tables'!$X$4:$X$100,MATCH('School Level Expenditures'!A38,'School Tables'!$Y$4:$Y$100,0)),"")</f>
        <v>Shaker Regional</v>
      </c>
      <c r="D38" s="290">
        <v>7346674.2400000002</v>
      </c>
      <c r="E38" s="290">
        <v>256281.69</v>
      </c>
      <c r="F38" s="303">
        <f t="shared" si="2"/>
        <v>7602955.9300000006</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7346674.2400000002</v>
      </c>
      <c r="E43" s="339">
        <f>SUM(E37:E42)</f>
        <v>256281.69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9" zoomScale="80" zoomScaleNormal="80" workbookViewId="0">
      <selection activeCell="P33" sqref="P3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Shaker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2460916.44</v>
      </c>
      <c r="D8" s="95">
        <f>'DOE25'!G9</f>
        <v>1205.77</v>
      </c>
      <c r="E8" s="95">
        <f>'DOE25'!H9</f>
        <v>0</v>
      </c>
      <c r="F8" s="95">
        <f>'DOE25'!I9</f>
        <v>0</v>
      </c>
      <c r="G8" s="95">
        <f>'DOE25'!J9</f>
        <v>186357.15</v>
      </c>
      <c r="H8" s="124">
        <f>SUM(C8:G8)</f>
        <v>2648479.36</v>
      </c>
      <c r="I8" s="124"/>
    </row>
    <row r="9" spans="1:9" x14ac:dyDescent="0.2">
      <c r="A9" s="1" t="s">
        <v>140</v>
      </c>
      <c r="B9" s="6">
        <v>110</v>
      </c>
      <c r="C9" s="95">
        <f>'DOE25'!F10</f>
        <v>2059.6799999999998</v>
      </c>
      <c r="D9" s="95">
        <f>'DOE25'!G10</f>
        <v>0</v>
      </c>
      <c r="E9" s="95">
        <f>'DOE25'!H10</f>
        <v>0</v>
      </c>
      <c r="F9" s="95">
        <f>'DOE25'!I10</f>
        <v>0</v>
      </c>
      <c r="G9" s="95">
        <f>'DOE25'!J10</f>
        <v>771731.08</v>
      </c>
      <c r="H9" s="124">
        <f t="shared" ref="H9:H18" si="0">SUM(C9:G9)</f>
        <v>773790.76</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334460.14</v>
      </c>
      <c r="D11" s="95">
        <f>'DOE25'!G12</f>
        <v>0</v>
      </c>
      <c r="E11" s="95">
        <f>'DOE25'!H12</f>
        <v>0</v>
      </c>
      <c r="F11" s="95">
        <f>'DOE25'!I12</f>
        <v>0</v>
      </c>
      <c r="G11" s="95">
        <f>'DOE25'!J12</f>
        <v>0</v>
      </c>
      <c r="H11" s="124">
        <f t="shared" si="0"/>
        <v>334460.14</v>
      </c>
      <c r="I11" s="124"/>
    </row>
    <row r="12" spans="1:9" x14ac:dyDescent="0.2">
      <c r="A12" s="1" t="s">
        <v>143</v>
      </c>
      <c r="B12" s="6">
        <v>140</v>
      </c>
      <c r="C12" s="95">
        <f>'DOE25'!F13</f>
        <v>56501.26</v>
      </c>
      <c r="D12" s="95">
        <f>'DOE25'!G13</f>
        <v>225609.17</v>
      </c>
      <c r="E12" s="95">
        <f>'DOE25'!H13</f>
        <v>520902.69</v>
      </c>
      <c r="F12" s="95">
        <f>'DOE25'!I13</f>
        <v>0</v>
      </c>
      <c r="G12" s="95">
        <f>'DOE25'!J13</f>
        <v>140000</v>
      </c>
      <c r="H12" s="124">
        <f t="shared" si="0"/>
        <v>943013.12</v>
      </c>
      <c r="I12" s="124"/>
    </row>
    <row r="13" spans="1:9" x14ac:dyDescent="0.2">
      <c r="A13" s="1" t="s">
        <v>144</v>
      </c>
      <c r="B13" s="6">
        <v>150</v>
      </c>
      <c r="C13" s="95">
        <f>'DOE25'!F14</f>
        <v>3931.26</v>
      </c>
      <c r="D13" s="95">
        <f>'DOE25'!G14</f>
        <v>1221.6099999999999</v>
      </c>
      <c r="E13" s="95">
        <f>'DOE25'!H14</f>
        <v>11452.13</v>
      </c>
      <c r="F13" s="95">
        <f>'DOE25'!I14</f>
        <v>0</v>
      </c>
      <c r="G13" s="95">
        <f>'DOE25'!J14</f>
        <v>0</v>
      </c>
      <c r="H13" s="124">
        <f t="shared" si="0"/>
        <v>16605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29297.1</v>
      </c>
      <c r="D16" s="95">
        <f>'DOE25'!G17</f>
        <v>26104.880000000001</v>
      </c>
      <c r="E16" s="95">
        <f>'DOE25'!H17</f>
        <v>0</v>
      </c>
      <c r="F16" s="95">
        <f>'DOE25'!I17</f>
        <v>0</v>
      </c>
      <c r="G16" s="95">
        <f>'DOE25'!J17</f>
        <v>0</v>
      </c>
      <c r="H16" s="124">
        <f t="shared" si="0"/>
        <v>55401.979999999996</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2887165.88</v>
      </c>
      <c r="D18" s="41">
        <f>SUM(D8:D17)</f>
        <v>254141.43</v>
      </c>
      <c r="E18" s="41">
        <f>SUM(E8:E17)</f>
        <v>532354.81999999995</v>
      </c>
      <c r="F18" s="41">
        <f>SUM(F8:F17)</f>
        <v>0</v>
      </c>
      <c r="G18" s="41">
        <f>SUM(G8:G17)</f>
        <v>1098088.23</v>
      </c>
      <c r="H18" s="41">
        <f t="shared" si="0"/>
        <v>4771750.3599999994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12564.7</v>
      </c>
      <c r="E21" s="95">
        <f>'DOE25'!H22</f>
        <v>321895.40999999997</v>
      </c>
      <c r="F21" s="95">
        <f>'DOE25'!I22</f>
        <v>0</v>
      </c>
      <c r="G21" s="95">
        <f>'DOE25'!J22</f>
        <v>0</v>
      </c>
      <c r="H21" s="124">
        <f t="shared" ref="H21:H31" si="1">SUM(C21:G21)</f>
        <v>334460.11</v>
      </c>
      <c r="I21" s="124"/>
    </row>
    <row r="22" spans="1:9" x14ac:dyDescent="0.2">
      <c r="A22" s="1" t="s">
        <v>151</v>
      </c>
      <c r="B22" s="6">
        <v>410</v>
      </c>
      <c r="C22" s="95">
        <f>'DOE25'!F23</f>
        <v>157034.82</v>
      </c>
      <c r="D22" s="95">
        <f>'DOE25'!G23</f>
        <v>0</v>
      </c>
      <c r="E22" s="95">
        <f>'DOE25'!H23</f>
        <v>0</v>
      </c>
      <c r="F22" s="95">
        <f>'DOE25'!I23</f>
        <v>0</v>
      </c>
      <c r="G22" s="95">
        <f>'DOE25'!J23</f>
        <v>80000</v>
      </c>
      <c r="H22" s="124">
        <f t="shared" si="1"/>
        <v>237034.82</v>
      </c>
      <c r="I22" s="124"/>
    </row>
    <row r="23" spans="1:9" x14ac:dyDescent="0.2">
      <c r="A23" s="1" t="s">
        <v>152</v>
      </c>
      <c r="B23" s="6">
        <v>420</v>
      </c>
      <c r="C23" s="95">
        <f>'DOE25'!F24</f>
        <v>420129.69</v>
      </c>
      <c r="D23" s="95">
        <f>'DOE25'!G24</f>
        <v>25586.28</v>
      </c>
      <c r="E23" s="95">
        <f>'DOE25'!H24</f>
        <v>90606.16</v>
      </c>
      <c r="F23" s="95">
        <f>'DOE25'!I24</f>
        <v>0</v>
      </c>
      <c r="G23" s="95">
        <f>'DOE25'!J24</f>
        <v>0</v>
      </c>
      <c r="H23" s="124">
        <f t="shared" si="1"/>
        <v>536322.13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78732.84</v>
      </c>
      <c r="D27" s="95">
        <f>'DOE25'!G28</f>
        <v>4919.43</v>
      </c>
      <c r="E27" s="95">
        <f>'DOE25'!H28</f>
        <v>20445.900000000001</v>
      </c>
      <c r="F27" s="95">
        <f>'DOE25'!I28</f>
        <v>0</v>
      </c>
      <c r="G27" s="24" t="s">
        <v>288</v>
      </c>
      <c r="H27" s="124">
        <f t="shared" si="1"/>
        <v>104098.16999999998</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5000</v>
      </c>
      <c r="D29" s="95">
        <f>'DOE25'!G30</f>
        <v>36498.160000000003</v>
      </c>
      <c r="E29" s="95">
        <f>'DOE25'!H30</f>
        <v>99407.35</v>
      </c>
      <c r="F29" s="95">
        <f>'DOE25'!I30</f>
        <v>0</v>
      </c>
      <c r="G29" s="24" t="s">
        <v>288</v>
      </c>
      <c r="H29" s="124">
        <f t="shared" si="1"/>
        <v>140905.51</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660897.35</v>
      </c>
      <c r="D31" s="41">
        <f>SUM(D21:D30)</f>
        <v>79568.570000000007</v>
      </c>
      <c r="E31" s="41">
        <f>SUM(E21:E30)</f>
        <v>532354.81999999995</v>
      </c>
      <c r="F31" s="41">
        <f>SUM(F21:F30)</f>
        <v>0</v>
      </c>
      <c r="G31" s="41">
        <f>SUM(G21:G30)</f>
        <v>80000</v>
      </c>
      <c r="H31" s="41">
        <f t="shared" si="1"/>
        <v>1352820.7399999998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26104.880000000001</v>
      </c>
      <c r="E34" s="95">
        <f>'DOE25'!H35</f>
        <v>0</v>
      </c>
      <c r="F34" s="95">
        <f>'DOE25'!I35</f>
        <v>0</v>
      </c>
      <c r="G34" s="24" t="s">
        <v>288</v>
      </c>
      <c r="H34" s="124">
        <f t="shared" ref="H34:H51" si="2">SUM(C34:G34)</f>
        <v>26104.880000000001</v>
      </c>
      <c r="I34" s="124"/>
    </row>
    <row r="35" spans="1:9" x14ac:dyDescent="0.2">
      <c r="A35" s="1" t="s">
        <v>850</v>
      </c>
      <c r="B35" s="6">
        <v>752</v>
      </c>
      <c r="C35" s="95">
        <f>'DOE25'!F36</f>
        <v>29297.1</v>
      </c>
      <c r="D35" s="95">
        <f>'DOE25'!G36</f>
        <v>0</v>
      </c>
      <c r="E35" s="95">
        <f>'DOE25'!H36</f>
        <v>0</v>
      </c>
      <c r="F35" s="95">
        <f>'DOE25'!I36</f>
        <v>0</v>
      </c>
      <c r="G35" s="24" t="s">
        <v>288</v>
      </c>
      <c r="H35" s="124">
        <f t="shared" si="2"/>
        <v>29297.1</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148467.98000000001</v>
      </c>
      <c r="E39" s="24" t="s">
        <v>288</v>
      </c>
      <c r="F39" s="24" t="s">
        <v>288</v>
      </c>
      <c r="G39" s="24" t="s">
        <v>288</v>
      </c>
      <c r="H39" s="124">
        <f t="shared" si="2"/>
        <v>148467.98000000001</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100682.05</v>
      </c>
      <c r="D42" s="95">
        <f>'DOE25'!G43</f>
        <v>0</v>
      </c>
      <c r="E42" s="95">
        <f>'DOE25'!H43</f>
        <v>0</v>
      </c>
      <c r="F42" s="95">
        <f>'DOE25'!I43</f>
        <v>0</v>
      </c>
      <c r="G42" s="95">
        <f>'DOE25'!J43</f>
        <v>0</v>
      </c>
      <c r="H42" s="124">
        <f t="shared" si="2"/>
        <v>100682.05</v>
      </c>
      <c r="I42" s="124"/>
    </row>
    <row r="43" spans="1:9" x14ac:dyDescent="0.2">
      <c r="A43" s="1" t="s">
        <v>863</v>
      </c>
      <c r="B43" s="6">
        <v>755</v>
      </c>
      <c r="C43" s="95">
        <f>'DOE25'!F44</f>
        <v>120000</v>
      </c>
      <c r="D43" s="95">
        <f>'DOE25'!G44</f>
        <v>0</v>
      </c>
      <c r="E43" s="95">
        <f>'DOE25'!H44</f>
        <v>0</v>
      </c>
      <c r="F43" s="95">
        <f>'DOE25'!I44</f>
        <v>0</v>
      </c>
      <c r="G43" s="24" t="s">
        <v>288</v>
      </c>
      <c r="H43" s="124">
        <f t="shared" si="2"/>
        <v>120000</v>
      </c>
      <c r="I43" s="124"/>
    </row>
    <row r="44" spans="1:9" x14ac:dyDescent="0.2">
      <c r="A44" s="1" t="s">
        <v>864</v>
      </c>
      <c r="B44" s="6">
        <v>753</v>
      </c>
      <c r="C44" s="95">
        <f>'DOE25'!F45</f>
        <v>526042.31999999995</v>
      </c>
      <c r="D44" s="95">
        <f>'DOE25'!G45</f>
        <v>0</v>
      </c>
      <c r="E44" s="95">
        <f>'DOE25'!H45</f>
        <v>0</v>
      </c>
      <c r="F44" s="95">
        <f>'DOE25'!I45</f>
        <v>0</v>
      </c>
      <c r="G44" s="95">
        <f>'DOE25'!J45</f>
        <v>0</v>
      </c>
      <c r="H44" s="124">
        <f t="shared" si="2"/>
        <v>526042.31999999995</v>
      </c>
      <c r="I44" s="124"/>
    </row>
    <row r="45" spans="1:9" x14ac:dyDescent="0.2">
      <c r="A45" s="1" t="s">
        <v>880</v>
      </c>
      <c r="B45" s="6"/>
      <c r="C45" s="95">
        <f>'DOE25'!F46</f>
        <v>590247</v>
      </c>
      <c r="D45" s="24" t="s">
        <v>288</v>
      </c>
      <c r="E45" s="24" t="s">
        <v>288</v>
      </c>
      <c r="F45" s="24" t="s">
        <v>288</v>
      </c>
      <c r="G45" s="24" t="s">
        <v>288</v>
      </c>
      <c r="H45" s="124">
        <f t="shared" si="2"/>
        <v>590247</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1018088.23</v>
      </c>
      <c r="H47" s="124">
        <f t="shared" si="2"/>
        <v>1018088.23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860000.06</v>
      </c>
      <c r="D49" s="24" t="s">
        <v>288</v>
      </c>
      <c r="E49" s="24" t="s">
        <v>288</v>
      </c>
      <c r="F49" s="24" t="s">
        <v>288</v>
      </c>
      <c r="G49" s="24" t="s">
        <v>288</v>
      </c>
      <c r="H49" s="124">
        <f t="shared" si="2"/>
        <v>860000.06</v>
      </c>
      <c r="I49" s="124"/>
    </row>
    <row r="50" spans="1:9" ht="12.75" thickTop="1" thickBot="1" x14ac:dyDescent="0.25">
      <c r="A50" s="38" t="s">
        <v>884</v>
      </c>
      <c r="B50" s="48"/>
      <c r="C50" s="41">
        <f>SUM(C34:C49)</f>
        <v>2226268.5300000003</v>
      </c>
      <c r="D50" s="41">
        <f>SUM(D34:D49)</f>
        <v>174572.86000000002</v>
      </c>
      <c r="E50" s="41">
        <f>SUM(E34:E49)</f>
        <v>0</v>
      </c>
      <c r="F50" s="41">
        <f>SUM(F34:F49)</f>
        <v>0</v>
      </c>
      <c r="G50" s="41">
        <f>SUM(G34:G49)</f>
        <v>1018088.23</v>
      </c>
      <c r="H50" s="41">
        <f t="shared" si="2"/>
        <v>3418929.62</v>
      </c>
      <c r="I50" s="124"/>
    </row>
    <row r="51" spans="1:9" ht="12" thickTop="1" x14ac:dyDescent="0.2">
      <c r="A51" s="38" t="s">
        <v>885</v>
      </c>
      <c r="B51" s="2"/>
      <c r="C51" s="41">
        <f>C50+C31</f>
        <v>2887165.8800000004</v>
      </c>
      <c r="D51" s="41">
        <f>D50+D31</f>
        <v>254141.43000000002</v>
      </c>
      <c r="E51" s="41">
        <f>E50+E31</f>
        <v>532354.81999999995</v>
      </c>
      <c r="F51" s="41">
        <f>F50+F31</f>
        <v>0</v>
      </c>
      <c r="G51" s="41">
        <f>G50+G31</f>
        <v>1098088.23</v>
      </c>
      <c r="H51" s="41">
        <f t="shared" si="2"/>
        <v>4771750.3600000003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15347347</v>
      </c>
      <c r="D56" s="95">
        <f>'DOE25'!G60</f>
        <v>0</v>
      </c>
      <c r="E56" s="95">
        <f>'DOE25'!H60</f>
        <v>0</v>
      </c>
      <c r="F56" s="95">
        <f>'DOE25'!I60</f>
        <v>0</v>
      </c>
      <c r="G56" s="95">
        <f>'DOE25'!J60</f>
        <v>0</v>
      </c>
      <c r="H56" s="124">
        <f t="shared" ref="H56:H63" si="3">SUM(C56:G56)</f>
        <v>15347347</v>
      </c>
      <c r="I56"/>
    </row>
    <row r="57" spans="1:9" x14ac:dyDescent="0.2">
      <c r="A57" s="1" t="s">
        <v>164</v>
      </c>
      <c r="B57" s="6" t="s">
        <v>165</v>
      </c>
      <c r="C57" s="95">
        <f>'DOE25'!F79</f>
        <v>2223</v>
      </c>
      <c r="D57" s="24" t="s">
        <v>288</v>
      </c>
      <c r="E57" s="95">
        <f>'DOE25'!H79</f>
        <v>0</v>
      </c>
      <c r="F57" s="24" t="s">
        <v>288</v>
      </c>
      <c r="G57" s="24" t="s">
        <v>288</v>
      </c>
      <c r="H57" s="124">
        <f t="shared" si="3"/>
        <v>2223</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1977.1</v>
      </c>
      <c r="D59" s="95">
        <f>'DOE25'!G96</f>
        <v>0</v>
      </c>
      <c r="E59" s="95">
        <f>'DOE25'!H96</f>
        <v>0</v>
      </c>
      <c r="F59" s="95">
        <f>'DOE25'!I96</f>
        <v>0</v>
      </c>
      <c r="G59" s="95">
        <f>'DOE25'!J96</f>
        <v>1519.36</v>
      </c>
      <c r="H59" s="124">
        <f t="shared" si="3"/>
        <v>3496.46</v>
      </c>
      <c r="I59"/>
    </row>
    <row r="60" spans="1:9" x14ac:dyDescent="0.2">
      <c r="A60" s="1" t="s">
        <v>170</v>
      </c>
      <c r="B60" s="118" t="s">
        <v>171</v>
      </c>
      <c r="C60" s="24" t="s">
        <v>288</v>
      </c>
      <c r="D60" s="95">
        <f>'DOE25'!G97</f>
        <v>57225.41</v>
      </c>
      <c r="E60" s="24" t="s">
        <v>288</v>
      </c>
      <c r="F60" s="24" t="s">
        <v>288</v>
      </c>
      <c r="G60" s="24" t="s">
        <v>288</v>
      </c>
      <c r="H60" s="124">
        <f t="shared" si="3"/>
        <v>57225.41</v>
      </c>
      <c r="I60"/>
    </row>
    <row r="61" spans="1:9" ht="12" thickBot="1" x14ac:dyDescent="0.25">
      <c r="A61" s="1" t="s">
        <v>172</v>
      </c>
      <c r="B61" s="118" t="s">
        <v>173</v>
      </c>
      <c r="C61" s="95">
        <f>SUM('DOE25'!F98:F110)</f>
        <v>325709.28999999998</v>
      </c>
      <c r="D61" s="95">
        <f>SUM('DOE25'!G98:G110)</f>
        <v>1116.28</v>
      </c>
      <c r="E61" s="95">
        <f>SUM('DOE25'!H98:H110)</f>
        <v>217370.29</v>
      </c>
      <c r="F61" s="95">
        <f>SUM('DOE25'!I98:I110)</f>
        <v>0</v>
      </c>
      <c r="G61" s="95">
        <f>SUM('DOE25'!J98:J110)</f>
        <v>127208.17</v>
      </c>
      <c r="H61" s="124">
        <f t="shared" si="3"/>
        <v>671404.03</v>
      </c>
      <c r="I61"/>
    </row>
    <row r="62" spans="1:9" ht="12.75" thickTop="1" thickBot="1" x14ac:dyDescent="0.25">
      <c r="A62" s="29" t="s">
        <v>174</v>
      </c>
      <c r="B62" s="6"/>
      <c r="C62" s="130">
        <f>SUM(C57:C61)</f>
        <v>329909.38999999996</v>
      </c>
      <c r="D62" s="130">
        <f>SUM(D57:D61)</f>
        <v>58341.69</v>
      </c>
      <c r="E62" s="130">
        <f>SUM(E57:E61)</f>
        <v>217370.29</v>
      </c>
      <c r="F62" s="130">
        <f>SUM(F57:F61)</f>
        <v>0</v>
      </c>
      <c r="G62" s="130">
        <f>SUM(G57:G61)</f>
        <v>128727.53</v>
      </c>
      <c r="H62" s="124">
        <f t="shared" si="3"/>
        <v>734348.9</v>
      </c>
      <c r="I62"/>
    </row>
    <row r="63" spans="1:9" ht="12" thickTop="1" x14ac:dyDescent="0.2">
      <c r="A63" s="29" t="s">
        <v>175</v>
      </c>
      <c r="B63" s="6"/>
      <c r="C63" s="22">
        <f>C56+C62</f>
        <v>15677256.390000001</v>
      </c>
      <c r="D63" s="22">
        <f>D56+D62</f>
        <v>58341.69</v>
      </c>
      <c r="E63" s="22">
        <f>E56+E62</f>
        <v>217370.29</v>
      </c>
      <c r="F63" s="22">
        <f>F56+F62</f>
        <v>0</v>
      </c>
      <c r="G63" s="22">
        <f>G56+G62</f>
        <v>128727.53</v>
      </c>
      <c r="H63" s="124">
        <f t="shared" si="3"/>
        <v>16081695.899999999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5229629.49</v>
      </c>
      <c r="D66" s="24" t="s">
        <v>288</v>
      </c>
      <c r="E66" s="24" t="s">
        <v>288</v>
      </c>
      <c r="F66" s="24" t="s">
        <v>288</v>
      </c>
      <c r="G66" s="24" t="s">
        <v>288</v>
      </c>
      <c r="H66" s="124">
        <f t="shared" ref="H66:H81" si="4">SUM(C66:G66)</f>
        <v>5229629.49</v>
      </c>
      <c r="I66"/>
    </row>
    <row r="67" spans="1:9" x14ac:dyDescent="0.2">
      <c r="A67" s="1" t="s">
        <v>770</v>
      </c>
      <c r="B67" s="6">
        <v>3112</v>
      </c>
      <c r="C67" s="95">
        <f>'DOE25'!F118</f>
        <v>2069670</v>
      </c>
      <c r="D67" s="24"/>
      <c r="E67" s="24"/>
      <c r="F67" s="24"/>
      <c r="G67" s="24"/>
      <c r="H67" s="124">
        <f t="shared" si="4"/>
        <v>2069670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7301294.7000000002</v>
      </c>
      <c r="D70" s="139">
        <f>D69</f>
        <v>0</v>
      </c>
      <c r="E70" s="139">
        <f>E69</f>
        <v>0</v>
      </c>
      <c r="F70" s="139">
        <f>F69</f>
        <v>0</v>
      </c>
      <c r="G70" s="139">
        <f>G69</f>
        <v>0</v>
      </c>
      <c r="H70" s="124">
        <f t="shared" si="4"/>
        <v>7301294.7000000002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236689.97</v>
      </c>
      <c r="D75" s="24" t="s">
        <v>288</v>
      </c>
      <c r="E75" s="24" t="s">
        <v>288</v>
      </c>
      <c r="F75" s="24" t="s">
        <v>288</v>
      </c>
      <c r="G75" s="24" t="s">
        <v>288</v>
      </c>
      <c r="H75" s="124">
        <f t="shared" si="4"/>
        <v>236689.97</v>
      </c>
      <c r="I75"/>
    </row>
    <row r="76" spans="1:9" x14ac:dyDescent="0.2">
      <c r="A76" s="1" t="s">
        <v>257</v>
      </c>
      <c r="B76" s="6" t="s">
        <v>179</v>
      </c>
      <c r="C76" s="95">
        <f>SUM('DOE25'!F127:F130)</f>
        <v>9814.7000000000007</v>
      </c>
      <c r="D76" s="24" t="s">
        <v>288</v>
      </c>
      <c r="E76" s="95">
        <f>SUM('DOE25'!H127:H130)</f>
        <v>14256.17</v>
      </c>
      <c r="F76" s="95">
        <f>SUM('DOE25'!I127:I130)</f>
        <v>0</v>
      </c>
      <c r="G76" s="24" t="s">
        <v>288</v>
      </c>
      <c r="H76" s="124">
        <f t="shared" si="4"/>
        <v>24070.870000000003</v>
      </c>
      <c r="I76"/>
    </row>
    <row r="77" spans="1:9" ht="12" thickBot="1" x14ac:dyDescent="0.25">
      <c r="A77" s="1" t="s">
        <v>258</v>
      </c>
      <c r="B77" s="6" t="s">
        <v>180</v>
      </c>
      <c r="C77" s="95">
        <f>SUM('DOE25'!F131:F135)</f>
        <v>0</v>
      </c>
      <c r="D77" s="95">
        <f>SUM('DOE25'!G131:G135)</f>
        <v>19267.5</v>
      </c>
      <c r="E77" s="95">
        <f>SUM('DOE25'!H131:H135)</f>
        <v>0</v>
      </c>
      <c r="F77" s="95">
        <f>SUM('DOE25'!I131:I135)</f>
        <v>0</v>
      </c>
      <c r="G77" s="95">
        <f>SUM('DOE25'!J131:J135)</f>
        <v>0</v>
      </c>
      <c r="H77" s="124">
        <f t="shared" si="4"/>
        <v>19267.5</v>
      </c>
      <c r="I77"/>
    </row>
    <row r="78" spans="1:9" ht="12.75" thickTop="1" thickBot="1" x14ac:dyDescent="0.25">
      <c r="A78" s="29" t="s">
        <v>259</v>
      </c>
      <c r="B78" s="6"/>
      <c r="C78" s="130">
        <f>SUM(C72:C77)</f>
        <v>246504.67</v>
      </c>
      <c r="D78" s="130">
        <f>SUM(D72:D77)</f>
        <v>19267.5</v>
      </c>
      <c r="E78" s="130">
        <f>SUM(E72:E77)</f>
        <v>14256.17</v>
      </c>
      <c r="F78" s="130">
        <f>SUM(F72:F77)</f>
        <v>0</v>
      </c>
      <c r="G78" s="130">
        <f>SUM(G72:G77)</f>
        <v>0</v>
      </c>
      <c r="H78" s="124">
        <f t="shared" si="4"/>
        <v>280028.34000000003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7547799.3700000001</v>
      </c>
      <c r="D81" s="130">
        <f>SUM(D79:D80)+D78+D70</f>
        <v>19267.5</v>
      </c>
      <c r="E81" s="130">
        <f>SUM(E79:E80)+E78+E70</f>
        <v>14256.17</v>
      </c>
      <c r="F81" s="130">
        <f>SUM(F79:F80)+F78+F70</f>
        <v>0</v>
      </c>
      <c r="G81" s="130">
        <f>SUM(G79:G80)+G78+G70</f>
        <v>0</v>
      </c>
      <c r="H81" s="130">
        <f t="shared" si="4"/>
        <v>7581323.04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22991.37</v>
      </c>
      <c r="D88" s="326">
        <f>SUM('DOE25'!G153:G162)</f>
        <v>730942.75</v>
      </c>
      <c r="E88" s="326">
        <f>SUM('DOE25'!H153:H162)</f>
        <v>1152339.1099999999</v>
      </c>
      <c r="F88" s="326">
        <f>SUM('DOE25'!I153:I162)</f>
        <v>0</v>
      </c>
      <c r="G88" s="24" t="s">
        <v>288</v>
      </c>
      <c r="H88" s="124">
        <f t="shared" si="5"/>
        <v>1906273.23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22991.37</v>
      </c>
      <c r="D91" s="131">
        <f>SUM(D85:D90)</f>
        <v>730942.75</v>
      </c>
      <c r="E91" s="131">
        <f>SUM(E85:E90)</f>
        <v>1152339.1099999999</v>
      </c>
      <c r="F91" s="131">
        <f>SUM(F85:F90)</f>
        <v>0</v>
      </c>
      <c r="G91" s="24" t="s">
        <v>288</v>
      </c>
      <c r="H91" s="124">
        <f t="shared" si="5"/>
        <v>1906273.23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40040</v>
      </c>
      <c r="E96" s="95">
        <f>'DOE25'!H180</f>
        <v>0</v>
      </c>
      <c r="F96" s="95">
        <f>'DOE25'!I180</f>
        <v>0</v>
      </c>
      <c r="G96" s="95">
        <f>'DOE25'!J180</f>
        <v>140000</v>
      </c>
      <c r="H96" s="124">
        <f t="shared" si="5"/>
        <v>180040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45000</v>
      </c>
      <c r="D100" s="95">
        <f>SUM('DOE25'!G187:G188)</f>
        <v>0</v>
      </c>
      <c r="E100" s="95">
        <f>SUM('DOE25'!H187:H188)</f>
        <v>35000</v>
      </c>
      <c r="F100" s="95">
        <f>SUM('DOE25'!I187:I188)</f>
        <v>0</v>
      </c>
      <c r="G100" s="24" t="s">
        <v>288</v>
      </c>
      <c r="H100" s="124">
        <f t="shared" si="5"/>
        <v>80000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45000</v>
      </c>
      <c r="D103" s="86">
        <f>SUM(D93:D102)</f>
        <v>40040</v>
      </c>
      <c r="E103" s="86">
        <f>SUM(E93:E102)</f>
        <v>35000</v>
      </c>
      <c r="F103" s="86">
        <f>SUM(F93:F102)</f>
        <v>0</v>
      </c>
      <c r="G103" s="86">
        <f>SUM(G93:G102)</f>
        <v>140000</v>
      </c>
      <c r="H103" s="86">
        <f t="shared" si="5"/>
        <v>260040</v>
      </c>
    </row>
    <row r="104" spans="1:8" ht="12.75" thickTop="1" thickBot="1" x14ac:dyDescent="0.25">
      <c r="A104" s="33" t="s">
        <v>761</v>
      </c>
      <c r="C104" s="86">
        <f>C63+C81+C91+C103</f>
        <v>23293047.130000003</v>
      </c>
      <c r="D104" s="86">
        <f>D63+D81+D91+D103</f>
        <v>848591.94</v>
      </c>
      <c r="E104" s="86">
        <f>E63+E81+E91+E103</f>
        <v>1418965.5699999998</v>
      </c>
      <c r="F104" s="86">
        <f>F63+F81+F91+F103</f>
        <v>0</v>
      </c>
      <c r="G104" s="86">
        <f>G63+G81+G103</f>
        <v>268727.53000000003</v>
      </c>
      <c r="H104" s="86">
        <f t="shared" si="5"/>
        <v>25829332.170000006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9466870.7799999993</v>
      </c>
      <c r="D109" s="24" t="s">
        <v>288</v>
      </c>
      <c r="E109" s="95">
        <f>('DOE25'!L277)+('DOE25'!L296)+('DOE25'!L315)</f>
        <v>337491.67000000004</v>
      </c>
      <c r="F109" s="24" t="s">
        <v>288</v>
      </c>
      <c r="G109" s="24" t="s">
        <v>288</v>
      </c>
      <c r="H109" s="124">
        <f t="shared" ref="H109:H115" si="6">SUM(C109:G109)</f>
        <v>9804362.4499999993</v>
      </c>
    </row>
    <row r="110" spans="1:8" x14ac:dyDescent="0.2">
      <c r="A110" t="s">
        <v>198</v>
      </c>
      <c r="B110" s="32" t="s">
        <v>199</v>
      </c>
      <c r="C110" s="95">
        <f>('DOE25'!L199)+('DOE25'!L217)+('DOE25'!L235)</f>
        <v>3599302.6399999997</v>
      </c>
      <c r="D110" s="24" t="s">
        <v>288</v>
      </c>
      <c r="E110" s="95">
        <f>('DOE25'!L278)+('DOE25'!L297)+('DOE25'!L316)</f>
        <v>271955.32999999996</v>
      </c>
      <c r="F110" s="24" t="s">
        <v>288</v>
      </c>
      <c r="G110" s="24" t="s">
        <v>288</v>
      </c>
      <c r="H110" s="124">
        <f t="shared" si="6"/>
        <v>3871257.9699999997</v>
      </c>
    </row>
    <row r="111" spans="1:8" x14ac:dyDescent="0.2">
      <c r="A111" t="s">
        <v>200</v>
      </c>
      <c r="B111" s="32" t="s">
        <v>165</v>
      </c>
      <c r="C111" s="95">
        <f>('DOE25'!L200)+('DOE25'!L218)+('DOE25'!L236)</f>
        <v>165328.04</v>
      </c>
      <c r="D111" s="24" t="s">
        <v>288</v>
      </c>
      <c r="E111" s="95">
        <f>('DOE25'!L279)+('DOE25'!L298)+('DOE25'!L317)</f>
        <v>0</v>
      </c>
      <c r="F111" s="24" t="s">
        <v>288</v>
      </c>
      <c r="G111" s="24" t="s">
        <v>288</v>
      </c>
      <c r="H111" s="124">
        <f t="shared" si="6"/>
        <v>165328.04</v>
      </c>
    </row>
    <row r="112" spans="1:8" x14ac:dyDescent="0.2">
      <c r="A112" t="s">
        <v>201</v>
      </c>
      <c r="B112" s="32" t="s">
        <v>167</v>
      </c>
      <c r="C112" s="95">
        <f>('DOE25'!L201)+('DOE25'!L219)+('DOE25'!L237)</f>
        <v>450847.25</v>
      </c>
      <c r="D112" s="24" t="s">
        <v>288</v>
      </c>
      <c r="E112" s="95">
        <f>+('DOE25'!L280)+('DOE25'!L299)+('DOE25'!L318)</f>
        <v>86204.95</v>
      </c>
      <c r="F112" s="24" t="s">
        <v>288</v>
      </c>
      <c r="G112" s="24" t="s">
        <v>288</v>
      </c>
      <c r="H112" s="124">
        <f t="shared" si="6"/>
        <v>537052.19999999995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2927.18</v>
      </c>
      <c r="D114" s="24" t="s">
        <v>288</v>
      </c>
      <c r="E114" s="95">
        <f>+ SUM('DOE25'!L334:L336)</f>
        <v>0</v>
      </c>
      <c r="F114" s="24" t="s">
        <v>288</v>
      </c>
      <c r="G114" s="24" t="s">
        <v>288</v>
      </c>
      <c r="H114" s="124">
        <f t="shared" si="6"/>
        <v>2927.18</v>
      </c>
    </row>
    <row r="115" spans="1:8" ht="12.75" thickTop="1" thickBot="1" x14ac:dyDescent="0.25">
      <c r="A115" s="33" t="s">
        <v>205</v>
      </c>
      <c r="C115" s="86">
        <f>SUM(C109:C114)</f>
        <v>13685275.889999997</v>
      </c>
      <c r="D115" s="86">
        <f>SUM(D109:D114)</f>
        <v>0</v>
      </c>
      <c r="E115" s="86">
        <f>SUM(E109:E114)</f>
        <v>695651.95</v>
      </c>
      <c r="F115" s="86">
        <f>SUM(F109:F114)</f>
        <v>0</v>
      </c>
      <c r="G115" s="86">
        <f>SUM(G109:G114)</f>
        <v>0</v>
      </c>
      <c r="H115" s="86">
        <f t="shared" si="6"/>
        <v>14380927.839999996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2894710.01</v>
      </c>
      <c r="D118" s="24" t="s">
        <v>288</v>
      </c>
      <c r="E118" s="95">
        <f>+('DOE25'!L282)+('DOE25'!L301)+('DOE25'!L320)</f>
        <v>74602.36</v>
      </c>
      <c r="F118" s="24" t="s">
        <v>288</v>
      </c>
      <c r="G118" s="24" t="s">
        <v>288</v>
      </c>
      <c r="H118" s="124">
        <f t="shared" ref="H118:H145" si="7">SUM(C118:G118)</f>
        <v>2969312.3699999996</v>
      </c>
    </row>
    <row r="119" spans="1:8" x14ac:dyDescent="0.2">
      <c r="A119" t="s">
        <v>208</v>
      </c>
      <c r="B119" s="32" t="s">
        <v>209</v>
      </c>
      <c r="C119" s="95">
        <f>('DOE25'!L204)+('DOE25'!L222)+('DOE25'!L240)</f>
        <v>1146998.6299999999</v>
      </c>
      <c r="D119" s="24" t="s">
        <v>288</v>
      </c>
      <c r="E119" s="95">
        <f>+('DOE25'!L283)+('DOE25'!L302)+('DOE25'!L321)</f>
        <v>317538.17</v>
      </c>
      <c r="F119" s="24" t="s">
        <v>288</v>
      </c>
      <c r="G119" s="24" t="s">
        <v>288</v>
      </c>
      <c r="H119" s="124">
        <f t="shared" si="7"/>
        <v>1464536.7999999998</v>
      </c>
    </row>
    <row r="120" spans="1:8" x14ac:dyDescent="0.2">
      <c r="A120" t="s">
        <v>210</v>
      </c>
      <c r="B120" s="32" t="s">
        <v>211</v>
      </c>
      <c r="C120" s="95">
        <f>('DOE25'!L205)+('DOE25'!L223)+('DOE25'!L241)</f>
        <v>391622.21</v>
      </c>
      <c r="D120" s="24" t="s">
        <v>288</v>
      </c>
      <c r="E120" s="95">
        <f>+('DOE25'!L284)+('DOE25'!L303)+('DOE25'!L322)</f>
        <v>0</v>
      </c>
      <c r="F120" s="24" t="s">
        <v>288</v>
      </c>
      <c r="G120" s="24" t="s">
        <v>288</v>
      </c>
      <c r="H120" s="124">
        <f t="shared" si="7"/>
        <v>391622.21</v>
      </c>
    </row>
    <row r="121" spans="1:8" x14ac:dyDescent="0.2">
      <c r="A121" t="s">
        <v>212</v>
      </c>
      <c r="B121" s="32" t="s">
        <v>213</v>
      </c>
      <c r="C121" s="95">
        <f>('DOE25'!L206)+('DOE25'!L224)+('DOE25'!L242)</f>
        <v>1393356.36</v>
      </c>
      <c r="D121" s="24" t="s">
        <v>288</v>
      </c>
      <c r="E121" s="95">
        <f>+('DOE25'!L285)+('DOE25'!L304)+('DOE25'!L323)</f>
        <v>0</v>
      </c>
      <c r="F121" s="24" t="s">
        <v>288</v>
      </c>
      <c r="G121" s="24" t="s">
        <v>288</v>
      </c>
      <c r="H121" s="124">
        <f t="shared" si="7"/>
        <v>1393356.36</v>
      </c>
    </row>
    <row r="122" spans="1:8" x14ac:dyDescent="0.2">
      <c r="A122" t="s">
        <v>214</v>
      </c>
      <c r="B122" s="32" t="s">
        <v>215</v>
      </c>
      <c r="C122" s="95">
        <f>('DOE25'!L207)+('DOE25'!L225)+('DOE25'!L243)</f>
        <v>437152.18000000005</v>
      </c>
      <c r="D122" s="24" t="s">
        <v>288</v>
      </c>
      <c r="E122" s="95">
        <f>+('DOE25'!L286)+('DOE25'!L305)+('DOE25'!L324)</f>
        <v>22698</v>
      </c>
      <c r="F122" s="24" t="s">
        <v>288</v>
      </c>
      <c r="G122" s="24" t="s">
        <v>288</v>
      </c>
      <c r="H122" s="124">
        <f t="shared" si="7"/>
        <v>459850.18000000005</v>
      </c>
    </row>
    <row r="123" spans="1:8" x14ac:dyDescent="0.2">
      <c r="A123" t="s">
        <v>216</v>
      </c>
      <c r="B123" s="32" t="s">
        <v>217</v>
      </c>
      <c r="C123" s="95">
        <f>('DOE25'!L208)+('DOE25'!L226)+('DOE25'!L244)</f>
        <v>1821846.56</v>
      </c>
      <c r="D123" s="24" t="s">
        <v>288</v>
      </c>
      <c r="E123" s="95">
        <f>+('DOE25'!L287)+('DOE25'!L306)+('DOE25'!L325)</f>
        <v>21955.19</v>
      </c>
      <c r="F123" s="24" t="s">
        <v>288</v>
      </c>
      <c r="G123" s="24" t="s">
        <v>288</v>
      </c>
      <c r="H123" s="124">
        <f t="shared" si="7"/>
        <v>1843801.75</v>
      </c>
    </row>
    <row r="124" spans="1:8" x14ac:dyDescent="0.2">
      <c r="A124" t="s">
        <v>218</v>
      </c>
      <c r="B124" s="32" t="s">
        <v>219</v>
      </c>
      <c r="C124" s="95">
        <f>('DOE25'!L209)+('DOE25'!L227)+('DOE25'!L245+'DOE25'!L255)</f>
        <v>1098399.3800000001</v>
      </c>
      <c r="D124" s="24" t="s">
        <v>288</v>
      </c>
      <c r="E124" s="95">
        <f>+('DOE25'!L288)+('DOE25'!L307)+('DOE25'!L326)</f>
        <v>60607.46</v>
      </c>
      <c r="F124" s="24" t="s">
        <v>288</v>
      </c>
      <c r="G124" s="24" t="s">
        <v>288</v>
      </c>
      <c r="H124" s="124">
        <f t="shared" si="7"/>
        <v>1159006.8400000001</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700123.96</v>
      </c>
      <c r="E127" s="24" t="s">
        <v>288</v>
      </c>
      <c r="F127" s="24" t="s">
        <v>288</v>
      </c>
      <c r="G127" s="24" t="s">
        <v>288</v>
      </c>
      <c r="H127" s="124">
        <f t="shared" si="7"/>
        <v>700123.96</v>
      </c>
    </row>
    <row r="128" spans="1:8" ht="12.75" thickTop="1" thickBot="1" x14ac:dyDescent="0.25">
      <c r="A128" s="33" t="s">
        <v>226</v>
      </c>
      <c r="C128" s="86">
        <f>SUM(C118:C127)</f>
        <v>9184085.3300000001</v>
      </c>
      <c r="D128" s="86">
        <f>SUM(D118:D127)</f>
        <v>700123.96</v>
      </c>
      <c r="E128" s="86">
        <f>SUM(E118:E127)</f>
        <v>497401.18</v>
      </c>
      <c r="F128" s="86">
        <f>SUM(F118:F127)</f>
        <v>0</v>
      </c>
      <c r="G128" s="86">
        <f>SUM(G118:G127)</f>
        <v>0</v>
      </c>
      <c r="H128" s="86">
        <f t="shared" si="7"/>
        <v>10381610.469999999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560999.93999999994</v>
      </c>
      <c r="D130" s="24" t="s">
        <v>288</v>
      </c>
      <c r="E130" s="129">
        <f>'DOE25'!L337</f>
        <v>225912.44</v>
      </c>
      <c r="F130" s="129">
        <f>SUM('DOE25'!L375:'DOE25'!L381)</f>
        <v>0</v>
      </c>
      <c r="G130" s="24" t="s">
        <v>288</v>
      </c>
      <c r="H130" s="124">
        <f t="shared" si="7"/>
        <v>786912.37999999989</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40040</v>
      </c>
      <c r="D135" s="24" t="s">
        <v>288</v>
      </c>
      <c r="E135" s="129">
        <f>'DOE25'!L346</f>
        <v>0</v>
      </c>
      <c r="F135" s="24" t="s">
        <v>288</v>
      </c>
      <c r="G135" s="24" t="s">
        <v>288</v>
      </c>
      <c r="H135" s="124">
        <f t="shared" si="7"/>
        <v>40040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52.53</v>
      </c>
      <c r="D138" s="24" t="s">
        <v>288</v>
      </c>
      <c r="E138" s="24" t="s">
        <v>288</v>
      </c>
      <c r="F138" s="24" t="s">
        <v>288</v>
      </c>
      <c r="G138" s="24" t="s">
        <v>288</v>
      </c>
      <c r="H138" s="124">
        <f t="shared" si="7"/>
        <v>52.53</v>
      </c>
    </row>
    <row r="139" spans="1:8" x14ac:dyDescent="0.2">
      <c r="A139" t="s">
        <v>239</v>
      </c>
      <c r="B139" s="32">
        <v>5252</v>
      </c>
      <c r="C139" s="95">
        <f>'DOE25'!L402</f>
        <v>268675</v>
      </c>
      <c r="D139" s="24" t="s">
        <v>288</v>
      </c>
      <c r="E139" s="24" t="s">
        <v>288</v>
      </c>
      <c r="F139" s="24" t="s">
        <v>288</v>
      </c>
      <c r="G139" s="24" t="s">
        <v>288</v>
      </c>
      <c r="H139" s="124">
        <f t="shared" si="7"/>
        <v>268675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-128727.53000000003</v>
      </c>
      <c r="D141" s="24" t="s">
        <v>288</v>
      </c>
      <c r="E141" s="24" t="s">
        <v>288</v>
      </c>
      <c r="F141" s="24" t="s">
        <v>288</v>
      </c>
      <c r="G141" s="24" t="s">
        <v>288</v>
      </c>
      <c r="H141" s="124">
        <f t="shared" si="7"/>
        <v>-128727.53000000003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741039.94</v>
      </c>
      <c r="D144" s="141">
        <f>SUM(D130:D143)</f>
        <v>0</v>
      </c>
      <c r="E144" s="141">
        <f>SUM(E130:E143)</f>
        <v>225912.44</v>
      </c>
      <c r="F144" s="141">
        <f>SUM(F130:F143)</f>
        <v>0</v>
      </c>
      <c r="G144" s="141">
        <f>SUM(G130:G143)</f>
        <v>0</v>
      </c>
      <c r="H144" s="141">
        <f t="shared" si="7"/>
        <v>966952.37999999989</v>
      </c>
    </row>
    <row r="145" spans="1:9" ht="12.75" thickTop="1" thickBot="1" x14ac:dyDescent="0.25">
      <c r="A145" s="33" t="s">
        <v>244</v>
      </c>
      <c r="C145" s="86">
        <f>(C115+C128+C144)</f>
        <v>23610401.16</v>
      </c>
      <c r="D145" s="86">
        <f>(D115+D128+D144)</f>
        <v>700123.96</v>
      </c>
      <c r="E145" s="86">
        <f>(E115+E128+E144)</f>
        <v>1418965.5699999998</v>
      </c>
      <c r="F145" s="86">
        <f>(F115+F128+F144)</f>
        <v>0</v>
      </c>
      <c r="G145" s="86">
        <f>(G115+G128+G144)</f>
        <v>0</v>
      </c>
      <c r="H145" s="86">
        <f t="shared" si="7"/>
        <v>25729490.690000001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0.75" bottom="0.75" header="0.3" footer="0.3"/>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6"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Shaker Regional</v>
      </c>
    </row>
    <row r="3" spans="1:4" x14ac:dyDescent="0.2">
      <c r="B3" s="187" t="s">
        <v>1799</v>
      </c>
    </row>
    <row r="4" spans="1:4" x14ac:dyDescent="0.2">
      <c r="B4" t="s">
        <v>61</v>
      </c>
      <c r="C4" s="178">
        <f>IF('DOE25'!F666+'DOE25'!F671=0,0,ROUND('DOE25'!F673,0))</f>
        <v>20273</v>
      </c>
    </row>
    <row r="5" spans="1:4" x14ac:dyDescent="0.2">
      <c r="B5" t="s">
        <v>700</v>
      </c>
      <c r="C5" s="178">
        <f>IF('DOE25'!G666+'DOE25'!G671=0,0,ROUND('DOE25'!G673,0))</f>
        <v>18742</v>
      </c>
    </row>
    <row r="6" spans="1:4" x14ac:dyDescent="0.2">
      <c r="B6" t="s">
        <v>62</v>
      </c>
      <c r="C6" s="178">
        <f>IF('DOE25'!H666+'DOE25'!H671=0,0,ROUND('DOE25'!H673,0))</f>
        <v>19028</v>
      </c>
    </row>
    <row r="7" spans="1:4" x14ac:dyDescent="0.2">
      <c r="B7" t="s">
        <v>701</v>
      </c>
      <c r="C7" s="178">
        <f>IF('DOE25'!I666+'DOE25'!I671=0,0,ROUND('DOE25'!I673,0))</f>
        <v>19411</v>
      </c>
    </row>
    <row r="9" spans="1:4" x14ac:dyDescent="0.2">
      <c r="A9" s="186" t="s">
        <v>94</v>
      </c>
      <c r="B9" s="187" t="s">
        <v>1800</v>
      </c>
      <c r="C9" s="180" t="s">
        <v>720</v>
      </c>
      <c r="D9" s="180" t="s">
        <v>721</v>
      </c>
    </row>
    <row r="10" spans="1:4" x14ac:dyDescent="0.2">
      <c r="A10">
        <v>1100</v>
      </c>
      <c r="B10" t="s">
        <v>702</v>
      </c>
      <c r="C10" s="178">
        <f>ROUND('DOE25'!L198+'DOE25'!L216+'DOE25'!L234+'DOE25'!L277+'DOE25'!L296+'DOE25'!L315,0)</f>
        <v>9804362</v>
      </c>
      <c r="D10" s="181">
        <f>ROUND((C10/$C$28)*100,1)</f>
        <v>39.700000000000003</v>
      </c>
    </row>
    <row r="11" spans="1:4" x14ac:dyDescent="0.2">
      <c r="A11">
        <v>1200</v>
      </c>
      <c r="B11" t="s">
        <v>703</v>
      </c>
      <c r="C11" s="178">
        <f>ROUND('DOE25'!L199+'DOE25'!L217+'DOE25'!L235+'DOE25'!L278+'DOE25'!L297+'DOE25'!L316,0)</f>
        <v>3871258</v>
      </c>
      <c r="D11" s="181">
        <f>ROUND((C11/$C$28)*100,1)</f>
        <v>15.7</v>
      </c>
    </row>
    <row r="12" spans="1:4" x14ac:dyDescent="0.2">
      <c r="A12">
        <v>1300</v>
      </c>
      <c r="B12" t="s">
        <v>704</v>
      </c>
      <c r="C12" s="178">
        <f>ROUND('DOE25'!L200+'DOE25'!L218+'DOE25'!L236+'DOE25'!L279+'DOE25'!L298+'DOE25'!L317,0)</f>
        <v>165328</v>
      </c>
      <c r="D12" s="181">
        <f>ROUND((C12/$C$28)*100,1)</f>
        <v>0.7</v>
      </c>
    </row>
    <row r="13" spans="1:4" x14ac:dyDescent="0.2">
      <c r="A13">
        <v>1400</v>
      </c>
      <c r="B13" t="s">
        <v>705</v>
      </c>
      <c r="C13" s="178">
        <f>ROUND('DOE25'!L201+'DOE25'!L219+'DOE25'!L237+'DOE25'!L280+'DOE25'!L299+'DOE25'!L318,0)</f>
        <v>537052</v>
      </c>
      <c r="D13" s="181">
        <f>ROUND((C13/$C$28)*100,1)</f>
        <v>2.2000000000000002</v>
      </c>
    </row>
    <row r="14" spans="1:4" x14ac:dyDescent="0.2">
      <c r="D14" s="181"/>
    </row>
    <row r="15" spans="1:4" x14ac:dyDescent="0.2">
      <c r="A15">
        <v>2100</v>
      </c>
      <c r="B15" t="s">
        <v>706</v>
      </c>
      <c r="C15" s="178">
        <f>ROUND('DOE25'!L203+'DOE25'!L221+'DOE25'!L239+'DOE25'!L282+'DOE25'!L301+'DOE25'!L320,0)</f>
        <v>2969312</v>
      </c>
      <c r="D15" s="181">
        <f t="shared" ref="D15:D27" si="0">ROUND((C15/$C$28)*100,1)</f>
        <v>12</v>
      </c>
    </row>
    <row r="16" spans="1:4" x14ac:dyDescent="0.2">
      <c r="A16">
        <v>2200</v>
      </c>
      <c r="B16" t="s">
        <v>707</v>
      </c>
      <c r="C16" s="178">
        <f>ROUND('DOE25'!L204+'DOE25'!L222+'DOE25'!L240+'DOE25'!L283+'DOE25'!L302+'DOE25'!L321,0)</f>
        <v>1464537</v>
      </c>
      <c r="D16" s="181">
        <f t="shared" si="0"/>
        <v>5.9</v>
      </c>
    </row>
    <row r="17" spans="1:4" x14ac:dyDescent="0.2">
      <c r="A17" s="182" t="s">
        <v>723</v>
      </c>
      <c r="B17" t="s">
        <v>738</v>
      </c>
      <c r="C17" s="178">
        <f>ROUND('DOE25'!L205+'DOE25'!L210+'DOE25'!L223+'DOE25'!L228+'DOE25'!L241+'DOE25'!L246+'DOE25'!L284+'DOE25'!L289+'DOE25'!L303+'DOE25'!L308+'DOE25'!L322+'DOE25'!L327,0)</f>
        <v>391622</v>
      </c>
      <c r="D17" s="181">
        <f t="shared" si="0"/>
        <v>1.6</v>
      </c>
    </row>
    <row r="18" spans="1:4" x14ac:dyDescent="0.2">
      <c r="A18">
        <v>2400</v>
      </c>
      <c r="B18" t="s">
        <v>711</v>
      </c>
      <c r="C18" s="178">
        <f>ROUND('DOE25'!L206+'DOE25'!L224+'DOE25'!L242+'DOE25'!L285+'DOE25'!L304+'DOE25'!L323,0)</f>
        <v>1393356</v>
      </c>
      <c r="D18" s="181">
        <f t="shared" si="0"/>
        <v>5.6</v>
      </c>
    </row>
    <row r="19" spans="1:4" x14ac:dyDescent="0.2">
      <c r="A19">
        <v>2500</v>
      </c>
      <c r="B19" t="s">
        <v>708</v>
      </c>
      <c r="C19" s="178">
        <f>ROUND('DOE25'!L207+'DOE25'!L225+'DOE25'!L243+'DOE25'!L286+'DOE25'!L305+'DOE25'!L324,0)</f>
        <v>459850</v>
      </c>
      <c r="D19" s="181">
        <f t="shared" si="0"/>
        <v>1.9</v>
      </c>
    </row>
    <row r="20" spans="1:4" x14ac:dyDescent="0.2">
      <c r="A20">
        <v>2600</v>
      </c>
      <c r="B20" t="s">
        <v>709</v>
      </c>
      <c r="C20" s="178">
        <f>ROUND('DOE25'!L208+'DOE25'!L226+'DOE25'!L244+'DOE25'!L287+'DOE25'!L306+'DOE25'!L325,0)</f>
        <v>1843802</v>
      </c>
      <c r="D20" s="181">
        <f t="shared" si="0"/>
        <v>7.5</v>
      </c>
    </row>
    <row r="21" spans="1:4" x14ac:dyDescent="0.2">
      <c r="A21">
        <v>2700</v>
      </c>
      <c r="B21" t="s">
        <v>710</v>
      </c>
      <c r="C21" s="178">
        <f>ROUND('DOE25'!L209+'DOE25'!L227+'DOE25'!L245+'DOE25'!L288+'DOE25'!L307+'DOE25'!L326,0)</f>
        <v>1159007</v>
      </c>
      <c r="D21" s="181">
        <f t="shared" si="0"/>
        <v>4.7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2927</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641782.31000000006</v>
      </c>
      <c r="D27" s="181">
        <f t="shared" si="0"/>
        <v>2.6</v>
      </c>
    </row>
    <row r="28" spans="1:4" x14ac:dyDescent="0.2">
      <c r="B28" s="186" t="s">
        <v>719</v>
      </c>
      <c r="C28" s="179">
        <f>SUM(C10:C27)</f>
        <v>24704195.309999999</v>
      </c>
      <c r="D28" s="183">
        <f>ROUND(SUM(D10:D27),0)</f>
        <v>100</v>
      </c>
    </row>
    <row r="29" spans="1:4" x14ac:dyDescent="0.2">
      <c r="A29">
        <v>4000</v>
      </c>
      <c r="B29" t="s">
        <v>724</v>
      </c>
      <c r="C29" s="178">
        <f>ROUND('DOE25'!L256+'DOE25'!L337+'DOE25'!L375+'DOE25'!L376+'DOE25'!L377+'DOE25'!L378+'DOE25'!L379+'DOE25'!L380+'DOE25'!L381,0)</f>
        <v>786912</v>
      </c>
    </row>
    <row r="30" spans="1:4" x14ac:dyDescent="0.2">
      <c r="B30" s="186" t="s">
        <v>725</v>
      </c>
      <c r="C30" s="179">
        <f>SUM(C28:C29)</f>
        <v>25491107.309999999</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15347347</v>
      </c>
      <c r="D35" s="181">
        <f t="shared" ref="D35:D40" si="1">ROUND((C35/$C$41)*100,1)</f>
        <v>60.2</v>
      </c>
    </row>
    <row r="36" spans="1:4" x14ac:dyDescent="0.2">
      <c r="B36" s="184" t="s">
        <v>739</v>
      </c>
      <c r="C36" s="178">
        <f>SUM('DOE25'!F112:J112)-SUM('DOE25'!G97:G110)+('DOE25'!F175+'DOE25'!F176+'DOE25'!I175+'DOE25'!I176)-C35</f>
        <v>676007.20999999903</v>
      </c>
      <c r="D36" s="181">
        <f t="shared" si="1"/>
        <v>2.6</v>
      </c>
    </row>
    <row r="37" spans="1:4" x14ac:dyDescent="0.2">
      <c r="A37" s="182" t="s">
        <v>835</v>
      </c>
      <c r="B37" s="184" t="s">
        <v>728</v>
      </c>
      <c r="C37" s="178">
        <f>ROUND('DOE25'!F117+'DOE25'!F118,0)</f>
        <v>7299299</v>
      </c>
      <c r="D37" s="181">
        <f t="shared" si="1"/>
        <v>28.6</v>
      </c>
    </row>
    <row r="38" spans="1:4" x14ac:dyDescent="0.2">
      <c r="A38" s="182" t="s">
        <v>734</v>
      </c>
      <c r="B38" s="184" t="s">
        <v>729</v>
      </c>
      <c r="C38" s="178">
        <f>ROUND(SUM('DOE25'!F140:J140)-SUM('DOE25'!F117:F119),0)</f>
        <v>282024</v>
      </c>
      <c r="D38" s="181">
        <f t="shared" si="1"/>
        <v>1.1000000000000001</v>
      </c>
    </row>
    <row r="39" spans="1:4" x14ac:dyDescent="0.2">
      <c r="A39">
        <v>4000</v>
      </c>
      <c r="B39" s="184" t="s">
        <v>730</v>
      </c>
      <c r="C39" s="178">
        <f>ROUND('DOE25'!F170+'DOE25'!G170+'DOE25'!H170+'DOE25'!I170,0)</f>
        <v>1906273</v>
      </c>
      <c r="D39" s="181">
        <f t="shared" si="1"/>
        <v>7.5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25510950.210000001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Shaker Regional</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22</v>
      </c>
      <c r="B4" s="218">
        <v>9</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5</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36</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f>IF('School Level Expenditures'!$B$2='School Tables'!W7,'School Tables'!AD7,"")</f>
        <v>4</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f>IF('School Level Expenditures'!$B$2='School Tables'!L8,'School Tables'!S8,"")</f>
        <v>5</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f>IF('School Level Expenditures'!$B$2=A24,'School Tables'!H24,"")</f>
        <v>21</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f>IF('School Level Expenditures'!$B$2=A39,'School Tables'!H39,"")</f>
        <v>36</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2022-08-24T17:17:41Z</cp:lastPrinted>
  <dcterms:created xsi:type="dcterms:W3CDTF">1997-12-04T19:04:30Z</dcterms:created>
  <dcterms:modified xsi:type="dcterms:W3CDTF">2022-12-20T16:25:50Z</dcterms:modified>
</cp:coreProperties>
</file>