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9E6C859-777F-4068-80DA-FE70BB15F822}" xr6:coauthVersionLast="47" xr6:coauthVersionMax="47" xr10:uidLastSave="{00000000-0000-0000-0000-000000000000}"/>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8" i="14" l="1"/>
  <c r="F57" i="1"/>
  <c r="H235" i="1"/>
  <c r="F24" i="1"/>
  <c r="F12" i="1"/>
  <c r="F473" i="1"/>
  <c r="F469" i="1"/>
  <c r="F31" i="13"/>
  <c r="F15" i="13"/>
  <c r="F14" i="13"/>
  <c r="F6" i="13"/>
  <c r="D6" i="14"/>
  <c r="D7" i="14"/>
  <c r="C12" i="12" l="1"/>
  <c r="C10" i="12"/>
  <c r="C21" i="12"/>
  <c r="C20" i="12"/>
  <c r="C19" i="12"/>
  <c r="B19" i="12"/>
  <c r="B21" i="12"/>
  <c r="B20" i="12"/>
  <c r="C11" i="12"/>
  <c r="B12" i="12"/>
  <c r="B10" i="12"/>
  <c r="B11" i="12"/>
  <c r="C39" i="12"/>
  <c r="B39" i="12"/>
  <c r="C29" i="12"/>
  <c r="C28" i="12"/>
  <c r="B28" i="12"/>
  <c r="I522" i="1" l="1"/>
  <c r="K522" i="1"/>
  <c r="H522" i="1"/>
  <c r="G522" i="1"/>
  <c r="F522" i="1"/>
  <c r="I529" i="1"/>
  <c r="I528" i="1"/>
  <c r="I527" i="1"/>
  <c r="G528" i="1"/>
  <c r="G527" i="1"/>
  <c r="F528" i="1"/>
  <c r="F529" i="1"/>
  <c r="F527" i="1"/>
  <c r="K527" i="1"/>
  <c r="H528" i="1"/>
  <c r="H527" i="1"/>
  <c r="J592" i="1"/>
  <c r="I592" i="1"/>
  <c r="H592" i="1"/>
  <c r="J605" i="1"/>
  <c r="I605" i="1"/>
  <c r="H605" i="1"/>
  <c r="G613" i="1"/>
  <c r="G614" i="1"/>
  <c r="G612" i="1"/>
  <c r="F614" i="1"/>
  <c r="F613" i="1"/>
  <c r="F612" i="1"/>
  <c r="I614" i="1"/>
  <c r="I613" i="1"/>
  <c r="I612" i="1"/>
  <c r="I315" i="1"/>
  <c r="G315" i="1"/>
  <c r="F315" i="1"/>
  <c r="I280" i="1"/>
  <c r="I299" i="1"/>
  <c r="I296" i="1"/>
  <c r="H296" i="1"/>
  <c r="G296" i="1"/>
  <c r="F296" i="1"/>
  <c r="I277" i="1"/>
  <c r="H277" i="1"/>
  <c r="G277" i="1"/>
  <c r="F277" i="1"/>
  <c r="F280" i="1"/>
  <c r="H234" i="1"/>
  <c r="G234" i="1"/>
  <c r="F234" i="1"/>
  <c r="H216" i="1"/>
  <c r="G216" i="1"/>
  <c r="F216" i="1"/>
  <c r="I198" i="1"/>
  <c r="H198" i="1"/>
  <c r="G198" i="1"/>
  <c r="F198" i="1"/>
  <c r="E13" i="17"/>
  <c r="E11" i="17"/>
  <c r="E9" i="17"/>
  <c r="H159" i="1"/>
  <c r="H155" i="1"/>
  <c r="H162" i="1"/>
  <c r="H154" i="1"/>
  <c r="H110" i="1"/>
  <c r="F110" i="1"/>
  <c r="H361" i="1"/>
  <c r="H360" i="1"/>
  <c r="H359" i="1"/>
  <c r="G97"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L612" i="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C72" i="2"/>
  <c r="H72" i="2" s="1"/>
  <c r="F72" i="2"/>
  <c r="C73" i="2"/>
  <c r="F73" i="2"/>
  <c r="C74" i="2"/>
  <c r="H74" i="2" s="1"/>
  <c r="C75" i="2"/>
  <c r="H75" i="2" s="1"/>
  <c r="C76" i="2"/>
  <c r="E76" i="2"/>
  <c r="F76" i="2"/>
  <c r="C77" i="2"/>
  <c r="D77" i="2"/>
  <c r="D78" i="2" s="1"/>
  <c r="E77" i="2"/>
  <c r="F77" i="2"/>
  <c r="G77" i="2"/>
  <c r="C79" i="2"/>
  <c r="D79" i="2"/>
  <c r="E79" i="2"/>
  <c r="C80" i="2"/>
  <c r="H80" i="2" s="1"/>
  <c r="E80" i="2"/>
  <c r="C85" i="2"/>
  <c r="F85"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H664" i="1" l="1"/>
  <c r="G664" i="1"/>
  <c r="F664" i="1"/>
  <c r="J652" i="1"/>
  <c r="H143" i="2"/>
  <c r="E124" i="2"/>
  <c r="E120" i="2"/>
  <c r="H113" i="2"/>
  <c r="E125" i="2"/>
  <c r="E121" i="2"/>
  <c r="E112" i="2"/>
  <c r="E111" i="2"/>
  <c r="C32" i="10"/>
  <c r="C125" i="2"/>
  <c r="C119" i="2"/>
  <c r="G663" i="1"/>
  <c r="D15" i="13"/>
  <c r="C15" i="13" s="1"/>
  <c r="E13" i="13"/>
  <c r="C13" i="13" s="1"/>
  <c r="D6" i="13"/>
  <c r="C6" i="13" s="1"/>
  <c r="C13" i="10"/>
  <c r="C12" i="10"/>
  <c r="C110" i="2"/>
  <c r="C121" i="2"/>
  <c r="C120" i="2"/>
  <c r="C112" i="2"/>
  <c r="A40" i="12"/>
  <c r="H101" i="2"/>
  <c r="H89" i="2"/>
  <c r="H79" i="2"/>
  <c r="H140" i="1"/>
  <c r="H58" i="2"/>
  <c r="H99" i="2"/>
  <c r="H94" i="2"/>
  <c r="H93" i="2"/>
  <c r="H87" i="2"/>
  <c r="H76" i="2"/>
  <c r="H73" i="2"/>
  <c r="H102" i="2"/>
  <c r="H100" i="2"/>
  <c r="G662" i="1"/>
  <c r="H98" i="2"/>
  <c r="H97" i="2"/>
  <c r="H61" i="2"/>
  <c r="H59" i="2"/>
  <c r="H36" i="2"/>
  <c r="H44" i="2"/>
  <c r="I409" i="1"/>
  <c r="F409" i="1"/>
  <c r="H644" i="1" s="1"/>
  <c r="J644" i="1" s="1"/>
  <c r="G409" i="1"/>
  <c r="H646" i="1" s="1"/>
  <c r="J646" i="1" s="1"/>
  <c r="G646" i="1"/>
  <c r="G78" i="2"/>
  <c r="H77" i="2"/>
  <c r="G70" i="2"/>
  <c r="H69" i="2"/>
  <c r="G62" i="2"/>
  <c r="J112" i="1"/>
  <c r="H43" i="2"/>
  <c r="H26" i="2"/>
  <c r="H25" i="2"/>
  <c r="H477" i="1"/>
  <c r="H625" i="1" s="1"/>
  <c r="G477" i="1"/>
  <c r="H624" i="1" s="1"/>
  <c r="J624" i="1" s="1"/>
  <c r="H48" i="2"/>
  <c r="H47" i="2"/>
  <c r="H38" i="2"/>
  <c r="H35" i="2"/>
  <c r="H23" i="2"/>
  <c r="H17" i="2"/>
  <c r="H15" i="2"/>
  <c r="H12" i="2"/>
  <c r="H9" i="2"/>
  <c r="H34" i="2"/>
  <c r="H30" i="2"/>
  <c r="H29" i="2"/>
  <c r="H28" i="2"/>
  <c r="H27" i="2"/>
  <c r="H24" i="2"/>
  <c r="H22" i="2"/>
  <c r="H13" i="2"/>
  <c r="H11" i="2"/>
  <c r="H8"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L572" i="1" l="1"/>
  <c r="I664" i="1"/>
  <c r="E144" i="2"/>
  <c r="H123" i="2"/>
  <c r="H120" i="2"/>
  <c r="H112" i="2"/>
  <c r="H114" i="2"/>
  <c r="H125" i="2"/>
  <c r="H121" i="2"/>
  <c r="G24" i="14"/>
  <c r="H24" i="14" s="1"/>
  <c r="I24" i="14" s="1"/>
  <c r="H122" i="2"/>
  <c r="E128" i="2"/>
  <c r="H119" i="2"/>
  <c r="H118" i="2"/>
  <c r="E115" i="2"/>
  <c r="H110" i="2"/>
  <c r="F661" i="1"/>
  <c r="F665" i="1" s="1"/>
  <c r="F668" i="1" s="1"/>
  <c r="H109" i="2"/>
  <c r="I663" i="1"/>
  <c r="H85" i="2"/>
  <c r="H57" i="2"/>
  <c r="H91" i="2"/>
  <c r="H78" i="2"/>
  <c r="H70" i="2"/>
  <c r="C81" i="2"/>
  <c r="F194" i="1"/>
  <c r="G628" i="1" s="1"/>
  <c r="J628" i="1" s="1"/>
  <c r="D128" i="2"/>
  <c r="H127" i="2"/>
  <c r="H103" i="2"/>
  <c r="H81" i="2"/>
  <c r="H62" i="2"/>
  <c r="H42" i="2"/>
  <c r="H21" i="2"/>
  <c r="H16" i="2"/>
  <c r="H134" i="2"/>
  <c r="E51" i="2"/>
  <c r="H50" i="2"/>
  <c r="D51" i="2"/>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H63" i="2"/>
  <c r="D145" i="2"/>
  <c r="H128" i="2"/>
  <c r="H673" i="1"/>
  <c r="C6" i="10" s="1"/>
  <c r="H104" i="2"/>
  <c r="C144" i="2"/>
  <c r="C145" i="2" s="1"/>
  <c r="H141"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<sst xmlns="http://schemas.openxmlformats.org/spreadsheetml/2006/main" count="6537" uniqueCount="1809">
  <si>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</si>
  <si>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</si>
  <si>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</si>
  <si>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</si>
  <si>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</si>
  <si>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</si>
  <si>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</si>
  <si>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</si>
  <si>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</si>
  <si>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</si>
  <si>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</si>
  <si>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</si>
  <si>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</si>
  <si>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</si>
  <si>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</si>
  <si>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</si>
  <si>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</si>
  <si>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</si>
  <si>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</si>
  <si>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</si>
  <si>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</si>
  <si>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</si>
  <si>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</si>
  <si>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</si>
  <si>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</si>
  <si>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</si>
  <si>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</si>
  <si>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</si>
  <si>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</si>
  <si>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</si>
  <si>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</si>
  <si>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</si>
  <si>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</si>
  <si>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</si>
  <si>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</si>
  <si>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</si>
  <si>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</si>
  <si>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</si>
  <si>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</si>
  <si>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</si>
  <si>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</si>
  <si>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</si>
  <si>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</si>
  <si>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</si>
  <si>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</si>
  <si>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</si>
  <si>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</si>
  <si>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</si>
  <si>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</si>
  <si>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</si>
  <si>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</si>
  <si>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</si>
  <si>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</si>
  <si>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</si>
  <si>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</si>
  <si>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</si>
  <si>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</si>
  <si>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</si>
  <si>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</si>
  <si>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</si>
  <si>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</si>
  <si>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</si>
  <si>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</si>
  <si>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</si>
  <si>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</si>
  <si>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</si>
  <si>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</si>
  <si>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</si>
  <si>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</si>
  <si>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</si>
  <si>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</si>
  <si>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</si>
  <si>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</si>
  <si>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</si>
  <si>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</si>
  <si>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</si>
  <si>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</si>
  <si>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</si>
  <si>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</si>
  <si>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</si>
  <si>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</si>
  <si>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</si>
  <si>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</si>
  <si>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</si>
  <si>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</si>
  <si>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</si>
  <si>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</si>
  <si>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</si>
  <si>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</si>
  <si>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</si>
  <si>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</si>
  <si>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</si>
  <si>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</si>
  <si>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</si>
  <si>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</si>
  <si>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</si>
  <si>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</si>
  <si>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</si>
  <si>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</si>
  <si>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</si>
  <si>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</si>
  <si>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</si>
  <si>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</si>
  <si>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</si>
  <si>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</si>
  <si>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</si>
  <si>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</si>
  <si>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</si>
  <si>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</si>
  <si>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</si>
  <si>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</si>
  <si>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</si>
  <si>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</si>
  <si>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</si>
  <si>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</si>
  <si>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</si>
  <si>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</si>
  <si>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</si>
  <si>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</si>
  <si>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</si>
  <si>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</si>
  <si>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</si>
  <si>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</si>
  <si>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</si>
  <si>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</si>
  <si>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</si>
  <si>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</si>
  <si>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</si>
  <si>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</si>
  <si>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</si>
  <si>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</si>
  <si>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</si>
  <si>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</si>
  <si>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</si>
  <si>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</si>
  <si>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</si>
  <si>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</si>
  <si>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</si>
  <si>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</si>
  <si>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</si>
  <si>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</si>
  <si>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</si>
  <si>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</si>
  <si>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</si>
  <si>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</si>
  <si>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</si>
  <si>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</si>
  <si>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</si>
  <si>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</si>
  <si>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</si>
  <si>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</si>
  <si>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</si>
  <si>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</si>
  <si>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</si>
  <si>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</si>
  <si>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</si>
  <si>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</si>
  <si>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</si>
  <si>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</si>
  <si>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</si>
  <si>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</si>
  <si>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</si>
  <si>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</si>
  <si>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</si>
  <si>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</si>
  <si>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</si>
  <si>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</si>
  <si>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</si>
  <si>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</si>
  <si>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</si>
  <si>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</si>
  <si>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</si>
  <si>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</si>
  <si>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</si>
  <si>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</si>
  <si>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</si>
  <si>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</si>
  <si>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</si>
  <si>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</si>
  <si>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</si>
  <si>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</si>
  <si>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</si>
  <si>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</si>
  <si>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</si>
  <si>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</si>
  <si>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</si>
  <si>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</si>
  <si>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</si>
  <si>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</si>
  <si>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</si>
  <si>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</si>
  <si>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</si>
  <si>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</si>
  <si>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</si>
  <si>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</si>
  <si>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</si>
  <si>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</si>
  <si>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</si>
  <si>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</si>
  <si>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</si>
  <si>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</si>
  <si>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</si>
  <si>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</si>
  <si>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</si>
  <si>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</si>
  <si>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</si>
  <si>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</si>
  <si>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</si>
  <si>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</si>
  <si>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</si>
  <si>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</si>
  <si>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</si>
  <si>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</si>
  <si>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</si>
  <si>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</si>
  <si>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</si>
  <si>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</si>
  <si>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</si>
  <si>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</si>
  <si>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</si>
  <si>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</si>
  <si>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</si>
  <si>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</si>
  <si>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</si>
  <si>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</si>
  <si>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</si>
  <si>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</si>
  <si>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</si>
  <si>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</si>
  <si>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</si>
  <si>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</si>
  <si>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</si>
  <si>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</si>
  <si>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</si>
  <si>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</si>
  <si>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</si>
  <si>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</si>
  <si>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</si>
  <si>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</si>
  <si>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</si>
  <si>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</si>
  <si>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</si>
  <si>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</si>
  <si>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</si>
  <si>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</si>
  <si>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</si>
  <si>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</si>
  <si>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</si>
  <si>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</si>
  <si>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</si>
  <si>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</si>
  <si>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</si>
  <si>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</si>
  <si>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</si>
  <si>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</si>
  <si>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</si>
  <si>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</si>
  <si>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</si>
  <si>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</si>
  <si>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</si>
  <si>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</si>
  <si>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</si>
  <si>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</si>
  <si>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</si>
  <si>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</si>
  <si>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</si>
  <si>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</si>
  <si>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</si>
  <si>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</si>
  <si>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</si>
  <si>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</si>
  <si>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</si>
  <si>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</si>
  <si>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</si>
  <si>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</si>
  <si>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</si>
  <si>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</si>
  <si>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</si>
  <si>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</si>
  <si>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</si>
  <si>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</si>
  <si>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</si>
  <si>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</si>
  <si>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</si>
  <si>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</si>
  <si>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</si>
  <si>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</si>
  <si>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</si>
  <si>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</si>
  <si>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</si>
  <si>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</si>
  <si>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</si>
  <si>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</si>
  <si>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</si>
  <si>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</si>
  <si>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</si>
  <si>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</si>
  <si>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</si>
  <si>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</si>
  <si>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</si>
  <si>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</si>
  <si>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</si>
  <si>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</si>
  <si>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</si>
  <si>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</si>
  <si>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</si>
  <si>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</si>
  <si>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</si>
  <si>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</si>
  <si>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</si>
  <si>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</si>
  <si>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</si>
  <si>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</si>
  <si>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</si>
  <si>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</si>
  <si>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</si>
  <si>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</si>
  <si>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</si>
  <si>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</si>
  <si>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</si>
  <si>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</si>
  <si>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</si>
  <si>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</si>
  <si>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</si>
  <si>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</si>
  <si>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</si>
  <si>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</si>
  <si>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</si>
  <si>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</si>
  <si>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</si>
  <si>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</si>
  <si>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</si>
  <si>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</si>
  <si>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</si>
  <si>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</si>
  <si>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</si>
  <si>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</si>
  <si>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</si>
  <si>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</si>
  <si>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</si>
  <si>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</si>
  <si>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</si>
  <si>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</si>
  <si>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</si>
  <si>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</si>
  <si>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</si>
  <si>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</si>
  <si>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</si>
  <si>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</si>
  <si>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</si>
  <si>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</si>
  <si>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</si>
  <si>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</si>
  <si>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</si>
  <si>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</si>
  <si>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</si>
  <si>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</si>
  <si>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</si>
  <si>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</si>
  <si>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</si>
  <si>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</si>
  <si>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</si>
  <si>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</si>
  <si>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</si>
  <si>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</si>
  <si>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</si>
  <si>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</si>
  <si>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</si>
  <si>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</si>
  <si>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</si>
  <si>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</si>
  <si>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</si>
  <si>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</si>
  <si>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</si>
  <si>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</si>
  <si>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</si>
  <si>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</si>
  <si>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</si>
  <si>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</si>
  <si>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</si>
  <si>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</si>
  <si>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</si>
  <si>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</si>
  <si>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</si>
  <si>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</si>
  <si>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</si>
  <si>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</si>
  <si>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</si>
  <si>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</si>
  <si>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</si>
  <si>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</si>
  <si>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</si>
  <si>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</si>
  <si>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</si>
  <si>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</si>
  <si>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</si>
  <si>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</si>
  <si>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</si>
  <si>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</si>
  <si>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</si>
  <si>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</si>
  <si>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</si>
  <si>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</si>
  <si>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</si>
  <si>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</si>
  <si>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</si>
  <si>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</si>
  <si>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</si>
  <si>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</si>
  <si>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</si>
  <si>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</si>
  <si>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</si>
  <si>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</si>
  <si>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</si>
  <si>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</si>
  <si>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</si>
  <si>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</si>
  <si>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</si>
  <si>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</si>
  <si>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</si>
  <si>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</si>
  <si>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</si>
  <si>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</si>
  <si>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</si>
  <si>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</si>
  <si>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</si>
  <si>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</si>
  <si>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</si>
  <si>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</si>
  <si>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</si>
  <si>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</si>
  <si>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</si>
  <si>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</si>
  <si>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</si>
  <si>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</si>
  <si>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</si>
  <si>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</si>
  <si>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</si>
  <si>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</si>
  <si>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</si>
  <si>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</si>
  <si>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</si>
  <si>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</si>
  <si>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</si>
  <si>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</si>
  <si>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</si>
  <si>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</si>
  <si>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</si>
  <si>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</si>
  <si>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</si>
  <si>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</si>
  <si>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</si>
  <si>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</si>
  <si>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</si>
  <si>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</si>
  <si>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</si>
  <si>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</si>
  <si>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</si>
  <si>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</si>
  <si>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</si>
  <si>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</si>
  <si>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</si>
  <si>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</si>
  <si>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</si>
  <si>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</si>
  <si>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</si>
  <si>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</si>
  <si>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</si>
  <si>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</si>
  <si>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</si>
  <si>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</si>
  <si>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</si>
  <si>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</si>
  <si>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</si>
  <si>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</si>
  <si>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</si>
  <si>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</si>
  <si>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</si>
  <si>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</si>
  <si>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</si>
  <si>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</si>
  <si>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</si>
  <si>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</si>
  <si>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</si>
  <si>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</si>
  <si>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</si>
  <si>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</si>
  <si>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</si>
  <si>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</si>
  <si>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</si>
  <si>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</si>
  <si>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</si>
  <si>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</si>
  <si>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</si>
  <si>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</si>
  <si>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</si>
  <si>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</si>
  <si>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</si>
  <si>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</si>
  <si>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</si>
  <si>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</si>
  <si>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</si>
  <si>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</si>
  <si>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</si>
  <si>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</si>
  <si>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</si>
  <si>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</si>
  <si>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</si>
  <si>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</si>
  <si>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</si>
  <si>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</si>
  <si>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</si>
  <si>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</si>
  <si>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</si>
  <si>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</si>
  <si>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</si>
  <si>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</si>
  <si>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</si>
  <si>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</si>
  <si>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</si>
  <si>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</si>
  <si>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</si>
  <si>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</si>
  <si>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</si>
  <si>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</si>
  <si>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</si>
  <si>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</si>
  <si>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</si>
  <si>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</si>
  <si>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</si>
  <si>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</si>
  <si>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</si>
  <si>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</si>
  <si>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</si>
  <si>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</si>
  <si>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</si>
  <si>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</si>
  <si>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</si>
  <si>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</si>
  <si>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</si>
  <si>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</si>
  <si>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</si>
  <si>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</si>
  <si>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</si>
  <si>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</si>
  <si>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</si>
  <si>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</si>
  <si>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</si>
  <si>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</si>
  <si>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</si>
  <si>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</si>
  <si>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</si>
  <si>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</si>
  <si>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</si>
  <si>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</si>
  <si>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</si>
  <si>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</si>
  <si>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</si>
  <si>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</si>
  <si>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</si>
  <si>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</si>
  <si>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</si>
  <si>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</si>
  <si>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</si>
  <si>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</si>
  <si>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</si>
  <si>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</si>
  <si>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</si>
  <si>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</si>
  <si>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</si>
  <si>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</si>
  <si>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</si>
  <si>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</si>
  <si>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</si>
  <si>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</si>
  <si>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</si>
  <si>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</si>
  <si>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</si>
  <si>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</si>
  <si>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</si>
  <si>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</si>
  <si>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</si>
  <si>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</si>
  <si>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</si>
  <si>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</si>
  <si>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</si>
  <si>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</si>
  <si>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</si>
  <si>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</si>
  <si>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</si>
  <si>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</si>
  <si>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</si>
  <si>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</si>
  <si>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</si>
  <si>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</si>
  <si>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</si>
  <si>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</si>
  <si>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</si>
  <si>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</si>
  <si>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</si>
  <si>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</si>
  <si>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</si>
  <si>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</si>
  <si>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</si>
  <si>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</si>
  <si>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</si>
  <si>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</si>
  <si>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</si>
  <si>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</si>
  <si>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</si>
  <si>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</si>
  <si>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</si>
  <si>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</si>
  <si>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</si>
  <si>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</si>
  <si>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</si>
  <si>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</si>
  <si>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</si>
  <si>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</si>
  <si>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</si>
  <si>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</si>
  <si>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</si>
  <si>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</si>
  <si>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</si>
  <si>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</si>
  <si>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</si>
  <si>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</si>
  <si>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</si>
  <si>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</si>
  <si>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</si>
  <si>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</si>
  <si>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</si>
  <si>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</si>
  <si>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</si>
  <si>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</si>
  <si>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</si>
  <si>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</si>
  <si>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</si>
  <si>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</si>
  <si>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</si>
  <si>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</si>
  <si>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</si>
  <si>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</si>
  <si>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</si>
  <si>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</si>
  <si>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</si>
  <si>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</si>
  <si>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</si>
  <si>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</si>
  <si>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</si>
  <si>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</si>
  <si>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</si>
  <si>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</si>
  <si>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</si>
  <si>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</si>
  <si>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</si>
  <si>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</si>
  <si>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</si>
  <si>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</si>
  <si>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</si>
  <si>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</si>
  <si>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</si>
  <si>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</si>
  <si>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</si>
  <si>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</si>
  <si>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</si>
  <si>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</si>
  <si>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</si>
  <si>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</si>
  <si>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</si>
  <si>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</si>
  <si>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</si>
  <si>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</si>
  <si>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</si>
  <si>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</si>
  <si>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</si>
  <si>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</si>
  <si>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</si>
  <si>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</si>
  <si>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</si>
  <si>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</si>
  <si>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</si>
  <si>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</si>
  <si>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</si>
  <si>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</si>
  <si>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</si>
  <si>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</si>
  <si>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</si>
  <si>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</si>
  <si>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</si>
  <si>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</si>
  <si>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</si>
  <si>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</si>
  <si>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</si>
  <si>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</si>
  <si>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</si>
  <si>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</si>
  <si>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</si>
  <si>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</si>
  <si>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</si>
  <si>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</si>
  <si>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</si>
  <si>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</si>
  <si>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</si>
  <si>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</si>
  <si>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</si>
  <si>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</si>
  <si>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</si>
  <si>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</si>
  <si>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</si>
  <si>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</si>
  <si>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</si>
  <si>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</si>
  <si>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</si>
  <si>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</si>
  <si>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</si>
  <si>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</si>
  <si>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</si>
  <si>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</si>
  <si>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</si>
  <si>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</si>
  <si>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</si>
  <si>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</si>
  <si>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</si>
  <si>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</si>
  <si>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</si>
  <si>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</si>
  <si>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</si>
  <si>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</si>
  <si>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</si>
  <si>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</si>
  <si>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</si>
  <si>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</si>
  <si>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</si>
  <si>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</si>
  <si>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</si>
  <si>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</si>
  <si>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</si>
  <si>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</si>
  <si>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</si>
  <si>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</si>
  <si>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</si>
  <si>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</si>
  <si>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</si>
  <si>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</si>
  <si>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</si>
  <si>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</si>
  <si>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</si>
  <si>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</si>
  <si>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</si>
  <si>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</si>
  <si>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</si>
  <si>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</si>
  <si>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</si>
  <si>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</si>
  <si>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</si>
  <si>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</si>
  <si>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</si>
  <si>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</si>
  <si>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</si>
  <si>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</si>
  <si>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</si>
  <si>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</si>
  <si>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</si>
  <si>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</si>
  <si>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</si>
  <si>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</si>
  <si>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</si>
  <si>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</si>
  <si>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</si>
  <si>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</si>
  <si>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</si>
  <si>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</si>
  <si>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</si>
  <si>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</si>
  <si>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</si>
  <si>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</si>
  <si>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</si>
  <si>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</si>
  <si>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</si>
  <si>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</si>
  <si>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</si>
  <si>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</si>
  <si>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</si>
  <si>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</si>
  <si>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</si>
  <si>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</si>
  <si>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</si>
  <si>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</si>
  <si>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</si>
  <si>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</si>
  <si>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</si>
  <si>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</si>
  <si>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</si>
  <si>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</si>
  <si>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</si>
  <si>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</si>
  <si>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</si>
  <si>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</si>
  <si>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</si>
  <si>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</si>
  <si>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</si>
  <si>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</si>
  <si>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</si>
  <si>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</si>
  <si>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</si>
  <si>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</si>
  <si>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</si>
  <si>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</si>
  <si>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</si>
  <si>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</si>
  <si>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</si>
  <si>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</si>
  <si>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</si>
  <si>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</si>
  <si>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</si>
  <si>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</si>
  <si>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</si>
  <si>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</si>
  <si>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</si>
  <si>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</si>
  <si>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</si>
  <si>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</si>
  <si>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</si>
  <si>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</si>
  <si>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</si>
  <si>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</si>
  <si>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</si>
  <si>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</si>
  <si>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</si>
  <si>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</si>
  <si>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</si>
  <si>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</si>
  <si>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</si>
  <si>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</si>
  <si>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</si>
  <si>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</si>
  <si>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</si>
  <si>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</si>
  <si>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</si>
  <si>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</si>
  <si>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</si>
  <si>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</si>
  <si>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</si>
  <si>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</si>
  <si>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</si>
  <si>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</si>
  <si>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</si>
  <si>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</si>
  <si>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</si>
  <si>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</si>
  <si>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</si>
  <si>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</si>
  <si>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</si>
  <si>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</si>
  <si>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</si>
  <si>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</si>
  <si>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</si>
  <si>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</si>
  <si>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</si>
  <si>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</si>
  <si>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</si>
  <si>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</si>
  <si>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</si>
  <si>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</si>
  <si>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</si>
  <si>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</si>
  <si>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</si>
  <si>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</si>
  <si>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</si>
  <si>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</si>
  <si>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</si>
  <si>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</si>
  <si>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</si>
  <si>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</si>
  <si>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</si>
  <si>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</si>
  <si>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</si>
  <si>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</si>
  <si>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</si>
  <si>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</si>
  <si>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</si>
  <si>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</si>
  <si>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</si>
  <si>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</si>
  <si>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</si>
  <si>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</si>
  <si>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</si>
  <si>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</si>
  <si>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</si>
  <si>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</si>
  <si>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</si>
  <si>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</si>
  <si>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</si>
  <si>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</si>
  <si>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</si>
  <si>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</si>
  <si>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</si>
  <si>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</si>
  <si>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</si>
  <si>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</si>
  <si>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</si>
  <si>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</si>
  <si>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</si>
  <si>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</si>
  <si>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</si>
  <si>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</si>
  <si>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</si>
  <si>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</si>
  <si>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</si>
  <si>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</si>
  <si>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</si>
  <si>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</si>
  <si>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</si>
  <si>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</si>
  <si>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</si>
  <si>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</si>
  <si>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</si>
  <si>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</si>
  <si>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</si>
  <si>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</si>
  <si>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</si>
  <si>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</si>
  <si>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</si>
  <si>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</si>
  <si>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</si>
  <si>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</si>
  <si>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</si>
  <si>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</si>
  <si>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</si>
  <si>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</si>
  <si>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</si>
  <si>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</si>
  <si>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</si>
  <si>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</si>
  <si>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</si>
  <si>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</si>
  <si>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</si>
  <si>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</si>
  <si>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</si>
  <si>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</si>
  <si>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</si>
  <si>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</si>
  <si>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</si>
  <si>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</si>
  <si>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</si>
  <si>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</si>
  <si>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</si>
  <si>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</si>
  <si>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</si>
  <si>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</si>
  <si>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</si>
  <si>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</si>
  <si>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</si>
  <si>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</si>
  <si>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</si>
  <si>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</si>
  <si>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</si>
  <si>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</si>
  <si>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</si>
  <si>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</si>
  <si>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</si>
  <si>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</si>
  <si>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</si>
  <si>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</si>
  <si>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</si>
  <si>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</si>
  <si>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</si>
  <si>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</si>
  <si>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</si>
  <si>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</si>
  <si>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</si>
  <si>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</si>
  <si>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</si>
  <si>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</si>
  <si>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</si>
  <si>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</si>
  <si>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</si>
  <si>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</si>
  <si>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</si>
  <si>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</si>
  <si>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</si>
  <si>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</si>
  <si>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</si>
  <si>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</si>
  <si>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</si>
  <si>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</si>
  <si>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</si>
  <si>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</si>
  <si>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</si>
  <si>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</si>
  <si>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</si>
  <si>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</si>
  <si>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</si>
  <si>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</si>
  <si>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</si>
  <si>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</si>
  <si>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</si>
  <si>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</si>
  <si>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</si>
  <si>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</si>
  <si>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</si>
  <si>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</si>
  <si>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</si>
  <si>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</si>
  <si>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</si>
  <si>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</si>
  <si>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</si>
  <si>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</si>
  <si>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</si>
  <si>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</si>
  <si>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</si>
  <si>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</si>
  <si>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</si>
  <si>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</si>
  <si>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</si>
  <si>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</si>
  <si>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</si>
  <si>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</si>
  <si>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</si>
  <si>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</si>
  <si>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</si>
  <si>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</si>
  <si>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</si>
  <si>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</si>
  <si>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</si>
  <si>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</si>
  <si>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</si>
  <si>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</si>
  <si>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</si>
  <si>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</si>
  <si>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</si>
  <si>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</si>
  <si>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</si>
  <si>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</si>
  <si>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</si>
  <si>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</si>
  <si>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</si>
  <si>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</si>
  <si>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</si>
  <si>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</si>
  <si>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</si>
  <si>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</si>
  <si>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</si>
  <si>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</si>
  <si>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</si>
  <si>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</si>
  <si>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</si>
  <si>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</si>
  <si>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</si>
  <si>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</si>
  <si>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</si>
  <si>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</si>
  <si>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</si>
  <si>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</si>
  <si>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</si>
  <si>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</si>
  <si>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</si>
  <si>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</si>
  <si>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</si>
  <si>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</si>
  <si>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</si>
  <si>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</si>
  <si>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</si>
  <si>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</si>
  <si>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</si>
  <si>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</si>
  <si>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</si>
  <si>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</si>
  <si>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</si>
  <si>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</si>
  <si>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</si>
  <si>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</si>
  <si>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</si>
  <si>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</si>
  <si>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</si>
  <si>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</si>
  <si>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</si>
  <si>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</si>
  <si>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</si>
  <si>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</si>
  <si>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</si>
  <si>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</si>
  <si>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</si>
  <si>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</si>
  <si>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</si>
  <si>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</si>
  <si>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</si>
  <si>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</si>
  <si>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</si>
  <si>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</si>
  <si>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</si>
  <si>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</si>
  <si>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</si>
  <si>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</si>
  <si>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</si>
  <si>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</si>
  <si>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</si>
  <si>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</si>
  <si>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</si>
  <si>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</si>
  <si>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</si>
  <si>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</si>
  <si>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</si>
  <si>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</si>
  <si>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</si>
  <si>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</si>
  <si>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</si>
  <si>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</si>
  <si>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</si>
  <si>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</si>
  <si>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</si>
  <si>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</si>
  <si>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</si>
  <si>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</si>
  <si>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</si>
  <si>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</si>
  <si>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</si>
  <si>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</si>
  <si>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</si>
  <si>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</si>
  <si>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</si>
  <si>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</si>
  <si>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</si>
  <si>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</si>
  <si>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</si>
  <si>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</si>
  <si>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</si>
  <si>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</si>
  <si>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</si>
  <si>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</si>
  <si>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</si>
  <si>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</si>
  <si>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</si>
  <si>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</si>
  <si>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</si>
  <si>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</si>
  <si>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</si>
  <si>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</si>
  <si>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</si>
  <si>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</si>
  <si>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</si>
  <si>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</si>
  <si>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</si>
  <si>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</si>
  <si>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</si>
  <si>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</si>
  <si>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</si>
  <si>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</si>
  <si>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</si>
  <si>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</si>
  <si>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</si>
  <si>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</si>
  <si>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</si>
  <si>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</si>
  <si>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</si>
  <si>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</si>
  <si>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</si>
  <si>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</si>
  <si>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</si>
  <si>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</si>
  <si>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</si>
  <si>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</si>
  <si>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</si>
  <si>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</si>
  <si>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</si>
  <si>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</si>
  <si>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</si>
  <si>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</si>
  <si>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</si>
  <si>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</si>
  <si>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</si>
  <si>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</si>
  <si>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</si>
  <si>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</si>
  <si>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</si>
  <si>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</si>
  <si>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</si>
  <si>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</si>
  <si>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</si>
  <si>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</si>
  <si>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</si>
  <si>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</si>
  <si>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</si>
  <si>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</si>
  <si>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</si>
  <si>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</si>
  <si>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</si>
  <si>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</si>
  <si>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</si>
  <si>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</si>
  <si>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</si>
  <si>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</si>
  <si>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</si>
  <si>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</si>
  <si>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</si>
  <si>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</si>
  <si>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</si>
  <si>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</si>
  <si>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</si>
  <si>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</si>
  <si>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</si>
  <si>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</si>
  <si>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</si>
  <si>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</si>
  <si>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</si>
  <si>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</si>
  <si>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</si>
  <si>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</si>
  <si>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</si>
  <si>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</si>
  <si>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</si>
  <si>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</si>
  <si>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</si>
  <si>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</si>
  <si>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</si>
  <si>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</si>
  <si>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</si>
  <si>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</si>
  <si>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</si>
  <si>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</si>
  <si>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</si>
  <si>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</si>
  <si>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</si>
  <si>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</si>
  <si>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</si>
  <si>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</si>
  <si>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</si>
  <si>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</si>
  <si>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</si>
  <si>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</si>
  <si>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</si>
  <si>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</si>
  <si>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</si>
  <si>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</si>
  <si>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</si>
  <si>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</si>
  <si>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</si>
  <si>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</si>
  <si>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</si>
  <si>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</si>
  <si>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</si>
  <si>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</si>
  <si>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</si>
  <si>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</si>
  <si>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</si>
  <si>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</si>
  <si>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</si>
  <si>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</si>
  <si>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</si>
  <si>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</si>
  <si>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</si>
  <si>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</si>
  <si>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</si>
  <si>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</si>
  <si>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</si>
  <si>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</si>
  <si>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</si>
  <si>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</si>
  <si>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</si>
  <si>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</si>
  <si>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</si>
  <si>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</si>
  <si>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</si>
  <si>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</si>
  <si>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</si>
  <si>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</si>
  <si>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</si>
  <si>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</si>
  <si>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</si>
  <si>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</si>
  <si>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</si>
  <si>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</si>
  <si>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</si>
  <si>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</si>
  <si>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</si>
  <si>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</si>
  <si>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</si>
  <si>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</si>
  <si>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</si>
  <si>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</si>
  <si>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</si>
  <si>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</si>
  <si>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</si>
  <si>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</si>
  <si>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</si>
  <si>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</si>
  <si>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</si>
  <si>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</si>
  <si>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</si>
  <si>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</si>
  <si>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</si>
  <si>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</si>
  <si>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</si>
  <si>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</si>
  <si>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</si>
  <si>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</si>
  <si>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</si>
  <si>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</si>
  <si>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</si>
  <si>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</si>
  <si>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</si>
  <si>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</si>
  <si>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</si>
  <si>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</si>
  <si>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</si>
  <si>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</si>
  <si>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</si>
  <si>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</si>
  <si>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</si>
  <si>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</si>
  <si>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</si>
  <si>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</si>
  <si>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</si>
  <si>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</si>
  <si>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</si>
  <si>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</si>
  <si>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</si>
  <si>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</si>
  <si>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</si>
  <si>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</si>
  <si>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</si>
  <si>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</si>
  <si>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</si>
  <si>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</si>
  <si>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</si>
  <si>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</si>
  <si>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</si>
  <si>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</si>
  <si>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</si>
  <si>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</si>
  <si>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</si>
  <si>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</si>
  <si>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</si>
  <si>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</si>
  <si>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</si>
  <si>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</si>
  <si>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</si>
  <si>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</si>
  <si>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</si>
  <si>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</si>
  <si>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</si>
  <si>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</si>
  <si>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</si>
  <si>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</si>
  <si>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</si>
  <si>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</si>
  <si>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</si>
  <si>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</si>
  <si>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</si>
  <si>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</si>
  <si>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</si>
  <si>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</si>
  <si>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</si>
  <si>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</si>
  <si>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</si>
  <si>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</si>
  <si>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</si>
  <si>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</si>
  <si>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</si>
  <si>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</si>
  <si>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</si>
  <si>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</si>
  <si>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</si>
  <si>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</si>
  <si>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</si>
  <si>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</si>
  <si>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</si>
  <si>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</si>
  <si>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</si>
  <si>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</si>
  <si>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</si>
  <si>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</si>
  <si>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</si>
  <si>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</si>
  <si>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</si>
  <si>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</si>
  <si>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</si>
  <si>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</si>
  <si>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</si>
  <si>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</si>
  <si>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</si>
  <si>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</si>
  <si>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</si>
  <si>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</si>
  <si>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</si>
  <si>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</si>
  <si>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</si>
  <si>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</si>
  <si>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</si>
  <si>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</si>
  <si>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</si>
  <si>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</si>
  <si>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</si>
  <si>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</si>
  <si>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</si>
  <si>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</si>
  <si>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</si>
  <si>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</si>
  <si>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</si>
  <si>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</si>
  <si>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</si>
  <si>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</si>
  <si>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</si>
  <si>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</si>
  <si>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</si>
  <si>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</si>
  <si>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</si>
  <si>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</si>
  <si>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</si>
  <si>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</si>
  <si>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</si>
  <si>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</si>
  <si>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</si>
  <si>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</si>
  <si>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</si>
  <si>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</si>
  <si>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</si>
  <si>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</si>
  <si>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</si>
  <si>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</si>
  <si>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</si>
  <si>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</si>
  <si>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</si>
  <si>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</si>
  <si>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</si>
  <si>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</si>
  <si>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</si>
  <si>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</si>
  <si>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</si>
  <si>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</si>
  <si>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</si>
  <si>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</si>
  <si>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</si>
  <si>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</si>
  <si>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</si>
  <si>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</si>
  <si>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</si>
  <si>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</si>
  <si>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</si>
  <si>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</si>
  <si>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</si>
  <si>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</si>
  <si>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</si>
  <si>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</si>
  <si>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</si>
  <si>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</si>
  <si>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</si>
  <si>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</si>
  <si>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</si>
  <si>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</si>
  <si>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</si>
  <si>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</si>
  <si>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</si>
  <si>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</si>
  <si>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</si>
  <si>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</si>
  <si>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</si>
  <si>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</si>
  <si>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</si>
  <si>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</si>
  <si>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</si>
  <si>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</si>
  <si>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</si>
  <si>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</si>
  <si>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</si>
  <si>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</si>
  <si>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</si>
  <si>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</si>
  <si>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</si>
  <si>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</si>
  <si>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</si>
  <si>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</si>
  <si>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</si>
  <si>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</si>
  <si>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</si>
  <si>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</si>
  <si>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</si>
  <si>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</si>
  <si>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</si>
  <si>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</si>
  <si>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</si>
  <si>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</si>
  <si>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</si>
  <si>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</si>
  <si>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</si>
  <si>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</si>
  <si>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</si>
  <si>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</si>
  <si>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</si>
  <si>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</si>
  <si>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</si>
  <si>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</si>
  <si>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</si>
  <si>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</si>
  <si>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</si>
  <si>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</si>
  <si>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</si>
  <si>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</si>
  <si>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</si>
  <si>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</si>
  <si>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</si>
  <si>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</si>
  <si>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</si>
  <si>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</si>
  <si>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</si>
  <si>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</si>
  <si>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</si>
  <si>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</si>
  <si>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</si>
  <si>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</si>
  <si>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</si>
  <si>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</si>
  <si>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</si>
  <si>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</si>
  <si>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</si>
  <si>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</si>
  <si>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</si>
  <si>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</si>
  <si>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</si>
  <si>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</si>
  <si>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</si>
  <si>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</si>
  <si>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</si>
  <si>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</si>
  <si>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</si>
  <si>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</si>
  <si>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</si>
  <si>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</si>
  <si>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</si>
  <si>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</si>
  <si>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</si>
  <si>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</si>
  <si>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</si>
  <si>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</si>
  <si>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</si>
  <si>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</si>
  <si>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</si>
  <si>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</si>
  <si>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</si>
  <si>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</si>
  <si>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</si>
  <si>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</si>
  <si>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</si>
  <si>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</si>
  <si>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</si>
  <si>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</si>
  <si>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</si>
  <si>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</si>
  <si>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</si>
  <si>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</si>
  <si>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</si>
  <si>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</si>
  <si>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</si>
  <si>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</si>
  <si>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</si>
  <si>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</si>
  <si>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</si>
  <si>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</si>
  <si>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</si>
  <si>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</si>
  <si>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</si>
  <si>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</si>
  <si>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</si>
  <si>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</si>
  <si>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</si>
  <si>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</si>
  <si>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</si>
  <si>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</si>
  <si>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</si>
  <si>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</si>
  <si>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</si>
  <si>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</si>
  <si>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</si>
  <si>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</si>
  <si>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</si>
  <si>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</si>
  <si>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</si>
  <si>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</si>
  <si>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</si>
  <si>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</si>
  <si>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</si>
  <si>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</si>
  <si>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</si>
  <si>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</si>
  <si>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</si>
  <si>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</si>
  <si>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</si>
  <si>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</si>
  <si>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</si>
  <si>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</si>
  <si>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</si>
  <si>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</si>
  <si>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</si>
  <si>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</si>
  <si>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</si>
  <si>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</si>
  <si>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</si>
  <si>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</si>
  <si>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</si>
  <si>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</si>
  <si>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</si>
  <si>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</si>
  <si>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</si>
  <si>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</si>
  <si>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</si>
  <si>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</si>
  <si>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</si>
  <si>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</si>
  <si>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</si>
  <si>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</si>
  <si>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</si>
  <si>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</si>
  <si>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</si>
  <si>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</si>
  <si>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</si>
  <si>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</si>
  <si>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</si>
  <si>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</si>
  <si>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</si>
  <si>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</si>
  <si>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</si>
  <si>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</si>
  <si>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</si>
  <si>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</si>
  <si>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</si>
  <si>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</si>
  <si>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</si>
  <si>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</si>
  <si>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</si>
  <si>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</si>
  <si>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</si>
  <si>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</si>
  <si>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</si>
  <si>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</si>
  <si>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</si>
  <si>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</si>
  <si>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</si>
  <si>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</si>
  <si>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</si>
  <si>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</si>
  <si>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</si>
  <si>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</si>
  <si>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</si>
  <si>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</si>
  <si>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</si>
  <si>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</si>
  <si>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</si>
  <si>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</si>
  <si>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</si>
  <si>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</si>
  <si>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</si>
  <si>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</si>
  <si>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</si>
  <si>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</si>
  <si>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</si>
  <si>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</si>
  <si>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</si>
  <si>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</si>
  <si>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</si>
  <si>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</si>
  <si>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</si>
  <si>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</si>
  <si>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</si>
  <si>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</si>
  <si>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</si>
  <si>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</si>
  <si>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</si>
  <si>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</si>
  <si>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</si>
  <si>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</si>
  <si>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</si>
  <si>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</si>
  <si>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</si>
  <si>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</si>
  <si>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</si>
  <si>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</si>
  <si>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</si>
  <si>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</si>
  <si>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</si>
  <si>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</si>
  <si>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</si>
  <si>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</si>
  <si>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</si>
  <si>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</si>
  <si>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</si>
  <si>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</si>
  <si>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</si>
  <si>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</si>
  <si>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</si>
  <si>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</si>
  <si>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</si>
  <si>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</si>
  <si>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</si>
  <si>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</si>
  <si>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</si>
  <si>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</si>
  <si>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</si>
  <si>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</si>
  <si>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</si>
  <si>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</si>
  <si>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</si>
  <si>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</si>
  <si>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</si>
  <si>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</si>
  <si>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</si>
  <si>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</si>
  <si>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</si>
  <si>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</si>
  <si>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</si>
  <si>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</si>
  <si>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</si>
  <si>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</si>
  <si>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</si>
  <si>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</si>
  <si>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</si>
  <si>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</si>
  <si>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</si>
  <si>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</si>
  <si>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</si>
  <si>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</si>
  <si>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</si>
  <si>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</si>
  <si>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</si>
  <si>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</si>
  <si>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</si>
  <si>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</si>
  <si>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</si>
  <si>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</si>
  <si>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</si>
  <si>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</si>
  <si>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</si>
  <si>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</si>
  <si>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</si>
  <si>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</si>
  <si>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</si>
  <si>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</si>
  <si>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</si>
  <si>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</si>
  <si>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</si>
  <si>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</si>
  <si>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</si>
  <si>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</si>
  <si>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</si>
  <si>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</si>
  <si>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</si>
  <si>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</si>
  <si>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</si>
  <si>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</si>
  <si>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</si>
  <si>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</si>
  <si>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</si>
  <si>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</si>
  <si>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</si>
  <si>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</si>
  <si>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</si>
  <si>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</si>
  <si>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</si>
  <si>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</si>
  <si>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</si>
  <si>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</si>
  <si>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</si>
  <si>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</si>
  <si>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</si>
  <si>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</si>
  <si>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</si>
  <si>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</si>
  <si>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</si>
  <si>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</si>
  <si>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</si>
  <si>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</si>
  <si>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</si>
  <si>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</si>
  <si>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</si>
  <si>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</si>
  <si>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</si>
  <si>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</si>
  <si>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</si>
  <si>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</si>
  <si>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</si>
  <si>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</si>
  <si>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</si>
  <si>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</si>
  <si>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</si>
  <si>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</si>
  <si>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</si>
  <si>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</si>
  <si>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</si>
  <si>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</si>
  <si>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</si>
  <si>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</si>
  <si>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</si>
  <si>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</si>
  <si>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</si>
  <si>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</si>
  <si>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</si>
  <si>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</si>
  <si>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</si>
  <si>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</si>
  <si>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</si>
  <si>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</si>
  <si>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</si>
  <si>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1/10</t>
  </si>
  <si>
    <t>1/30</t>
  </si>
  <si>
    <t>8/13</t>
  </si>
  <si>
    <t>8/28</t>
  </si>
  <si>
    <t>Revenue includes SAU Services revenue from Rollinsford School District, SAU fund balance brought forward from SAU withdrawal</t>
  </si>
  <si>
    <t>We reported the $349,873.32 difference in FY 21 as a receivable</t>
  </si>
  <si>
    <t>Added additional fund 10 expenditure for an invoice received after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</si>
</sst>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1415</v>
      </c>
      <c r="B2">
        <f>INDEX('School Tables'!$AH$3:$AH$208,MATCH('DOE25'!A2,'School Tables'!$AJ$3:$AJ$208,0))</f>
        <v>491</v>
      </c>
      <c r="C2">
        <f>INDEX('School Tables'!$AI$3:$AI$208,MATCH('DOE25'!A2,'School Tables'!$AJ$3:$AJ$208,0))</f>
        <v>491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0</v>
      </c>
      <c r="G9" s="18">
        <v>0</v>
      </c>
      <c r="H9" s="18">
        <v>0</v>
      </c>
      <c r="I9" s="18">
        <v>2312856.4500000002</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544967.05+7020</f>
        <v>551987.05000000005</v>
      </c>
      <c r="G12" s="18">
        <v>223211.5</v>
      </c>
      <c r="H12" s="18">
        <v>0</v>
      </c>
      <c r="I12" s="18">
        <v>0</v>
      </c>
      <c r="J12" s="13">
        <f>SUM(I442)</f>
        <v>42845.52</v>
      </c>
      <c r="K12" s="23" t="s">
        <v>288</v>
      </c>
      <c r="L12" s="23" t="s">
        <v>288</v>
      </c>
      <c r="M12" s="8"/>
      <c r="N12" s="165"/>
    </row>
    <row r="13" spans="1:14" s="3" customFormat="1" ht="12.2" customHeight="1" x14ac:dyDescent="0.15">
      <c r="A13" s="1" t="s">
        <v>604</v>
      </c>
      <c r="B13" s="2" t="s">
        <v>289</v>
      </c>
      <c r="C13" s="6">
        <v>5</v>
      </c>
      <c r="D13" s="2" t="s">
        <v>428</v>
      </c>
      <c r="E13" s="6">
        <v>140</v>
      </c>
      <c r="F13" s="18">
        <v>0</v>
      </c>
      <c r="G13" s="18">
        <v>0</v>
      </c>
      <c r="H13" s="18">
        <v>0</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403835.05</v>
      </c>
      <c r="G14" s="18">
        <v>287002.39</v>
      </c>
      <c r="H14" s="18">
        <v>561081.06000000006</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955822.10000000009</v>
      </c>
      <c r="G19" s="38">
        <f>SUM(G9:G18)</f>
        <v>510213.89</v>
      </c>
      <c r="H19" s="38">
        <f>SUM(H9:H18)</f>
        <v>561081.06000000006</v>
      </c>
      <c r="I19" s="38">
        <f>SUM(I9:I18)</f>
        <v>2312856.4500000002</v>
      </c>
      <c r="J19" s="38">
        <f>SUM(J9:J18)</f>
        <v>42845.52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392117.19</v>
      </c>
      <c r="I22" s="18">
        <v>2292139.91</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930014.13+7020</f>
        <v>937034.13</v>
      </c>
      <c r="G24" s="18">
        <v>36276.6</v>
      </c>
      <c r="H24" s="18">
        <v>131026.37</v>
      </c>
      <c r="I24" s="18">
        <v>0</v>
      </c>
      <c r="J24" s="13">
        <f>SUM(I451)</f>
        <v>2127.11</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18787.97</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21365.67</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955822.1</v>
      </c>
      <c r="G32" s="38">
        <f>SUM(G22:G31)</f>
        <v>57642.27</v>
      </c>
      <c r="H32" s="38">
        <f>SUM(H22:H31)</f>
        <v>523143.56</v>
      </c>
      <c r="I32" s="38">
        <f>SUM(I22:I31)</f>
        <v>2292139.91</v>
      </c>
      <c r="J32" s="38">
        <f>SUM(J22:J31)</f>
        <v>2127.11</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852</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860</v>
      </c>
      <c r="B40" s="6">
        <v>1</v>
      </c>
      <c r="C40" s="6">
        <v>27</v>
      </c>
      <c r="D40" s="2"/>
      <c r="E40" s="6"/>
      <c r="F40" s="23" t="s">
        <v>288</v>
      </c>
      <c r="G40" s="18">
        <v>0</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837</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838</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874</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v>0</v>
      </c>
      <c r="G48" s="18">
        <v>452571.62</v>
      </c>
      <c r="H48" s="18">
        <v>37937.5</v>
      </c>
      <c r="I48" s="18">
        <v>20716.54</v>
      </c>
      <c r="J48" s="13">
        <f>SUM(I460)</f>
        <v>40718.410000000003</v>
      </c>
      <c r="K48" s="23" t="s">
        <v>288</v>
      </c>
      <c r="L48" s="23" t="s">
        <v>288</v>
      </c>
      <c r="M48" s="8"/>
      <c r="N48" s="165"/>
    </row>
    <row r="49" spans="1:14" s="3" customFormat="1" ht="12.2" customHeight="1" x14ac:dyDescent="0.15">
      <c r="A49" s="1" t="s">
        <v>859</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840</v>
      </c>
      <c r="B50" s="2" t="s">
        <v>289</v>
      </c>
      <c r="C50" s="56">
        <v>35</v>
      </c>
      <c r="D50" s="2" t="s">
        <v>653</v>
      </c>
      <c r="E50" s="6">
        <v>770</v>
      </c>
      <c r="F50" s="18">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452571.62</v>
      </c>
      <c r="H51" s="38">
        <f>SUM(H35:H50)</f>
        <v>37937.5</v>
      </c>
      <c r="I51" s="38">
        <f>SUM(I35:I50)</f>
        <v>20716.54</v>
      </c>
      <c r="J51" s="38">
        <f>SUM(J35:J50)</f>
        <v>40718.410000000003</v>
      </c>
      <c r="K51" s="42" t="s">
        <v>288</v>
      </c>
      <c r="L51" s="42" t="s">
        <v>288</v>
      </c>
      <c r="N51" s="131"/>
    </row>
    <row r="52" spans="1:14" s="3" customFormat="1" ht="12.2" customHeight="1" thickTop="1" x14ac:dyDescent="0.15">
      <c r="A52" s="35" t="s">
        <v>455</v>
      </c>
      <c r="B52" s="36" t="s">
        <v>289</v>
      </c>
      <c r="C52" s="6">
        <v>37</v>
      </c>
      <c r="D52" s="36" t="s">
        <v>653</v>
      </c>
      <c r="E52" s="36"/>
      <c r="F52" s="38">
        <f>F51+F32</f>
        <v>955822.1</v>
      </c>
      <c r="G52" s="38">
        <f>G51+G32</f>
        <v>510213.89</v>
      </c>
      <c r="H52" s="38">
        <f>H51+H32</f>
        <v>561081.06000000006</v>
      </c>
      <c r="I52" s="38">
        <f>I51+I32</f>
        <v>2312856.4500000002</v>
      </c>
      <c r="J52" s="38">
        <f>J51+J32</f>
        <v>42845.520000000004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15157456.97+7020</f>
        <v>15164476.970000001</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15164476.970000001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31582.5</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20082.46</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51664.959999999999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0</v>
      </c>
      <c r="G96" s="18">
        <v>0</v>
      </c>
      <c r="H96" s="18">
        <v>0</v>
      </c>
      <c r="I96" s="18">
        <v>0</v>
      </c>
      <c r="J96" s="18">
        <v>0</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3243.71+120.5</f>
        <v>3364.21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3500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207323+79447.89+307000</f>
        <v>593770.89</v>
      </c>
      <c r="G110" s="18">
        <v>10782.45</v>
      </c>
      <c r="H110" s="18">
        <f>300+6900+45560</f>
        <v>52760</v>
      </c>
      <c r="I110" s="18">
        <v>0</v>
      </c>
      <c r="J110" s="18">
        <v>63040.92</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597270.89</v>
      </c>
      <c r="G111" s="38">
        <f>SUM(G96:G110)</f>
        <v>14146.66</v>
      </c>
      <c r="H111" s="38">
        <f>SUM(H96:H110)</f>
        <v>52760</v>
      </c>
      <c r="I111" s="38">
        <f>SUM(I96:I110)</f>
        <v>0</v>
      </c>
      <c r="J111" s="38">
        <f>SUM(J96:J110)</f>
        <v>63040.92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15813412.820000002</v>
      </c>
      <c r="G112" s="38">
        <f>G60+G111</f>
        <v>14146.66</v>
      </c>
      <c r="H112" s="38">
        <f>H60+H79+H94+H111</f>
        <v>52760</v>
      </c>
      <c r="I112" s="38">
        <f>I60+I111</f>
        <v>0</v>
      </c>
      <c r="J112" s="38">
        <f>J60+J111</f>
        <v>63040.92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8042473.2300000004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1981798</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5985.63</v>
      </c>
      <c r="G120" s="18">
        <v>91995.32</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10030256.860000001</v>
      </c>
      <c r="G121" s="38">
        <f>SUM(G117:G120)</f>
        <v>91995.32</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625907.94999999995</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903</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417059.42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91296.09</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1879</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8521.5400000000009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56215.74</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1136142.46</v>
      </c>
      <c r="G136" s="38">
        <f>SUM(G123:G135)</f>
        <v>64737.279999999999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11166399.32</v>
      </c>
      <c r="G140" s="38">
        <f>G121+SUM(G136:G137)</f>
        <v>156732.6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38228.160000000003</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38228.160000000003</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93158.62+575451.57</f>
        <v>668610.18999999994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13972.45+4775.21+9317.33+88995.2+11008.8+8558.18+201570+35852.36+654.65+5.76+18339.89</f>
        <v>393049.83000000007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72777.899999999994</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962624.13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14038.07+403094.55+593.25+19840.07+7607.36</f>
        <v>445173.3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52969.26</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26185.33</v>
      </c>
      <c r="G161" s="18">
        <v>0</v>
      </c>
      <c r="H161" s="18">
        <v>0</v>
      </c>
      <c r="I161" s="18">
        <v>0</v>
      </c>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v>0</v>
      </c>
      <c r="G162" s="18">
        <v>0</v>
      </c>
      <c r="H162" s="18">
        <f>23760.82+348069.01+2266590.59</f>
        <v>2638420.42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79154.59</v>
      </c>
      <c r="G163" s="38">
        <f>SUM(G150:G162)</f>
        <v>962624.13</v>
      </c>
      <c r="H163" s="38">
        <f>SUM(H150:H162)</f>
        <v>4218031.6399999997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79154.59</v>
      </c>
      <c r="G170" s="38">
        <f>G147+G163+SUM(G164:G169)</f>
        <v>962624.13</v>
      </c>
      <c r="H170" s="38">
        <f>H147+H163+SUM(H164:H169)</f>
        <v>4256259.8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27058966.73</v>
      </c>
      <c r="G194" s="38">
        <f>G112+G140+G170+G193</f>
        <v>1133503.3900000001</v>
      </c>
      <c r="H194" s="38">
        <f>H112+H140+H170+H193</f>
        <v>4309019.8</v>
      </c>
      <c r="I194" s="38">
        <f>I112+I140+I170+I193</f>
        <v>0</v>
      </c>
      <c r="J194" s="38">
        <f>J112+J140+J193</f>
        <v>63040.92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2611663.93+4702.99</f>
        <v>2616366.9200000004</v>
      </c>
      <c r="G198" s="18">
        <f>1423488.66+111162.61</f>
        <v>1534651.27</v>
      </c>
      <c r="H198" s="18">
        <f>73554.72+3365.71</f>
        <v>76920.430000000008</v>
      </c>
      <c r="I198" s="18">
        <f>57585.31+2727.36+0.01</f>
        <v>60312.68</v>
      </c>
      <c r="J198" s="18">
        <v>7085.03</v>
      </c>
      <c r="K198" s="18">
        <v>0</v>
      </c>
      <c r="L198" s="13">
        <f>SUM(F198:K198)</f>
        <v>4295336.33</v>
      </c>
      <c r="M198" s="8"/>
      <c r="N198" s="165"/>
    </row>
    <row r="199" spans="1:14" s="3" customFormat="1" ht="12.2" customHeight="1" x14ac:dyDescent="0.15">
      <c r="A199" s="1" t="s">
        <v>439</v>
      </c>
      <c r="B199" s="2" t="s">
        <v>341</v>
      </c>
      <c r="C199" s="2" t="s">
        <v>291</v>
      </c>
      <c r="D199" s="2" t="s">
        <v>431</v>
      </c>
      <c r="E199" s="6">
        <v>1200</v>
      </c>
      <c r="F199" s="18">
        <v>1198297.9099999999</v>
      </c>
      <c r="G199" s="18">
        <v>791964.56</v>
      </c>
      <c r="H199" s="18">
        <v>573760.37</v>
      </c>
      <c r="I199" s="18">
        <v>6844.88</v>
      </c>
      <c r="J199" s="18">
        <v>1798.62</v>
      </c>
      <c r="K199" s="18">
        <v>0</v>
      </c>
      <c r="L199" s="13">
        <f>SUM(F199:K199)</f>
        <v>2572666.34</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345460.92</v>
      </c>
      <c r="G203" s="18">
        <v>182539.89</v>
      </c>
      <c r="H203" s="18">
        <v>228730.13</v>
      </c>
      <c r="I203" s="18">
        <v>2709.94</v>
      </c>
      <c r="J203" s="18">
        <v>0</v>
      </c>
      <c r="K203" s="18">
        <v>4390.57</v>
      </c>
      <c r="L203" s="13">
        <f t="shared" ref="L203:L209" si="0">SUM(F203:K203)</f>
        <v>763831.45</v>
      </c>
      <c r="M203" s="8"/>
      <c r="N203" s="165"/>
    </row>
    <row r="204" spans="1:14" s="3" customFormat="1" ht="12.2" customHeight="1" x14ac:dyDescent="0.15">
      <c r="A204" s="1" t="s">
        <v>443</v>
      </c>
      <c r="B204" s="2" t="s">
        <v>341</v>
      </c>
      <c r="C204" s="2" t="s">
        <v>295</v>
      </c>
      <c r="D204" s="2" t="s">
        <v>431</v>
      </c>
      <c r="E204" s="6">
        <v>2200</v>
      </c>
      <c r="F204" s="18">
        <v>62121</v>
      </c>
      <c r="G204" s="18">
        <v>42627.75</v>
      </c>
      <c r="H204" s="18">
        <v>29294.7</v>
      </c>
      <c r="I204" s="18">
        <v>5119.6099999999997</v>
      </c>
      <c r="J204" s="18">
        <v>0</v>
      </c>
      <c r="K204" s="18">
        <v>0</v>
      </c>
      <c r="L204" s="13">
        <f t="shared" si="0"/>
        <v>139163.06</v>
      </c>
      <c r="M204" s="8"/>
      <c r="N204" s="165"/>
    </row>
    <row r="205" spans="1:14" s="3" customFormat="1" ht="12.2" customHeight="1" x14ac:dyDescent="0.15">
      <c r="A205" s="1" t="s">
        <v>444</v>
      </c>
      <c r="B205" s="2" t="s">
        <v>341</v>
      </c>
      <c r="C205" s="2" t="s">
        <v>296</v>
      </c>
      <c r="D205" s="2" t="s">
        <v>431</v>
      </c>
      <c r="E205" s="6">
        <v>2300</v>
      </c>
      <c r="F205" s="18">
        <v>324010.06</v>
      </c>
      <c r="G205" s="18">
        <v>168624.39</v>
      </c>
      <c r="H205" s="18">
        <v>76582.36</v>
      </c>
      <c r="I205" s="18">
        <v>9768.6200000000008</v>
      </c>
      <c r="J205" s="18">
        <v>0</v>
      </c>
      <c r="K205" s="18">
        <v>7256.24</v>
      </c>
      <c r="L205" s="13">
        <f t="shared" si="0"/>
        <v>586241.67000000004</v>
      </c>
      <c r="M205" s="8"/>
      <c r="N205" s="165"/>
    </row>
    <row r="206" spans="1:14" s="3" customFormat="1" ht="12.2" customHeight="1" x14ac:dyDescent="0.15">
      <c r="A206" s="1" t="s">
        <v>445</v>
      </c>
      <c r="B206" s="2" t="s">
        <v>341</v>
      </c>
      <c r="C206" s="2" t="s">
        <v>297</v>
      </c>
      <c r="D206" s="2" t="s">
        <v>431</v>
      </c>
      <c r="E206" s="6">
        <v>2400</v>
      </c>
      <c r="F206" s="18">
        <v>475657.62</v>
      </c>
      <c r="G206" s="18">
        <v>236966.98</v>
      </c>
      <c r="H206" s="18">
        <v>4925.38</v>
      </c>
      <c r="I206" s="18">
        <v>2579.36</v>
      </c>
      <c r="J206" s="18">
        <v>0</v>
      </c>
      <c r="K206" s="18">
        <v>2670</v>
      </c>
      <c r="L206" s="13">
        <f t="shared" si="0"/>
        <v>722799.34</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356362.66</v>
      </c>
      <c r="G208" s="18">
        <v>171406.94</v>
      </c>
      <c r="H208" s="18">
        <v>250969.95</v>
      </c>
      <c r="I208" s="18">
        <v>242388.1</v>
      </c>
      <c r="J208" s="18">
        <v>668.63</v>
      </c>
      <c r="K208" s="18">
        <v>0</v>
      </c>
      <c r="L208" s="13">
        <f t="shared" si="0"/>
        <v>1021796.28</v>
      </c>
      <c r="M208" s="8"/>
      <c r="N208" s="165"/>
    </row>
    <row r="209" spans="1:14" s="3" customFormat="1" ht="12.2" customHeight="1" x14ac:dyDescent="0.15">
      <c r="A209" s="1" t="s">
        <v>448</v>
      </c>
      <c r="B209" s="2" t="s">
        <v>341</v>
      </c>
      <c r="C209" s="2" t="s">
        <v>300</v>
      </c>
      <c r="D209" s="2" t="s">
        <v>431</v>
      </c>
      <c r="E209" s="6">
        <v>2700</v>
      </c>
      <c r="F209" s="18">
        <v>0</v>
      </c>
      <c r="G209" s="18">
        <v>0</v>
      </c>
      <c r="H209" s="18">
        <v>615887.48</v>
      </c>
      <c r="I209" s="18">
        <v>1058.92</v>
      </c>
      <c r="J209" s="18">
        <v>0</v>
      </c>
      <c r="K209" s="18">
        <v>0</v>
      </c>
      <c r="L209" s="13">
        <f t="shared" si="0"/>
        <v>616946.4</v>
      </c>
      <c r="M209" s="8"/>
      <c r="N209" s="165"/>
    </row>
    <row r="210" spans="1:14" s="3" customFormat="1" ht="12.2" customHeight="1" x14ac:dyDescent="0.15">
      <c r="A210" s="1" t="s">
        <v>449</v>
      </c>
      <c r="B210" s="2" t="s">
        <v>341</v>
      </c>
      <c r="C210" s="2" t="s">
        <v>343</v>
      </c>
      <c r="D210" s="2" t="s">
        <v>431</v>
      </c>
      <c r="E210" s="6">
        <v>2800</v>
      </c>
      <c r="F210" s="18">
        <v>0</v>
      </c>
      <c r="G210" s="18">
        <v>0</v>
      </c>
      <c r="H210" s="18">
        <v>75291.17</v>
      </c>
      <c r="I210" s="18">
        <v>39035.269999999997</v>
      </c>
      <c r="J210" s="18">
        <v>33590.54</v>
      </c>
      <c r="K210" s="18">
        <v>0</v>
      </c>
      <c r="L210" s="13">
        <f>SUM(F210:K210)</f>
        <v>147916.98000000001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5378277.0899999999</v>
      </c>
      <c r="G212" s="38">
        <f t="shared" si="1"/>
        <v>3128781.7800000003</v>
      </c>
      <c r="H212" s="38">
        <f t="shared" si="1"/>
        <v>1932361.97</v>
      </c>
      <c r="I212" s="38">
        <f t="shared" si="1"/>
        <v>369817.38</v>
      </c>
      <c r="J212" s="38">
        <f t="shared" si="1"/>
        <v>43142.82</v>
      </c>
      <c r="K212" s="38">
        <f t="shared" si="1"/>
        <v>14316.81</v>
      </c>
      <c r="L212" s="38">
        <f t="shared" si="1"/>
        <v>10866697.85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1380216.79+2556.97</f>
        <v>1382773.76</v>
      </c>
      <c r="G216" s="18">
        <f>679282.28+60437.93</f>
        <v>739720.21000000008</v>
      </c>
      <c r="H216" s="18">
        <f>53008.38+1829.9</f>
        <v>54838.28</v>
      </c>
      <c r="I216" s="18">
        <v>28190.79</v>
      </c>
      <c r="J216" s="18">
        <v>3551.29</v>
      </c>
      <c r="K216" s="18">
        <v>0</v>
      </c>
      <c r="L216" s="13">
        <f>SUM(F216:K216)</f>
        <v>2209074.33</v>
      </c>
      <c r="M216" s="8"/>
      <c r="N216" s="165"/>
    </row>
    <row r="217" spans="1:14" s="3" customFormat="1" ht="12.2" customHeight="1" x14ac:dyDescent="0.15">
      <c r="A217" s="1" t="s">
        <v>439</v>
      </c>
      <c r="B217" s="2" t="s">
        <v>346</v>
      </c>
      <c r="C217" s="2" t="s">
        <v>291</v>
      </c>
      <c r="D217" s="2" t="s">
        <v>431</v>
      </c>
      <c r="E217" s="6">
        <v>1200</v>
      </c>
      <c r="F217" s="18">
        <v>535384.47</v>
      </c>
      <c r="G217" s="18">
        <v>356809</v>
      </c>
      <c r="H217" s="18">
        <v>289987.63</v>
      </c>
      <c r="I217" s="18">
        <v>4360.09</v>
      </c>
      <c r="J217" s="18">
        <v>0</v>
      </c>
      <c r="K217" s="18">
        <v>0</v>
      </c>
      <c r="L217" s="13">
        <f>SUM(F217:K217)</f>
        <v>1186541.1900000002</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23802.01</v>
      </c>
      <c r="G219" s="18">
        <v>6170.08</v>
      </c>
      <c r="H219" s="18">
        <v>2450.1999999999998</v>
      </c>
      <c r="I219" s="18">
        <v>1613.62</v>
      </c>
      <c r="J219" s="18">
        <v>1039</v>
      </c>
      <c r="K219" s="18">
        <v>0</v>
      </c>
      <c r="L219" s="13">
        <f>SUM(F219:K219)</f>
        <v>35074.909999999996</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349897.46</v>
      </c>
      <c r="G221" s="18">
        <v>211781.7</v>
      </c>
      <c r="H221" s="18">
        <v>82643.91</v>
      </c>
      <c r="I221" s="18">
        <v>1409.46</v>
      </c>
      <c r="J221" s="18">
        <v>0</v>
      </c>
      <c r="K221" s="18">
        <v>2774.1</v>
      </c>
      <c r="L221" s="13">
        <f t="shared" ref="L221:L227" si="2">SUM(F221:K221)</f>
        <v>648506.63</v>
      </c>
      <c r="M221" s="8"/>
      <c r="N221" s="165"/>
    </row>
    <row r="222" spans="1:14" s="3" customFormat="1" ht="12.2" customHeight="1" x14ac:dyDescent="0.15">
      <c r="A222" s="1" t="s">
        <v>443</v>
      </c>
      <c r="B222" s="2" t="s">
        <v>346</v>
      </c>
      <c r="C222" s="2" t="s">
        <v>295</v>
      </c>
      <c r="D222" s="2" t="s">
        <v>431</v>
      </c>
      <c r="E222" s="6">
        <v>2200</v>
      </c>
      <c r="F222" s="18">
        <v>49093</v>
      </c>
      <c r="G222" s="18">
        <v>38679.58</v>
      </c>
      <c r="H222" s="18">
        <v>14754.88</v>
      </c>
      <c r="I222" s="18">
        <v>3825.89</v>
      </c>
      <c r="J222" s="18">
        <v>0</v>
      </c>
      <c r="K222" s="18">
        <v>0</v>
      </c>
      <c r="L222" s="13">
        <f t="shared" si="2"/>
        <v>106353.35</v>
      </c>
      <c r="M222" s="8"/>
      <c r="N222" s="165"/>
    </row>
    <row r="223" spans="1:14" s="3" customFormat="1" ht="12.2" customHeight="1" x14ac:dyDescent="0.15">
      <c r="A223" s="1" t="s">
        <v>444</v>
      </c>
      <c r="B223" s="2" t="s">
        <v>346</v>
      </c>
      <c r="C223" s="2" t="s">
        <v>296</v>
      </c>
      <c r="D223" s="2" t="s">
        <v>431</v>
      </c>
      <c r="E223" s="6">
        <v>2300</v>
      </c>
      <c r="F223" s="18">
        <v>176160.81</v>
      </c>
      <c r="G223" s="18">
        <v>91679.28</v>
      </c>
      <c r="H223" s="18">
        <v>41637.01</v>
      </c>
      <c r="I223" s="18">
        <v>5311.1</v>
      </c>
      <c r="J223" s="18">
        <v>0</v>
      </c>
      <c r="K223" s="18">
        <v>3945.14</v>
      </c>
      <c r="L223" s="13">
        <f t="shared" si="2"/>
        <v>318733.33999999997</v>
      </c>
      <c r="M223" s="8"/>
      <c r="N223" s="165"/>
    </row>
    <row r="224" spans="1:14" s="3" customFormat="1" ht="12.2" customHeight="1" x14ac:dyDescent="0.15">
      <c r="A224" s="1" t="s">
        <v>445</v>
      </c>
      <c r="B224" s="2" t="s">
        <v>346</v>
      </c>
      <c r="C224" s="2" t="s">
        <v>297</v>
      </c>
      <c r="D224" s="2" t="s">
        <v>431</v>
      </c>
      <c r="E224" s="6">
        <v>2400</v>
      </c>
      <c r="F224" s="18">
        <v>263709.96000000002</v>
      </c>
      <c r="G224" s="18">
        <v>146904.81</v>
      </c>
      <c r="H224" s="18">
        <v>3633.16</v>
      </c>
      <c r="I224" s="18">
        <v>11570.99</v>
      </c>
      <c r="J224" s="18">
        <v>2150</v>
      </c>
      <c r="K224" s="18">
        <v>1445</v>
      </c>
      <c r="L224" s="13">
        <f t="shared" si="2"/>
        <v>429413.92</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174420.64</v>
      </c>
      <c r="G226" s="18">
        <v>72416.61</v>
      </c>
      <c r="H226" s="18">
        <v>724368.46</v>
      </c>
      <c r="I226" s="18">
        <v>93645.39</v>
      </c>
      <c r="J226" s="18">
        <v>363.52</v>
      </c>
      <c r="K226" s="18">
        <v>0</v>
      </c>
      <c r="L226" s="13">
        <f t="shared" si="2"/>
        <v>1065214.6199999999</v>
      </c>
      <c r="M226" s="8"/>
      <c r="N226" s="165"/>
    </row>
    <row r="227" spans="1:14" s="3" customFormat="1" ht="12.2" customHeight="1" x14ac:dyDescent="0.15">
      <c r="A227" s="1" t="s">
        <v>448</v>
      </c>
      <c r="B227" s="2" t="s">
        <v>346</v>
      </c>
      <c r="C227" s="2" t="s">
        <v>300</v>
      </c>
      <c r="D227" s="2" t="s">
        <v>431</v>
      </c>
      <c r="E227" s="6">
        <v>2700</v>
      </c>
      <c r="F227" s="18">
        <v>0</v>
      </c>
      <c r="G227" s="18">
        <v>0</v>
      </c>
      <c r="H227" s="18">
        <v>337915.05</v>
      </c>
      <c r="I227" s="18">
        <v>575.73</v>
      </c>
      <c r="J227" s="18">
        <v>0</v>
      </c>
      <c r="K227" s="18">
        <v>0</v>
      </c>
      <c r="L227" s="13">
        <f t="shared" si="2"/>
        <v>338490.77999999997</v>
      </c>
      <c r="M227" s="8"/>
      <c r="N227" s="165"/>
    </row>
    <row r="228" spans="1:14" s="3" customFormat="1" ht="12.2" customHeight="1" x14ac:dyDescent="0.15">
      <c r="A228" s="1" t="s">
        <v>449</v>
      </c>
      <c r="B228" s="2" t="s">
        <v>346</v>
      </c>
      <c r="C228" s="2" t="s">
        <v>343</v>
      </c>
      <c r="D228" s="2" t="s">
        <v>431</v>
      </c>
      <c r="E228" s="6">
        <v>2800</v>
      </c>
      <c r="F228" s="18">
        <v>0</v>
      </c>
      <c r="G228" s="18">
        <v>0</v>
      </c>
      <c r="H228" s="18">
        <v>40935</v>
      </c>
      <c r="I228" s="18">
        <v>21223.06</v>
      </c>
      <c r="J228" s="18">
        <v>18262.82</v>
      </c>
      <c r="K228" s="18">
        <v>0</v>
      </c>
      <c r="L228" s="13">
        <f>SUM(F228:K228)</f>
        <v>80420.88</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2955242.1100000003</v>
      </c>
      <c r="G230" s="38">
        <f>SUM(G216:G229)</f>
        <v>1664161.2700000003</v>
      </c>
      <c r="H230" s="38">
        <f>SUM(H216:H229)</f>
        <v>1593163.58</v>
      </c>
      <c r="I230" s="38">
        <f>SUM(I216:I229)</f>
        <v>171726.12</v>
      </c>
      <c r="J230" s="38">
        <f>SUM(J216:J229)</f>
        <v>25366.629999999997</v>
      </c>
      <c r="K230" s="38">
        <f t="shared" si="3"/>
        <v>8164.24</v>
      </c>
      <c r="L230" s="38">
        <f t="shared" si="3"/>
        <v>6417823.9500000011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1331177.73+2770.05</f>
        <v>1333947.78</v>
      </c>
      <c r="G234" s="18">
        <f>660897.32+65474.42</f>
        <v>726371.74</v>
      </c>
      <c r="H234" s="18">
        <f>48032.14+1982.39</f>
        <v>50014.53</v>
      </c>
      <c r="I234" s="18">
        <v>39590.21</v>
      </c>
      <c r="J234" s="18">
        <v>4710.96</v>
      </c>
      <c r="K234" s="18">
        <v>435</v>
      </c>
      <c r="L234" s="13">
        <f>SUM(F234:K234)</f>
        <v>2155070.2199999997</v>
      </c>
      <c r="M234" s="8"/>
      <c r="N234" s="165"/>
    </row>
    <row r="235" spans="1:14" s="3" customFormat="1" ht="12.2" customHeight="1" x14ac:dyDescent="0.15">
      <c r="A235" s="1" t="s">
        <v>439</v>
      </c>
      <c r="B235" s="2" t="s">
        <v>350</v>
      </c>
      <c r="C235" s="2" t="s">
        <v>291</v>
      </c>
      <c r="D235" s="2" t="s">
        <v>431</v>
      </c>
      <c r="E235" s="6">
        <v>1200</v>
      </c>
      <c r="F235" s="18">
        <v>748949.89</v>
      </c>
      <c r="G235" s="18">
        <v>447790.28</v>
      </c>
      <c r="H235" s="18">
        <f>816068.56+7020</f>
        <v>823088.56</v>
      </c>
      <c r="I235" s="18">
        <v>3355.49</v>
      </c>
      <c r="J235" s="18">
        <v>0</v>
      </c>
      <c r="K235" s="18">
        <v>0</v>
      </c>
      <c r="L235" s="13">
        <f>SUM(F235:K235)</f>
        <v>2023184.22</v>
      </c>
      <c r="M235" s="8"/>
      <c r="N235" s="165"/>
    </row>
    <row r="236" spans="1:14" s="3" customFormat="1" ht="12.2" customHeight="1" x14ac:dyDescent="0.15">
      <c r="A236" s="1" t="s">
        <v>440</v>
      </c>
      <c r="B236" s="2" t="s">
        <v>350</v>
      </c>
      <c r="C236" s="2" t="s">
        <v>292</v>
      </c>
      <c r="D236" s="2" t="s">
        <v>431</v>
      </c>
      <c r="E236" s="6">
        <v>1300</v>
      </c>
      <c r="F236" s="18">
        <v>482313.76</v>
      </c>
      <c r="G236" s="18">
        <v>266374.69</v>
      </c>
      <c r="H236" s="18">
        <v>34891.82</v>
      </c>
      <c r="I236" s="18">
        <v>35812.11</v>
      </c>
      <c r="J236" s="18">
        <v>54345.22</v>
      </c>
      <c r="K236" s="18">
        <v>0</v>
      </c>
      <c r="L236" s="13">
        <f>SUM(F236:K236)</f>
        <v>873737.59999999986</v>
      </c>
      <c r="M236" s="8"/>
      <c r="N236" s="165"/>
    </row>
    <row r="237" spans="1:14" s="3" customFormat="1" ht="12.2" customHeight="1" x14ac:dyDescent="0.15">
      <c r="A237" s="1" t="s">
        <v>441</v>
      </c>
      <c r="B237" s="2" t="s">
        <v>350</v>
      </c>
      <c r="C237" s="2" t="s">
        <v>293</v>
      </c>
      <c r="D237" s="2" t="s">
        <v>431</v>
      </c>
      <c r="E237" s="6">
        <v>1400</v>
      </c>
      <c r="F237" s="18">
        <v>122365.87</v>
      </c>
      <c r="G237" s="18">
        <v>28052.59</v>
      </c>
      <c r="H237" s="18">
        <v>9500.51</v>
      </c>
      <c r="I237" s="18">
        <v>605</v>
      </c>
      <c r="J237" s="18">
        <v>33480.92</v>
      </c>
      <c r="K237" s="18">
        <v>9385.06</v>
      </c>
      <c r="L237" s="13">
        <f>SUM(F237:K237)</f>
        <v>203389.95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229276.47</v>
      </c>
      <c r="G239" s="18">
        <v>134728.09</v>
      </c>
      <c r="H239" s="18">
        <v>90889.600000000006</v>
      </c>
      <c r="I239" s="18">
        <v>1646.21</v>
      </c>
      <c r="J239" s="18">
        <v>0</v>
      </c>
      <c r="K239" s="18">
        <v>5486.63</v>
      </c>
      <c r="L239" s="13">
        <f t="shared" ref="L239:L245" si="4">SUM(F239:K239)</f>
        <v>462027.00000000006</v>
      </c>
      <c r="M239" s="8"/>
      <c r="N239" s="165"/>
    </row>
    <row r="240" spans="1:14" s="3" customFormat="1" ht="12.2" customHeight="1" x14ac:dyDescent="0.15">
      <c r="A240" s="1" t="s">
        <v>443</v>
      </c>
      <c r="B240" s="2" t="s">
        <v>350</v>
      </c>
      <c r="C240" s="2" t="s">
        <v>295</v>
      </c>
      <c r="D240" s="2" t="s">
        <v>431</v>
      </c>
      <c r="E240" s="6">
        <v>2200</v>
      </c>
      <c r="F240" s="18">
        <v>73398.720000000001</v>
      </c>
      <c r="G240" s="18">
        <v>55263.87</v>
      </c>
      <c r="H240" s="18">
        <v>30436.11</v>
      </c>
      <c r="I240" s="18">
        <v>12117.91</v>
      </c>
      <c r="J240" s="18">
        <v>628.78</v>
      </c>
      <c r="K240" s="18">
        <v>0</v>
      </c>
      <c r="L240" s="13">
        <f t="shared" si="4"/>
        <v>171845.39</v>
      </c>
      <c r="M240" s="8"/>
      <c r="N240" s="165"/>
    </row>
    <row r="241" spans="1:14" s="3" customFormat="1" ht="12.2" customHeight="1" x14ac:dyDescent="0.15">
      <c r="A241" s="1" t="s">
        <v>444</v>
      </c>
      <c r="B241" s="2" t="s">
        <v>350</v>
      </c>
      <c r="C241" s="2" t="s">
        <v>296</v>
      </c>
      <c r="D241" s="2" t="s">
        <v>431</v>
      </c>
      <c r="E241" s="6">
        <v>2300</v>
      </c>
      <c r="F241" s="18">
        <v>190840.88</v>
      </c>
      <c r="G241" s="18">
        <v>99319.22</v>
      </c>
      <c r="H241" s="18">
        <v>45106.76</v>
      </c>
      <c r="I241" s="18">
        <v>5753.69</v>
      </c>
      <c r="J241" s="18">
        <v>0</v>
      </c>
      <c r="K241" s="18">
        <v>4273.8999999999996</v>
      </c>
      <c r="L241" s="13">
        <f t="shared" si="4"/>
        <v>345294.45</v>
      </c>
      <c r="M241" s="8"/>
      <c r="N241" s="165"/>
    </row>
    <row r="242" spans="1:14" s="3" customFormat="1" ht="12.2" customHeight="1" x14ac:dyDescent="0.15">
      <c r="A242" s="1" t="s">
        <v>445</v>
      </c>
      <c r="B242" s="2" t="s">
        <v>350</v>
      </c>
      <c r="C242" s="2" t="s">
        <v>297</v>
      </c>
      <c r="D242" s="2" t="s">
        <v>431</v>
      </c>
      <c r="E242" s="6">
        <v>2400</v>
      </c>
      <c r="F242" s="18">
        <v>457018.9</v>
      </c>
      <c r="G242" s="18">
        <v>193004.76</v>
      </c>
      <c r="H242" s="18">
        <v>11925.51</v>
      </c>
      <c r="I242" s="18">
        <v>2304.39</v>
      </c>
      <c r="J242" s="18">
        <v>309.95999999999998</v>
      </c>
      <c r="K242" s="18">
        <v>6170</v>
      </c>
      <c r="L242" s="13">
        <f t="shared" si="4"/>
        <v>670733.52</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255185.28</v>
      </c>
      <c r="G244" s="18">
        <v>116447.24</v>
      </c>
      <c r="H244" s="18">
        <v>256061.63</v>
      </c>
      <c r="I244" s="18">
        <v>256808.43</v>
      </c>
      <c r="J244" s="18">
        <v>393.82</v>
      </c>
      <c r="K244" s="18">
        <v>0</v>
      </c>
      <c r="L244" s="13">
        <f t="shared" si="4"/>
        <v>884896.4</v>
      </c>
      <c r="M244" s="8"/>
      <c r="N244" s="165"/>
    </row>
    <row r="245" spans="1:14" s="3" customFormat="1" ht="12.2" customHeight="1" x14ac:dyDescent="0.15">
      <c r="A245" s="1" t="s">
        <v>448</v>
      </c>
      <c r="B245" s="2" t="s">
        <v>350</v>
      </c>
      <c r="C245" s="2" t="s">
        <v>300</v>
      </c>
      <c r="D245" s="2" t="s">
        <v>431</v>
      </c>
      <c r="E245" s="6">
        <v>2700</v>
      </c>
      <c r="F245" s="18">
        <v>0</v>
      </c>
      <c r="G245" s="18">
        <v>0</v>
      </c>
      <c r="H245" s="18">
        <v>467796.81</v>
      </c>
      <c r="I245" s="18">
        <v>623.70000000000005</v>
      </c>
      <c r="J245" s="18">
        <v>0</v>
      </c>
      <c r="K245" s="18">
        <v>0</v>
      </c>
      <c r="L245" s="13">
        <f t="shared" si="4"/>
        <v>468420.51</v>
      </c>
      <c r="M245" s="8"/>
      <c r="N245" s="165"/>
    </row>
    <row r="246" spans="1:14" s="3" customFormat="1" ht="12.2" customHeight="1" x14ac:dyDescent="0.15">
      <c r="A246" s="1" t="s">
        <v>449</v>
      </c>
      <c r="B246" s="2" t="s">
        <v>350</v>
      </c>
      <c r="C246" s="2" t="s">
        <v>343</v>
      </c>
      <c r="D246" s="2" t="s">
        <v>431</v>
      </c>
      <c r="E246" s="6">
        <v>2800</v>
      </c>
      <c r="F246" s="18">
        <v>0</v>
      </c>
      <c r="G246" s="18">
        <v>0</v>
      </c>
      <c r="H246" s="18">
        <v>44346.26</v>
      </c>
      <c r="I246" s="18">
        <v>22991.65</v>
      </c>
      <c r="J246" s="18">
        <v>19784.72</v>
      </c>
      <c r="K246" s="18">
        <v>0</v>
      </c>
      <c r="L246" s="13">
        <f>SUM(F246:K246)</f>
        <v>87122.63</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3893297.55</v>
      </c>
      <c r="G248" s="38">
        <f t="shared" si="5"/>
        <v>2067352.4800000002</v>
      </c>
      <c r="H248" s="38">
        <f t="shared" si="5"/>
        <v>1864058.0999999999</v>
      </c>
      <c r="I248" s="38">
        <f t="shared" si="5"/>
        <v>381608.79000000004</v>
      </c>
      <c r="J248" s="38">
        <f t="shared" si="5"/>
        <v>113654.38000000002</v>
      </c>
      <c r="K248" s="38">
        <f t="shared" si="5"/>
        <v>25750.589999999997</v>
      </c>
      <c r="L248" s="38">
        <f t="shared" si="5"/>
        <v>8345721.8899999997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12226816.75</v>
      </c>
      <c r="G258" s="38">
        <f t="shared" si="8"/>
        <v>6860295.5300000012</v>
      </c>
      <c r="H258" s="38">
        <f t="shared" si="8"/>
        <v>5389583.6499999994</v>
      </c>
      <c r="I258" s="38">
        <f t="shared" si="8"/>
        <v>923152.29</v>
      </c>
      <c r="J258" s="38">
        <f t="shared" si="8"/>
        <v>182163.83000000002</v>
      </c>
      <c r="K258" s="38">
        <f t="shared" si="8"/>
        <v>48231.64</v>
      </c>
      <c r="L258" s="38">
        <f t="shared" si="8"/>
        <v>25630243.690000001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1153267.79</v>
      </c>
      <c r="L261" s="13">
        <f>SUM(F261:K261)</f>
        <v>1153267.79</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680782.40999999992</v>
      </c>
      <c r="L262" s="13">
        <f>SUM(F262:K262)</f>
        <v>680782.40999999992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1834050.2</v>
      </c>
      <c r="L271" s="38">
        <f t="shared" si="9"/>
        <v>1834050.2</v>
      </c>
      <c r="M271" s="8"/>
      <c r="N271" s="165"/>
    </row>
    <row r="272" spans="1:14" s="33" customFormat="1" ht="12.2" customHeight="1" thickTop="1" x14ac:dyDescent="0.2">
      <c r="A272" s="40" t="s">
        <v>464</v>
      </c>
      <c r="B272" s="37">
        <v>10</v>
      </c>
      <c r="C272" s="37">
        <v>18</v>
      </c>
      <c r="D272" s="36" t="s">
        <v>431</v>
      </c>
      <c r="E272" s="37"/>
      <c r="F272" s="39">
        <f t="shared" ref="F272:L272" si="11">F258+F271</f>
        <v>12226816.75</v>
      </c>
      <c r="G272" s="39">
        <f t="shared" si="11"/>
        <v>6860295.5300000012</v>
      </c>
      <c r="H272" s="39">
        <f t="shared" si="11"/>
        <v>5389583.6499999994</v>
      </c>
      <c r="I272" s="39">
        <f t="shared" si="11"/>
        <v>923152.29</v>
      </c>
      <c r="J272" s="39">
        <f t="shared" si="11"/>
        <v>182163.83000000002</v>
      </c>
      <c r="K272" s="39">
        <f t="shared" si="11"/>
        <v>1882281.8399999999</v>
      </c>
      <c r="L272" s="39">
        <f t="shared" si="11"/>
        <v>27464293.890000001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192625.92+9756.59</f>
        <v>202382.51</v>
      </c>
      <c r="G277" s="18">
        <f>121562.38+1291.12</f>
        <v>122853.5</v>
      </c>
      <c r="H277" s="18">
        <f>1256.05+4197.15</f>
        <v>5453.2</v>
      </c>
      <c r="I277" s="18">
        <f>44422.12+2680.03+0.02</f>
        <v>47102.17</v>
      </c>
      <c r="J277" s="18">
        <v>17203.78</v>
      </c>
      <c r="K277" s="18">
        <v>0</v>
      </c>
      <c r="L277" s="13">
        <f>SUM(F277:K277)</f>
        <v>394995.16000000003</v>
      </c>
      <c r="M277" s="8"/>
      <c r="N277" s="165"/>
    </row>
    <row r="278" spans="1:14" s="3" customFormat="1" ht="12.2" customHeight="1" x14ac:dyDescent="0.15">
      <c r="A278" s="1" t="s">
        <v>439</v>
      </c>
      <c r="B278" s="2" t="s">
        <v>357</v>
      </c>
      <c r="C278" s="2" t="s">
        <v>291</v>
      </c>
      <c r="D278" s="2" t="s">
        <v>431</v>
      </c>
      <c r="E278" s="6">
        <v>1200</v>
      </c>
      <c r="F278" s="18">
        <v>297522.90000000002</v>
      </c>
      <c r="G278" s="18">
        <v>68172.45</v>
      </c>
      <c r="H278" s="18">
        <v>80456.66</v>
      </c>
      <c r="I278" s="18">
        <v>3031.09</v>
      </c>
      <c r="J278" s="18">
        <v>0</v>
      </c>
      <c r="K278" s="18">
        <v>7607.36</v>
      </c>
      <c r="L278" s="13">
        <f>SUM(F278:K278)</f>
        <v>456790.46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f>215111.88</f>
        <v>215111.88</v>
      </c>
      <c r="G280" s="18">
        <v>52403.56</v>
      </c>
      <c r="H280" s="18">
        <v>0</v>
      </c>
      <c r="I280" s="18">
        <f>63586.15</f>
        <v>63586.15</v>
      </c>
      <c r="J280" s="18">
        <v>0</v>
      </c>
      <c r="K280" s="18">
        <v>0</v>
      </c>
      <c r="L280" s="13">
        <f>SUM(F280:K280)</f>
        <v>331101.59000000003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19538.64</v>
      </c>
      <c r="G282" s="18">
        <v>4945.87</v>
      </c>
      <c r="H282" s="18">
        <v>164978.85</v>
      </c>
      <c r="I282" s="18">
        <v>6477.99</v>
      </c>
      <c r="J282" s="18">
        <v>0</v>
      </c>
      <c r="K282" s="18">
        <v>0</v>
      </c>
      <c r="L282" s="13">
        <f t="shared" ref="L282:L288" si="12">SUM(F282:K282)</f>
        <v>195941.35</v>
      </c>
      <c r="M282" s="8"/>
      <c r="N282" s="165"/>
    </row>
    <row r="283" spans="1:14" s="3" customFormat="1" ht="12.2" customHeight="1" x14ac:dyDescent="0.15">
      <c r="A283" s="1" t="s">
        <v>443</v>
      </c>
      <c r="B283" s="2" t="s">
        <v>357</v>
      </c>
      <c r="C283" s="2" t="s">
        <v>295</v>
      </c>
      <c r="D283" s="2" t="s">
        <v>431</v>
      </c>
      <c r="E283" s="6">
        <v>2200</v>
      </c>
      <c r="F283" s="18">
        <v>31682.959999999999</v>
      </c>
      <c r="G283" s="18">
        <v>9715.74</v>
      </c>
      <c r="H283" s="18">
        <v>60957.52</v>
      </c>
      <c r="I283" s="18">
        <v>4505.2700000000004</v>
      </c>
      <c r="J283" s="18">
        <v>0</v>
      </c>
      <c r="K283" s="18">
        <v>0</v>
      </c>
      <c r="L283" s="13">
        <f t="shared" si="12"/>
        <v>106861.49</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34472.61</v>
      </c>
      <c r="G286" s="18">
        <v>2637.41</v>
      </c>
      <c r="H286" s="18">
        <v>46.04</v>
      </c>
      <c r="I286" s="18">
        <v>804.82</v>
      </c>
      <c r="J286" s="18">
        <v>0</v>
      </c>
      <c r="K286" s="18">
        <v>15086.23</v>
      </c>
      <c r="L286" s="13">
        <f t="shared" si="12"/>
        <v>53047.11</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3112.84</v>
      </c>
      <c r="J287" s="18">
        <v>0</v>
      </c>
      <c r="K287" s="18">
        <v>0</v>
      </c>
      <c r="L287" s="13">
        <f t="shared" si="12"/>
        <v>3112.84</v>
      </c>
      <c r="M287" s="8"/>
      <c r="N287" s="165"/>
    </row>
    <row r="288" spans="1:14" s="3" customFormat="1" ht="12.2" customHeight="1" x14ac:dyDescent="0.15">
      <c r="A288" s="1" t="s">
        <v>448</v>
      </c>
      <c r="B288" s="2" t="s">
        <v>357</v>
      </c>
      <c r="C288" s="2" t="s">
        <v>300</v>
      </c>
      <c r="D288" s="2" t="s">
        <v>431</v>
      </c>
      <c r="E288" s="6">
        <v>2700</v>
      </c>
      <c r="F288" s="18">
        <v>0</v>
      </c>
      <c r="G288" s="18">
        <v>0</v>
      </c>
      <c r="H288" s="18">
        <v>16649.78</v>
      </c>
      <c r="I288" s="18">
        <v>0</v>
      </c>
      <c r="J288" s="18">
        <v>0</v>
      </c>
      <c r="K288" s="18">
        <v>0</v>
      </c>
      <c r="L288" s="13">
        <f t="shared" si="12"/>
        <v>16649.78</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800711.5</v>
      </c>
      <c r="G291" s="39">
        <f t="shared" si="13"/>
        <v>260728.53</v>
      </c>
      <c r="H291" s="39">
        <f t="shared" si="13"/>
        <v>328542.05000000005</v>
      </c>
      <c r="I291" s="39">
        <f t="shared" si="13"/>
        <v>128620.33000000002</v>
      </c>
      <c r="J291" s="39">
        <f t="shared" si="13"/>
        <v>17203.78</v>
      </c>
      <c r="K291" s="39">
        <f t="shared" si="13"/>
        <v>22693.59</v>
      </c>
      <c r="L291" s="38">
        <f t="shared" si="13"/>
        <v>1558499.7800000005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104728.66+5304.56</f>
        <v>110033.22</v>
      </c>
      <c r="G296" s="18">
        <f>66092.17+701.97</f>
        <v>66794.14</v>
      </c>
      <c r="H296" s="18">
        <f>682.9+2281.94</f>
        <v>2964.84</v>
      </c>
      <c r="I296" s="18">
        <f>23989.25+1457.1</f>
        <v>25446.35</v>
      </c>
      <c r="J296" s="18">
        <v>9353.51</v>
      </c>
      <c r="K296" s="18">
        <v>0</v>
      </c>
      <c r="L296" s="13">
        <f>SUM(F296:K296)</f>
        <v>214592.06</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116954.03</v>
      </c>
      <c r="G299" s="18">
        <v>28491.26</v>
      </c>
      <c r="H299" s="18">
        <v>0</v>
      </c>
      <c r="I299" s="18">
        <f>34571.11</f>
        <v>34571.11</v>
      </c>
      <c r="J299" s="18">
        <v>0</v>
      </c>
      <c r="K299" s="18">
        <v>0</v>
      </c>
      <c r="L299" s="13">
        <f>SUM(F299:K299)</f>
        <v>180016.40000000002</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10622.95</v>
      </c>
      <c r="G301" s="18">
        <v>2689.02</v>
      </c>
      <c r="H301" s="18">
        <v>547.83000000000004</v>
      </c>
      <c r="I301" s="18">
        <v>3522.02</v>
      </c>
      <c r="J301" s="18">
        <v>0</v>
      </c>
      <c r="K301" s="18">
        <v>0</v>
      </c>
      <c r="L301" s="13">
        <f t="shared" ref="L301:L307" si="14">SUM(F301:K301)</f>
        <v>17381.82</v>
      </c>
      <c r="M301" s="8"/>
      <c r="N301" s="165"/>
    </row>
    <row r="302" spans="1:14" s="3" customFormat="1" ht="12.2" customHeight="1" x14ac:dyDescent="0.15">
      <c r="A302" s="1" t="s">
        <v>443</v>
      </c>
      <c r="B302" s="2" t="s">
        <v>358</v>
      </c>
      <c r="C302" s="2" t="s">
        <v>295</v>
      </c>
      <c r="D302" s="2" t="s">
        <v>431</v>
      </c>
      <c r="E302" s="6">
        <v>2200</v>
      </c>
      <c r="F302" s="18">
        <v>17225.689999999999</v>
      </c>
      <c r="G302" s="18">
        <v>5282.35</v>
      </c>
      <c r="H302" s="18">
        <v>21442.71</v>
      </c>
      <c r="I302" s="18">
        <v>2449.4699999999998</v>
      </c>
      <c r="J302" s="18">
        <v>0</v>
      </c>
      <c r="K302" s="18">
        <v>0</v>
      </c>
      <c r="L302" s="13">
        <f t="shared" si="14"/>
        <v>46400.22</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18742.39</v>
      </c>
      <c r="G305" s="18">
        <v>1433.93</v>
      </c>
      <c r="H305" s="18">
        <v>25.03</v>
      </c>
      <c r="I305" s="18">
        <v>437.57</v>
      </c>
      <c r="J305" s="18">
        <v>0</v>
      </c>
      <c r="K305" s="18">
        <v>7925.7</v>
      </c>
      <c r="L305" s="13">
        <f t="shared" si="14"/>
        <v>28564.62</v>
      </c>
      <c r="M305" s="8"/>
      <c r="N305" s="165"/>
    </row>
    <row r="306" spans="1:14" s="3" customFormat="1" ht="12.2" customHeight="1" x14ac:dyDescent="0.15">
      <c r="A306" s="1" t="s">
        <v>447</v>
      </c>
      <c r="B306" s="2" t="s">
        <v>358</v>
      </c>
      <c r="C306" s="2" t="s">
        <v>299</v>
      </c>
      <c r="D306" s="2" t="s">
        <v>431</v>
      </c>
      <c r="E306" s="6">
        <v>2600</v>
      </c>
      <c r="F306" s="18">
        <v>0</v>
      </c>
      <c r="G306" s="18">
        <v>0</v>
      </c>
      <c r="H306" s="18">
        <v>1692.42</v>
      </c>
      <c r="I306" s="18">
        <v>0</v>
      </c>
      <c r="J306" s="18">
        <v>0</v>
      </c>
      <c r="K306" s="18">
        <v>0</v>
      </c>
      <c r="L306" s="13">
        <f t="shared" si="14"/>
        <v>1692.42</v>
      </c>
      <c r="M306" s="8"/>
      <c r="N306" s="165"/>
    </row>
    <row r="307" spans="1:14" s="3" customFormat="1" ht="12.2" customHeight="1" x14ac:dyDescent="0.15">
      <c r="A307" s="1" t="s">
        <v>448</v>
      </c>
      <c r="B307" s="2" t="s">
        <v>358</v>
      </c>
      <c r="C307" s="2" t="s">
        <v>300</v>
      </c>
      <c r="D307" s="2" t="s">
        <v>431</v>
      </c>
      <c r="E307" s="6">
        <v>2700</v>
      </c>
      <c r="F307" s="18">
        <v>0</v>
      </c>
      <c r="G307" s="18">
        <v>0</v>
      </c>
      <c r="H307" s="18">
        <v>9052.31</v>
      </c>
      <c r="I307" s="18">
        <v>0</v>
      </c>
      <c r="J307" s="18">
        <v>0</v>
      </c>
      <c r="K307" s="18">
        <v>0</v>
      </c>
      <c r="L307" s="13">
        <f t="shared" si="14"/>
        <v>9052.31</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273578.28000000003</v>
      </c>
      <c r="G310" s="39">
        <f t="shared" si="15"/>
        <v>104690.7</v>
      </c>
      <c r="H310" s="39">
        <f t="shared" si="15"/>
        <v>35725.139999999992</v>
      </c>
      <c r="I310" s="39">
        <f t="shared" si="15"/>
        <v>66426.52</v>
      </c>
      <c r="J310" s="39">
        <f t="shared" si="15"/>
        <v>9353.51</v>
      </c>
      <c r="K310" s="39">
        <f t="shared" si="15"/>
        <v>7925.7</v>
      </c>
      <c r="L310" s="38">
        <f t="shared" si="15"/>
        <v>497699.85</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607.59+5746.6</f>
        <v>6354.1900000000005</v>
      </c>
      <c r="G315" s="18">
        <f>173.25+760.46</f>
        <v>933.71</v>
      </c>
      <c r="H315" s="18">
        <v>2472.11</v>
      </c>
      <c r="I315" s="18">
        <f>22618.8+1578.53-0.03</f>
        <v>24197.3</v>
      </c>
      <c r="J315" s="18">
        <v>10132.969999999999</v>
      </c>
      <c r="K315" s="18">
        <v>0</v>
      </c>
      <c r="L315" s="13">
        <f>SUM(F315:K315)</f>
        <v>44090.28</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6550</v>
      </c>
      <c r="G317" s="18">
        <v>1189.31</v>
      </c>
      <c r="H317" s="18">
        <v>0</v>
      </c>
      <c r="I317" s="18">
        <v>36795.800000000003</v>
      </c>
      <c r="J317" s="18">
        <v>5940.15</v>
      </c>
      <c r="K317" s="18">
        <v>2410.5300000000002</v>
      </c>
      <c r="L317" s="13">
        <f>SUM(F317:K317)</f>
        <v>52885.79</v>
      </c>
      <c r="M317" s="8"/>
      <c r="N317" s="165"/>
    </row>
    <row r="318" spans="1:14" s="3" customFormat="1" ht="12.2" customHeight="1" x14ac:dyDescent="0.15">
      <c r="A318" s="1" t="s">
        <v>441</v>
      </c>
      <c r="B318" s="2" t="s">
        <v>359</v>
      </c>
      <c r="C318" s="2" t="s">
        <v>293</v>
      </c>
      <c r="D318" s="2" t="s">
        <v>431</v>
      </c>
      <c r="E318" s="6">
        <v>1400</v>
      </c>
      <c r="F318" s="18">
        <v>34976.410000000003</v>
      </c>
      <c r="G318" s="18">
        <v>7661.52</v>
      </c>
      <c r="H318" s="18">
        <v>0</v>
      </c>
      <c r="I318" s="18">
        <v>2094.1</v>
      </c>
      <c r="J318" s="18">
        <v>0</v>
      </c>
      <c r="K318" s="18">
        <v>0</v>
      </c>
      <c r="L318" s="13">
        <f>SUM(F318:K318)</f>
        <v>44732.030000000006</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11360.15</v>
      </c>
      <c r="G320" s="18">
        <v>2883.16</v>
      </c>
      <c r="H320" s="18">
        <v>593.48</v>
      </c>
      <c r="I320" s="18">
        <v>3776.04</v>
      </c>
      <c r="J320" s="18">
        <v>0</v>
      </c>
      <c r="K320" s="18">
        <v>0</v>
      </c>
      <c r="L320" s="13">
        <f t="shared" ref="L320:L326" si="16">SUM(F320:K320)</f>
        <v>18612.829999999998</v>
      </c>
      <c r="M320" s="8"/>
      <c r="N320" s="165"/>
    </row>
    <row r="321" spans="1:14" s="3" customFormat="1" ht="12.2" customHeight="1" x14ac:dyDescent="0.15">
      <c r="A321" s="1" t="s">
        <v>443</v>
      </c>
      <c r="B321" s="2" t="s">
        <v>359</v>
      </c>
      <c r="C321" s="2" t="s">
        <v>295</v>
      </c>
      <c r="D321" s="2" t="s">
        <v>431</v>
      </c>
      <c r="E321" s="6">
        <v>2200</v>
      </c>
      <c r="F321" s="18">
        <v>16874.36</v>
      </c>
      <c r="G321" s="18">
        <v>2594.2800000000002</v>
      </c>
      <c r="H321" s="18">
        <v>34710.629999999997</v>
      </c>
      <c r="I321" s="18">
        <v>781.29</v>
      </c>
      <c r="J321" s="18">
        <v>0</v>
      </c>
      <c r="K321" s="18">
        <v>4097.01</v>
      </c>
      <c r="L321" s="13">
        <f t="shared" si="16"/>
        <v>59057.57</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1425.7</v>
      </c>
      <c r="I324" s="18">
        <v>0</v>
      </c>
      <c r="J324" s="18">
        <v>0</v>
      </c>
      <c r="K324" s="18">
        <v>967.85</v>
      </c>
      <c r="L324" s="13">
        <f t="shared" si="16"/>
        <v>2393.5500000000002</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1833.46</v>
      </c>
      <c r="J325" s="18">
        <v>0</v>
      </c>
      <c r="K325" s="18">
        <v>0</v>
      </c>
      <c r="L325" s="13">
        <f t="shared" si="16"/>
        <v>1833.46</v>
      </c>
      <c r="M325" s="8"/>
      <c r="N325" s="165"/>
    </row>
    <row r="326" spans="1:14" s="3" customFormat="1" ht="12.2" customHeight="1" x14ac:dyDescent="0.15">
      <c r="A326" s="1" t="s">
        <v>448</v>
      </c>
      <c r="B326" s="2" t="s">
        <v>359</v>
      </c>
      <c r="C326" s="2" t="s">
        <v>300</v>
      </c>
      <c r="D326" s="2" t="s">
        <v>431</v>
      </c>
      <c r="E326" s="6">
        <v>2700</v>
      </c>
      <c r="F326" s="18">
        <v>0</v>
      </c>
      <c r="G326" s="18">
        <v>0</v>
      </c>
      <c r="H326" s="18">
        <v>8838.19</v>
      </c>
      <c r="I326" s="18">
        <v>0</v>
      </c>
      <c r="J326" s="18">
        <v>0</v>
      </c>
      <c r="K326" s="18">
        <v>0</v>
      </c>
      <c r="L326" s="13">
        <f t="shared" si="16"/>
        <v>8838.19</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76115.110000000015</v>
      </c>
      <c r="G329" s="39">
        <f t="shared" si="17"/>
        <v>15261.980000000001</v>
      </c>
      <c r="H329" s="39">
        <f t="shared" si="17"/>
        <v>48040.11</v>
      </c>
      <c r="I329" s="39">
        <f t="shared" si="17"/>
        <v>69477.990000000005</v>
      </c>
      <c r="J329" s="39">
        <f t="shared" si="17"/>
        <v>16073.119999999999</v>
      </c>
      <c r="K329" s="39">
        <f t="shared" si="17"/>
        <v>7475.3900000000012</v>
      </c>
      <c r="L329" s="38">
        <f t="shared" si="17"/>
        <v>232443.69999999998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10920.04</v>
      </c>
      <c r="I333" s="18">
        <v>7784.25</v>
      </c>
      <c r="J333" s="18">
        <v>0</v>
      </c>
      <c r="K333" s="18">
        <v>0</v>
      </c>
      <c r="L333" s="13">
        <f t="shared" ref="L333:L338" si="18">SUM(F333:K333)</f>
        <v>18704.29</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2073670</v>
      </c>
      <c r="I337" s="18">
        <v>0</v>
      </c>
      <c r="J337" s="18">
        <v>0</v>
      </c>
      <c r="K337" s="18">
        <v>0</v>
      </c>
      <c r="L337" s="13">
        <f t="shared" si="18"/>
        <v>2073670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2084590.04</v>
      </c>
      <c r="I338" s="38">
        <f t="shared" si="19"/>
        <v>7784.25</v>
      </c>
      <c r="J338" s="38">
        <f t="shared" si="19"/>
        <v>0</v>
      </c>
      <c r="K338" s="38">
        <f t="shared" si="19"/>
        <v>0</v>
      </c>
      <c r="L338" s="38">
        <f t="shared" si="18"/>
        <v>2092374.29</v>
      </c>
      <c r="M338" s="8"/>
      <c r="N338" s="165"/>
    </row>
    <row r="339" spans="1:43" s="3" customFormat="1" ht="12.2" customHeight="1" thickTop="1" x14ac:dyDescent="0.15">
      <c r="A339" s="35" t="s">
        <v>468</v>
      </c>
      <c r="B339" s="37">
        <v>14</v>
      </c>
      <c r="C339" s="37">
        <v>7</v>
      </c>
      <c r="D339" s="36" t="s">
        <v>431</v>
      </c>
      <c r="E339" s="37"/>
      <c r="F339" s="38">
        <f t="shared" ref="F339:L339" si="20">F291+F310+F329+F338</f>
        <v>1150404.8900000001</v>
      </c>
      <c r="G339" s="38">
        <f t="shared" si="20"/>
        <v>380681.20999999996</v>
      </c>
      <c r="H339" s="38">
        <f t="shared" si="20"/>
        <v>2496897.34</v>
      </c>
      <c r="I339" s="38">
        <f t="shared" si="20"/>
        <v>272309.09000000003</v>
      </c>
      <c r="J339" s="38">
        <f t="shared" si="20"/>
        <v>42630.41</v>
      </c>
      <c r="K339" s="38">
        <f t="shared" si="20"/>
        <v>38094.68</v>
      </c>
      <c r="L339" s="38">
        <f t="shared" si="20"/>
        <v>4381017.620000001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1150404.8900000001</v>
      </c>
      <c r="G353" s="38">
        <f>G339</f>
        <v>380681.20999999996</v>
      </c>
      <c r="H353" s="38">
        <f>H339</f>
        <v>2496897.34</v>
      </c>
      <c r="I353" s="38">
        <f>I339</f>
        <v>272309.09000000003</v>
      </c>
      <c r="J353" s="38">
        <f>J339</f>
        <v>42630.41</v>
      </c>
      <c r="K353" s="38">
        <f>K339+K352</f>
        <v>38094.68</v>
      </c>
      <c r="L353" s="38">
        <f>L339+L352</f>
        <v>4381017.620000001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f>342938.42+2051.2</f>
        <v>344989.62</v>
      </c>
      <c r="I359" s="18">
        <v>56215.74</v>
      </c>
      <c r="J359" s="18">
        <v>0</v>
      </c>
      <c r="K359" s="18">
        <v>0</v>
      </c>
      <c r="L359" s="13">
        <f>SUM(F359:K359)</f>
        <v>401205.36</v>
      </c>
      <c r="M359" s="8"/>
      <c r="N359" s="165"/>
    </row>
    <row r="360" spans="1:22" s="3" customFormat="1" ht="12.2" customHeight="1" x14ac:dyDescent="0.15">
      <c r="A360" s="1" t="s">
        <v>542</v>
      </c>
      <c r="B360" s="2" t="s">
        <v>366</v>
      </c>
      <c r="C360" s="6">
        <v>2</v>
      </c>
      <c r="D360" s="2" t="s">
        <v>431</v>
      </c>
      <c r="E360" s="6"/>
      <c r="F360" s="18">
        <v>0</v>
      </c>
      <c r="G360" s="18">
        <v>0</v>
      </c>
      <c r="H360" s="18">
        <f>186451.96+1115.21</f>
        <v>187567.16999999998</v>
      </c>
      <c r="I360" s="18">
        <v>0</v>
      </c>
      <c r="J360" s="18">
        <v>0</v>
      </c>
      <c r="K360" s="18">
        <v>0</v>
      </c>
      <c r="L360" s="13">
        <f>SUM(F360:K360)</f>
        <v>187567.16999999998</v>
      </c>
      <c r="M360" s="8"/>
      <c r="N360" s="165"/>
    </row>
    <row r="361" spans="1:22" s="3" customFormat="1" ht="12.2" customHeight="1" x14ac:dyDescent="0.15">
      <c r="A361" s="3" t="s">
        <v>543</v>
      </c>
      <c r="B361" s="2" t="s">
        <v>366</v>
      </c>
      <c r="C361" s="6">
        <v>3</v>
      </c>
      <c r="D361" s="2" t="s">
        <v>431</v>
      </c>
      <c r="E361" s="6"/>
      <c r="F361" s="18">
        <v>0</v>
      </c>
      <c r="G361" s="18">
        <v>0</v>
      </c>
      <c r="H361" s="18">
        <f>201989.62+1208.15</f>
        <v>203197.77</v>
      </c>
      <c r="I361" s="18">
        <v>0</v>
      </c>
      <c r="J361" s="18">
        <v>0</v>
      </c>
      <c r="K361" s="18">
        <v>0</v>
      </c>
      <c r="L361" s="13">
        <f>SUM(F361:K361)</f>
        <v>203197.77</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735754.56</v>
      </c>
      <c r="I363" s="38">
        <f t="shared" si="22"/>
        <v>56215.74</v>
      </c>
      <c r="J363" s="38">
        <f t="shared" si="22"/>
        <v>0</v>
      </c>
      <c r="K363" s="38">
        <f t="shared" si="22"/>
        <v>0</v>
      </c>
      <c r="L363" s="38">
        <f t="shared" si="22"/>
        <v>791970.3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56215.74</v>
      </c>
      <c r="G368" s="18">
        <v>0</v>
      </c>
      <c r="H368" s="18">
        <v>0</v>
      </c>
      <c r="I368" s="13">
        <f>SUM(F368:H368)</f>
        <v>56215.74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0</v>
      </c>
      <c r="G369" s="53">
        <v>0</v>
      </c>
      <c r="H369" s="53">
        <v>0</v>
      </c>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56215.74</v>
      </c>
      <c r="G370" s="38">
        <f>SUM(G368:G369)</f>
        <v>0</v>
      </c>
      <c r="H370" s="38">
        <f>SUM(H368:H369)</f>
        <v>0</v>
      </c>
      <c r="I370" s="38">
        <f>SUM(I368:I369)</f>
        <v>56215.74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35500</v>
      </c>
      <c r="L381" s="13">
        <f t="shared" si="23"/>
        <v>35500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35500</v>
      </c>
      <c r="L383" s="38">
        <f t="shared" si="24"/>
        <v>35500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0</v>
      </c>
      <c r="H401" s="18">
        <v>0</v>
      </c>
      <c r="I401" s="18">
        <v>63040.92</v>
      </c>
      <c r="J401" s="23" t="s">
        <v>288</v>
      </c>
      <c r="K401" s="23" t="s">
        <v>288</v>
      </c>
      <c r="L401" s="13">
        <f t="shared" si="26"/>
        <v>63040.92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63040.92</v>
      </c>
      <c r="J402" s="42" t="s">
        <v>288</v>
      </c>
      <c r="K402" s="42" t="s">
        <v>288</v>
      </c>
      <c r="L402" s="38">
        <f>SUM(L396:L401)</f>
        <v>63040.92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63040.92</v>
      </c>
      <c r="J409" s="23" t="s">
        <v>288</v>
      </c>
      <c r="K409" s="23" t="s">
        <v>288</v>
      </c>
      <c r="L409" s="38">
        <f>L394+L402+L408</f>
        <v>63040.92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12774.81</v>
      </c>
      <c r="G427" s="18">
        <v>2481.65</v>
      </c>
      <c r="H427" s="18">
        <v>18134</v>
      </c>
      <c r="I427" s="18">
        <v>34683.39</v>
      </c>
      <c r="J427" s="18">
        <v>951.92</v>
      </c>
      <c r="K427" s="18">
        <v>0</v>
      </c>
      <c r="L427" s="13">
        <f t="shared" si="29"/>
        <v>69025.77</v>
      </c>
      <c r="M427" s="8"/>
      <c r="N427" s="165"/>
    </row>
    <row r="428" spans="1:21" s="11" customFormat="1" ht="12.2" customHeight="1" thickTop="1" x14ac:dyDescent="0.15">
      <c r="A428" s="116" t="s">
        <v>470</v>
      </c>
      <c r="B428" s="6">
        <v>17</v>
      </c>
      <c r="C428" s="6">
        <v>14</v>
      </c>
      <c r="D428" s="2" t="s">
        <v>432</v>
      </c>
      <c r="E428" s="37">
        <v>5252</v>
      </c>
      <c r="F428" s="38">
        <f t="shared" ref="F428:L428" si="30">SUM(F422:F427)</f>
        <v>12774.81</v>
      </c>
      <c r="G428" s="38">
        <f t="shared" si="30"/>
        <v>2481.65</v>
      </c>
      <c r="H428" s="38">
        <f t="shared" si="30"/>
        <v>18134</v>
      </c>
      <c r="I428" s="38">
        <f t="shared" si="30"/>
        <v>34683.39</v>
      </c>
      <c r="J428" s="38">
        <f t="shared" si="30"/>
        <v>951.92</v>
      </c>
      <c r="K428" s="38">
        <f t="shared" si="30"/>
        <v>0</v>
      </c>
      <c r="L428" s="38">
        <f t="shared" si="30"/>
        <v>69025.77</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12774.81</v>
      </c>
      <c r="G435" s="38">
        <f t="shared" si="32"/>
        <v>2481.65</v>
      </c>
      <c r="H435" s="38">
        <f t="shared" si="32"/>
        <v>18134</v>
      </c>
      <c r="I435" s="38">
        <f t="shared" si="32"/>
        <v>34683.39</v>
      </c>
      <c r="J435" s="38">
        <f t="shared" si="32"/>
        <v>951.92</v>
      </c>
      <c r="K435" s="38">
        <f t="shared" si="32"/>
        <v>0</v>
      </c>
      <c r="L435" s="38">
        <f t="shared" si="32"/>
        <v>69025.77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42845.52</v>
      </c>
      <c r="H442" s="18">
        <v>0</v>
      </c>
      <c r="I442" s="13">
        <f t="shared" si="33"/>
        <v>42845.52</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42845.52</v>
      </c>
      <c r="H447" s="13">
        <f>SUM(H440:H446)</f>
        <v>0</v>
      </c>
      <c r="I447" s="13">
        <f>SUM(I440:I446)</f>
        <v>42845.52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2127.11</v>
      </c>
      <c r="H451" s="18">
        <v>0</v>
      </c>
      <c r="I451" s="13">
        <f>SUM(F451:H451)</f>
        <v>2127.11</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2127.11</v>
      </c>
      <c r="H453" s="57">
        <f>SUM(H449:H452)</f>
        <v>0</v>
      </c>
      <c r="I453" s="57">
        <f>SUM(I449:I452)</f>
        <v>2127.11</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40718.410000000003</v>
      </c>
      <c r="H460" s="18">
        <v>0</v>
      </c>
      <c r="I460" s="13">
        <f t="shared" si="34"/>
        <v>40718.410000000003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40718.410000000003</v>
      </c>
      <c r="H461" s="65">
        <f>SUM(H455:H460)</f>
        <v>0</v>
      </c>
      <c r="I461" s="65">
        <f>SUM(I455:I460)</f>
        <v>40718.410000000003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42845.520000000004</v>
      </c>
      <c r="H462" s="39">
        <f>H453+H461</f>
        <v>0</v>
      </c>
      <c r="I462" s="39">
        <f>I453+I461</f>
        <v>42845.520000000004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405327.16</v>
      </c>
      <c r="G466" s="18">
        <v>111038.53</v>
      </c>
      <c r="H466" s="18">
        <v>109935.32</v>
      </c>
      <c r="I466" s="18">
        <v>56216.54</v>
      </c>
      <c r="J466" s="18">
        <v>46703.26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27051946.73+7020</f>
        <v>27058966.73</v>
      </c>
      <c r="G469" s="18">
        <v>1133503.3899999999</v>
      </c>
      <c r="H469" s="18">
        <v>4309019.8</v>
      </c>
      <c r="I469" s="18">
        <v>0</v>
      </c>
      <c r="J469" s="18">
        <v>63040.92</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27058966.73</v>
      </c>
      <c r="G471" s="19">
        <f>SUM(G469:G470)</f>
        <v>1133503.3899999999</v>
      </c>
      <c r="H471" s="19">
        <f>SUM(H469:H470)</f>
        <v>4309019.8</v>
      </c>
      <c r="I471" s="19">
        <f>SUM(I469:I470)</f>
        <v>0</v>
      </c>
      <c r="J471" s="19">
        <f>SUM(J469:J470)</f>
        <v>63040.92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27457273.89+7020</f>
        <v>27464293.890000001</v>
      </c>
      <c r="G473" s="18">
        <v>791970.3</v>
      </c>
      <c r="H473" s="18">
        <v>4381017.62</v>
      </c>
      <c r="I473" s="18">
        <v>35500</v>
      </c>
      <c r="J473" s="18">
        <v>69025.77</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27464293.890000001</v>
      </c>
      <c r="G475" s="19">
        <f>SUM(G473:G474)</f>
        <v>791970.3</v>
      </c>
      <c r="H475" s="19">
        <f>SUM(H473:H474)</f>
        <v>4381017.62</v>
      </c>
      <c r="I475" s="19">
        <f>SUM(I473:I474)</f>
        <v>35500</v>
      </c>
      <c r="J475" s="19">
        <f>SUM(J473:J474)</f>
        <v>69025.77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0</v>
      </c>
      <c r="G477" s="19">
        <f>(G466+G471)- G475</f>
        <v>452571.61999999988</v>
      </c>
      <c r="H477" s="19">
        <f>(H466+H471)- H475</f>
        <v>37937.5</v>
      </c>
      <c r="I477" s="19">
        <f>(I466+I471)- I475</f>
        <v>20716.54</v>
      </c>
      <c r="J477" s="19">
        <f>(J466+J471)- J475</f>
        <v>40718.409999999989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v>15</v>
      </c>
      <c r="I491" s="111"/>
      <c r="J491" s="111">
        <v>15</v>
      </c>
      <c r="K491" s="23" t="s">
        <v>288</v>
      </c>
      <c r="L491" s="23" t="s">
        <v>288</v>
      </c>
      <c r="N491" s="131"/>
    </row>
    <row r="492" spans="1:14" ht="12.2" customHeight="1" x14ac:dyDescent="0.2">
      <c r="A492" s="21" t="s">
        <v>615</v>
      </c>
      <c r="B492" s="22">
        <v>20</v>
      </c>
      <c r="C492" s="22">
        <v>2</v>
      </c>
      <c r="D492" s="2" t="s">
        <v>432</v>
      </c>
      <c r="E492" s="22"/>
      <c r="F492" s="112" t="s">
        <v>1802</v>
      </c>
      <c r="G492" s="112" t="s">
        <v>1804</v>
      </c>
      <c r="H492" s="111">
        <v>216</v>
      </c>
      <c r="I492" s="111"/>
      <c r="J492" s="111">
        <v>221</v>
      </c>
      <c r="K492" s="23" t="s">
        <v>288</v>
      </c>
      <c r="L492" s="23" t="s">
        <v>288</v>
      </c>
      <c r="N492" s="131"/>
    </row>
    <row r="493" spans="1:14" ht="12.2" customHeight="1" x14ac:dyDescent="0.2">
      <c r="A493" s="21" t="s">
        <v>616</v>
      </c>
      <c r="B493" s="22">
        <v>20</v>
      </c>
      <c r="C493" s="22">
        <v>3</v>
      </c>
      <c r="D493" s="2" t="s">
        <v>432</v>
      </c>
      <c r="E493" s="22"/>
      <c r="F493" s="112" t="s">
        <v>1803</v>
      </c>
      <c r="G493" s="112" t="s">
        <v>1805</v>
      </c>
      <c r="H493" s="111">
        <v>831</v>
      </c>
      <c r="I493" s="111"/>
      <c r="J493" s="111">
        <v>236</v>
      </c>
      <c r="K493" s="23" t="s">
        <v>288</v>
      </c>
      <c r="L493" s="23" t="s">
        <v>288</v>
      </c>
      <c r="N493" s="131"/>
    </row>
    <row r="494" spans="1:14" ht="12.2" customHeight="1" x14ac:dyDescent="0.2">
      <c r="A494" s="21" t="s">
        <v>617</v>
      </c>
      <c r="B494" s="22">
        <v>20</v>
      </c>
      <c r="C494" s="22">
        <v>4</v>
      </c>
      <c r="D494" s="2" t="s">
        <v>432</v>
      </c>
      <c r="E494" s="22"/>
      <c r="F494" s="18">
        <v>18953000</v>
      </c>
      <c r="G494" s="18">
        <v>1181700</v>
      </c>
      <c r="H494" s="18">
        <v>1453925</v>
      </c>
      <c r="I494" s="18">
        <v>1640000</v>
      </c>
      <c r="J494" s="18">
        <v>550500</v>
      </c>
      <c r="K494" s="23" t="s">
        <v>288</v>
      </c>
      <c r="L494" s="23" t="s">
        <v>288</v>
      </c>
      <c r="N494" s="131"/>
    </row>
    <row r="495" spans="1:14" ht="12.2" customHeight="1" x14ac:dyDescent="0.2">
      <c r="A495" s="21" t="s">
        <v>618</v>
      </c>
      <c r="B495" s="22">
        <v>20</v>
      </c>
      <c r="C495" s="22">
        <v>5</v>
      </c>
      <c r="D495" s="2" t="s">
        <v>432</v>
      </c>
      <c r="E495" s="22"/>
      <c r="F495" s="18">
        <v>3.73</v>
      </c>
      <c r="G495" s="18">
        <v>3.14</v>
      </c>
      <c r="H495" s="18">
        <v>2.16</v>
      </c>
      <c r="I495" s="18"/>
      <c r="J495" s="18">
        <v>1.31</v>
      </c>
      <c r="K495" s="23" t="s">
        <v>288</v>
      </c>
      <c r="L495" s="23" t="s">
        <v>288</v>
      </c>
      <c r="N495" s="131"/>
    </row>
    <row r="496" spans="1:14" ht="12.2" customHeight="1" x14ac:dyDescent="0.2">
      <c r="A496" s="21" t="s">
        <v>619</v>
      </c>
      <c r="B496" s="22">
        <v>20</v>
      </c>
      <c r="C496" s="22">
        <v>6</v>
      </c>
      <c r="D496" s="2" t="s">
        <v>432</v>
      </c>
      <c r="E496" s="22"/>
      <c r="F496" s="18">
        <v>6534167.3300000001</v>
      </c>
      <c r="G496" s="18">
        <v>643150</v>
      </c>
      <c r="H496" s="18">
        <v>1055000</v>
      </c>
      <c r="I496" s="18">
        <v>1285000</v>
      </c>
      <c r="J496" s="18">
        <v>550500</v>
      </c>
      <c r="K496" s="19">
        <f>SUM(F496:J496)</f>
        <v>10067817.33</v>
      </c>
      <c r="L496" s="23" t="s">
        <v>288</v>
      </c>
      <c r="N496" s="131"/>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1"/>
    </row>
    <row r="498" spans="1:14" ht="12.2" customHeight="1" x14ac:dyDescent="0.2">
      <c r="A498" s="21" t="s">
        <v>621</v>
      </c>
      <c r="B498" s="22">
        <v>20</v>
      </c>
      <c r="C498" s="22">
        <v>8</v>
      </c>
      <c r="D498" s="2" t="s">
        <v>432</v>
      </c>
      <c r="E498" s="22"/>
      <c r="F498" s="18">
        <v>871417.79</v>
      </c>
      <c r="G498" s="18">
        <v>81850</v>
      </c>
      <c r="H498" s="18">
        <v>100000</v>
      </c>
      <c r="I498" s="18">
        <v>100000</v>
      </c>
      <c r="J498" s="18">
        <v>35500</v>
      </c>
      <c r="K498" s="19">
        <f t="shared" si="35"/>
        <v>1188767.79</v>
      </c>
      <c r="L498" s="23" t="s">
        <v>288</v>
      </c>
      <c r="N498" s="131"/>
    </row>
    <row r="499" spans="1:14" ht="12.2" customHeight="1" x14ac:dyDescent="0.2">
      <c r="A499" s="144" t="s">
        <v>622</v>
      </c>
      <c r="B499" s="145">
        <v>20</v>
      </c>
      <c r="C499" s="145">
        <v>9</v>
      </c>
      <c r="D499" s="146" t="s">
        <v>432</v>
      </c>
      <c r="E499" s="145"/>
      <c r="F499" s="147">
        <v>5662749.54</v>
      </c>
      <c r="G499" s="147">
        <v>561300</v>
      </c>
      <c r="H499" s="147">
        <v>955000</v>
      </c>
      <c r="I499" s="147">
        <v>1185000</v>
      </c>
      <c r="J499" s="147">
        <v>475000</v>
      </c>
      <c r="K499" s="148">
        <f t="shared" si="35"/>
        <v>8839049.5399999991</v>
      </c>
      <c r="L499" s="149" t="s">
        <v>288</v>
      </c>
      <c r="N499" s="131"/>
    </row>
    <row r="500" spans="1:14" ht="12.2" customHeight="1" thickBot="1" x14ac:dyDescent="0.25">
      <c r="A500" s="21" t="s">
        <v>623</v>
      </c>
      <c r="B500" s="22">
        <v>20</v>
      </c>
      <c r="C500" s="22">
        <v>10</v>
      </c>
      <c r="D500" s="2" t="s">
        <v>432</v>
      </c>
      <c r="E500" s="22"/>
      <c r="F500" s="18">
        <v>5544444.46</v>
      </c>
      <c r="G500" s="18">
        <v>90013.22</v>
      </c>
      <c r="H500" s="18">
        <v>162991.20000000001</v>
      </c>
      <c r="I500" s="18">
        <v>306841.36</v>
      </c>
      <c r="J500" s="18">
        <v>116335</v>
      </c>
      <c r="K500" s="19">
        <f t="shared" si="35"/>
        <v>6220625.2400000002</v>
      </c>
      <c r="L500" s="23" t="s">
        <v>288</v>
      </c>
      <c r="N500" s="131"/>
    </row>
    <row r="501" spans="1:14" ht="12.2" customHeight="1" thickTop="1" x14ac:dyDescent="0.2">
      <c r="A501" s="97" t="s">
        <v>624</v>
      </c>
      <c r="B501" s="41">
        <v>20</v>
      </c>
      <c r="C501" s="41">
        <v>11</v>
      </c>
      <c r="D501" s="36" t="s">
        <v>432</v>
      </c>
      <c r="E501" s="41"/>
      <c r="F501" s="39">
        <f>SUM(F499:F500)</f>
        <v>11207194</v>
      </c>
      <c r="G501" s="39">
        <f>SUM(G499:G500)</f>
        <v>651313.22</v>
      </c>
      <c r="H501" s="39">
        <f>SUM(H499:H500)</f>
        <v>1117991.2</v>
      </c>
      <c r="I501" s="39">
        <f>SUM(I499:I500)</f>
        <v>1491841.3599999999</v>
      </c>
      <c r="J501" s="39">
        <f>SUM(J499:J500)</f>
        <v>591335</v>
      </c>
      <c r="K501" s="39">
        <f t="shared" si="35"/>
        <v>15059674.779999999</v>
      </c>
      <c r="L501" s="42" t="s">
        <v>288</v>
      </c>
      <c r="N501" s="131"/>
    </row>
    <row r="502" spans="1:14" ht="12.2" customHeight="1" x14ac:dyDescent="0.2">
      <c r="A502" s="144" t="s">
        <v>651</v>
      </c>
      <c r="B502" s="145">
        <v>20</v>
      </c>
      <c r="C502" s="145">
        <v>12</v>
      </c>
      <c r="D502" s="146" t="s">
        <v>432</v>
      </c>
      <c r="E502" s="145"/>
      <c r="F502" s="147">
        <v>824851.4</v>
      </c>
      <c r="G502" s="147">
        <v>81850</v>
      </c>
      <c r="H502" s="147">
        <v>100000</v>
      </c>
      <c r="I502" s="147">
        <v>100000</v>
      </c>
      <c r="J502" s="147">
        <v>40000</v>
      </c>
      <c r="K502" s="148">
        <f t="shared" si="35"/>
        <v>1146701.3999999999</v>
      </c>
      <c r="L502" s="149" t="s">
        <v>288</v>
      </c>
      <c r="N502" s="131"/>
    </row>
    <row r="503" spans="1:14" ht="12.2" customHeight="1" thickBot="1" x14ac:dyDescent="0.25">
      <c r="A503" s="21" t="s">
        <v>625</v>
      </c>
      <c r="B503" s="22">
        <v>20</v>
      </c>
      <c r="C503" s="22">
        <v>13</v>
      </c>
      <c r="D503" s="2" t="s">
        <v>432</v>
      </c>
      <c r="E503" s="22"/>
      <c r="F503" s="18">
        <v>562146.6</v>
      </c>
      <c r="G503" s="18">
        <v>23726.82</v>
      </c>
      <c r="H503" s="18">
        <v>33199.760000000002</v>
      </c>
      <c r="I503" s="18">
        <v>52091.26</v>
      </c>
      <c r="J503" s="18">
        <v>19675</v>
      </c>
      <c r="K503" s="19">
        <f t="shared" si="35"/>
        <v>690839.44</v>
      </c>
      <c r="L503" s="23" t="s">
        <v>288</v>
      </c>
      <c r="N503" s="131"/>
    </row>
    <row r="504" spans="1:14" ht="12.2" customHeight="1" thickTop="1" x14ac:dyDescent="0.2">
      <c r="A504" s="97" t="s">
        <v>626</v>
      </c>
      <c r="B504" s="41">
        <v>20</v>
      </c>
      <c r="C504" s="41">
        <v>14</v>
      </c>
      <c r="D504" s="36" t="s">
        <v>432</v>
      </c>
      <c r="E504" s="41"/>
      <c r="F504" s="39">
        <f>SUM(F502:F503)</f>
        <v>1386998</v>
      </c>
      <c r="G504" s="39">
        <f>SUM(G502:G503)</f>
        <v>105576.82</v>
      </c>
      <c r="H504" s="39">
        <f>SUM(H502:H503)</f>
        <v>133199.76</v>
      </c>
      <c r="I504" s="39">
        <f>SUM(I502:I503)</f>
        <v>152091.26</v>
      </c>
      <c r="J504" s="39">
        <f>SUM(J502:J503)</f>
        <v>59675</v>
      </c>
      <c r="K504" s="39">
        <f t="shared" si="35"/>
        <v>1837540.84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1091702+297522.9</f>
        <v>1389224.9</v>
      </c>
      <c r="G522" s="18">
        <f>726733+68172.45</f>
        <v>794905.45</v>
      </c>
      <c r="H522" s="18">
        <f>573756+80456.66+163971.24</f>
        <v>818183.9</v>
      </c>
      <c r="I522" s="18">
        <f>7744+3031.09+593.25</f>
        <v>11368.34</v>
      </c>
      <c r="J522" s="18">
        <v>1799</v>
      </c>
      <c r="K522" s="18">
        <f>7607.36</f>
        <v>7607.36</v>
      </c>
      <c r="L522" s="69">
        <f>SUM(F522:K522)</f>
        <v>3023088.9499999993</v>
      </c>
      <c r="N522" s="131"/>
    </row>
    <row r="523" spans="1:14" ht="12.2" customHeight="1" x14ac:dyDescent="0.2">
      <c r="A523" s="21" t="s">
        <v>634</v>
      </c>
      <c r="B523" s="22">
        <v>21</v>
      </c>
      <c r="C523" s="22">
        <v>2</v>
      </c>
      <c r="D523" s="2" t="s">
        <v>432</v>
      </c>
      <c r="E523" s="22"/>
      <c r="F523" s="18">
        <v>480233</v>
      </c>
      <c r="G523" s="18">
        <v>326755</v>
      </c>
      <c r="H523" s="18">
        <v>289985</v>
      </c>
      <c r="I523" s="18">
        <v>3680</v>
      </c>
      <c r="J523" s="18">
        <v>0</v>
      </c>
      <c r="K523" s="18">
        <v>0</v>
      </c>
      <c r="L523" s="69">
        <f>SUM(F523:K523)</f>
        <v>1100653</v>
      </c>
      <c r="N523" s="131"/>
    </row>
    <row r="524" spans="1:14" ht="12.2" customHeight="1" thickBot="1" x14ac:dyDescent="0.25">
      <c r="A524" s="21" t="s">
        <v>635</v>
      </c>
      <c r="B524" s="22">
        <v>21</v>
      </c>
      <c r="C524" s="22">
        <v>3</v>
      </c>
      <c r="D524" s="2" t="s">
        <v>432</v>
      </c>
      <c r="E524" s="22"/>
      <c r="F524" s="18">
        <v>748950</v>
      </c>
      <c r="G524" s="18">
        <v>443541</v>
      </c>
      <c r="H524" s="18">
        <v>816075</v>
      </c>
      <c r="I524" s="18">
        <v>2851</v>
      </c>
      <c r="J524" s="18">
        <v>0</v>
      </c>
      <c r="K524" s="18">
        <v>0</v>
      </c>
      <c r="L524" s="69">
        <f>SUM(F524:K524)</f>
        <v>2011417</v>
      </c>
      <c r="N524" s="131"/>
    </row>
    <row r="525" spans="1:14" ht="12.2" customHeight="1" thickTop="1" x14ac:dyDescent="0.2">
      <c r="A525" s="97" t="s">
        <v>63</v>
      </c>
      <c r="B525" s="41">
        <v>21</v>
      </c>
      <c r="C525" s="41">
        <v>4</v>
      </c>
      <c r="D525" s="115" t="s">
        <v>432</v>
      </c>
      <c r="E525" s="41"/>
      <c r="F525" s="81">
        <f>SUM(F522:F524)</f>
        <v>2618407.9</v>
      </c>
      <c r="G525" s="81">
        <f t="shared" ref="G525:L525" si="36">SUM(G522:G524)</f>
        <v>1565201.45</v>
      </c>
      <c r="H525" s="81">
        <f t="shared" si="36"/>
        <v>1924243.9</v>
      </c>
      <c r="I525" s="81">
        <f t="shared" si="36"/>
        <v>17899.34</v>
      </c>
      <c r="J525" s="81">
        <f t="shared" si="36"/>
        <v>1799</v>
      </c>
      <c r="K525" s="81">
        <f t="shared" si="36"/>
        <v>7607.36</v>
      </c>
      <c r="L525" s="70">
        <f t="shared" si="36"/>
        <v>6135158.9499999993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106596+91672+10790</f>
        <v>209058</v>
      </c>
      <c r="G527" s="18">
        <f>65154+37500+6567</f>
        <v>109221</v>
      </c>
      <c r="H527" s="18">
        <f>76224+114927.56</f>
        <v>191151.56</v>
      </c>
      <c r="I527" s="18">
        <f>132+1057+128</f>
        <v>1317</v>
      </c>
      <c r="J527" s="18">
        <v>0</v>
      </c>
      <c r="K527" s="18">
        <f>4390.57</f>
        <v>4390.57</v>
      </c>
      <c r="L527" s="69">
        <f>SUM(F527:K527)</f>
        <v>515138.13</v>
      </c>
      <c r="M527" s="8"/>
      <c r="N527" s="165"/>
    </row>
    <row r="528" spans="1:14" s="3" customFormat="1" ht="12.2" customHeight="1" x14ac:dyDescent="0.15">
      <c r="A528" s="21" t="s">
        <v>634</v>
      </c>
      <c r="B528" s="22">
        <v>21</v>
      </c>
      <c r="C528" s="22">
        <v>6</v>
      </c>
      <c r="D528" s="2" t="s">
        <v>432</v>
      </c>
      <c r="E528" s="22"/>
      <c r="F528" s="18">
        <f>55151+112338+4911</f>
        <v>172400</v>
      </c>
      <c r="G528" s="18">
        <f>34297+69613+2478</f>
        <v>106388</v>
      </c>
      <c r="H528" s="18">
        <f>62484.88</f>
        <v>62484.88</v>
      </c>
      <c r="I528" s="18">
        <f>154+0+91</f>
        <v>245</v>
      </c>
      <c r="J528" s="18">
        <v>0</v>
      </c>
      <c r="K528" s="18">
        <v>2387.1</v>
      </c>
      <c r="L528" s="69">
        <f>SUM(F528:K528)</f>
        <v>343904.98</v>
      </c>
      <c r="M528" s="8"/>
      <c r="N528" s="165"/>
    </row>
    <row r="529" spans="1:14" s="3" customFormat="1" ht="12.2" customHeight="1" thickBot="1" x14ac:dyDescent="0.2">
      <c r="A529" s="21" t="s">
        <v>635</v>
      </c>
      <c r="B529" s="22">
        <v>21</v>
      </c>
      <c r="C529" s="22">
        <v>7</v>
      </c>
      <c r="D529" s="2" t="s">
        <v>432</v>
      </c>
      <c r="E529" s="22"/>
      <c r="F529" s="18">
        <f>4985</f>
        <v>4985</v>
      </c>
      <c r="G529" s="18">
        <v>3857</v>
      </c>
      <c r="H529" s="18">
        <v>67691.960000000006</v>
      </c>
      <c r="I529" s="18">
        <f>85+72</f>
        <v>157</v>
      </c>
      <c r="J529" s="18">
        <v>0</v>
      </c>
      <c r="K529" s="18">
        <v>2586.0300000000002</v>
      </c>
      <c r="L529" s="69">
        <f>SUM(F529:K529)</f>
        <v>79276.990000000005</v>
      </c>
      <c r="M529" s="8"/>
      <c r="N529" s="165"/>
    </row>
    <row r="530" spans="1:14" s="3" customFormat="1" ht="12.2" customHeight="1" thickTop="1" x14ac:dyDescent="0.15">
      <c r="A530" s="97" t="s">
        <v>65</v>
      </c>
      <c r="B530" s="41">
        <v>21</v>
      </c>
      <c r="C530" s="41">
        <v>8</v>
      </c>
      <c r="D530" s="115" t="s">
        <v>432</v>
      </c>
      <c r="E530" s="41"/>
      <c r="F530" s="70">
        <f>SUM(F527:F529)</f>
        <v>386443</v>
      </c>
      <c r="G530" s="70">
        <f t="shared" ref="G530:L530" si="37">SUM(G527:G529)</f>
        <v>219466</v>
      </c>
      <c r="H530" s="70">
        <f t="shared" si="37"/>
        <v>321328.40000000002</v>
      </c>
      <c r="I530" s="70">
        <f t="shared" si="37"/>
        <v>1719</v>
      </c>
      <c r="J530" s="70">
        <f t="shared" si="37"/>
        <v>0</v>
      </c>
      <c r="K530" s="70">
        <f t="shared" si="37"/>
        <v>9363.7000000000007</v>
      </c>
      <c r="L530" s="70">
        <f t="shared" si="37"/>
        <v>938320.1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76528</v>
      </c>
      <c r="G532" s="18">
        <v>41168</v>
      </c>
      <c r="H532" s="18">
        <v>0</v>
      </c>
      <c r="I532" s="18">
        <v>0</v>
      </c>
      <c r="J532" s="18">
        <v>0</v>
      </c>
      <c r="K532" s="18">
        <v>0</v>
      </c>
      <c r="L532" s="69">
        <f>SUM(F532:K532)</f>
        <v>117696</v>
      </c>
      <c r="M532" s="8"/>
      <c r="N532" s="165"/>
    </row>
    <row r="533" spans="1:14" s="3" customFormat="1" ht="12.2" customHeight="1" x14ac:dyDescent="0.15">
      <c r="A533" s="21" t="s">
        <v>634</v>
      </c>
      <c r="B533" s="22">
        <v>21</v>
      </c>
      <c r="C533" s="22">
        <v>10</v>
      </c>
      <c r="D533" s="2" t="s">
        <v>432</v>
      </c>
      <c r="E533" s="22"/>
      <c r="F533" s="18">
        <v>41608</v>
      </c>
      <c r="G533" s="18">
        <v>22383</v>
      </c>
      <c r="H533" s="18">
        <v>0</v>
      </c>
      <c r="I533" s="18">
        <v>0</v>
      </c>
      <c r="J533" s="18">
        <v>0</v>
      </c>
      <c r="K533" s="18">
        <v>0</v>
      </c>
      <c r="L533" s="69">
        <f>SUM(F533:K533)</f>
        <v>63991</v>
      </c>
      <c r="M533" s="8"/>
      <c r="N533" s="165"/>
    </row>
    <row r="534" spans="1:14" s="3" customFormat="1" ht="12.2" customHeight="1" thickBot="1" x14ac:dyDescent="0.2">
      <c r="A534" s="21" t="s">
        <v>635</v>
      </c>
      <c r="B534" s="22">
        <v>21</v>
      </c>
      <c r="C534" s="22">
        <v>11</v>
      </c>
      <c r="D534" s="2" t="s">
        <v>432</v>
      </c>
      <c r="E534" s="22"/>
      <c r="F534" s="18">
        <v>45075</v>
      </c>
      <c r="G534" s="18">
        <v>24248</v>
      </c>
      <c r="H534" s="18">
        <v>0</v>
      </c>
      <c r="I534" s="18">
        <v>0</v>
      </c>
      <c r="J534" s="18">
        <v>0</v>
      </c>
      <c r="K534" s="18">
        <v>0</v>
      </c>
      <c r="L534" s="69">
        <f>SUM(F534:K534)</f>
        <v>69323</v>
      </c>
      <c r="M534" s="8"/>
      <c r="N534" s="165"/>
    </row>
    <row r="535" spans="1:14" s="3" customFormat="1" ht="12.2" customHeight="1" thickTop="1" x14ac:dyDescent="0.15">
      <c r="A535" s="97" t="s">
        <v>67</v>
      </c>
      <c r="B535" s="41">
        <v>21</v>
      </c>
      <c r="C535" s="41">
        <v>12</v>
      </c>
      <c r="D535" s="115" t="s">
        <v>432</v>
      </c>
      <c r="E535" s="41"/>
      <c r="F535" s="70">
        <f>SUM(F532:F534)</f>
        <v>163211</v>
      </c>
      <c r="G535" s="70">
        <f t="shared" ref="G535:L535" si="38">SUM(G532:G534)</f>
        <v>87799</v>
      </c>
      <c r="H535" s="70">
        <f t="shared" si="38"/>
        <v>0</v>
      </c>
      <c r="I535" s="70">
        <f t="shared" si="38"/>
        <v>0</v>
      </c>
      <c r="J535" s="70">
        <f t="shared" si="38"/>
        <v>0</v>
      </c>
      <c r="K535" s="70">
        <f t="shared" si="38"/>
        <v>0</v>
      </c>
      <c r="L535" s="70">
        <f t="shared" si="38"/>
        <v>251010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1877.21</v>
      </c>
      <c r="I537" s="18">
        <v>0</v>
      </c>
      <c r="J537" s="18">
        <v>0</v>
      </c>
      <c r="K537" s="18">
        <v>0</v>
      </c>
      <c r="L537" s="69">
        <f>SUM(F537:K537)</f>
        <v>1877.21</v>
      </c>
      <c r="M537" s="8"/>
      <c r="N537" s="165"/>
    </row>
    <row r="538" spans="1:14" s="3" customFormat="1" ht="12.2" customHeight="1" x14ac:dyDescent="0.15">
      <c r="A538" s="21" t="s">
        <v>634</v>
      </c>
      <c r="B538" s="22">
        <v>21</v>
      </c>
      <c r="C538" s="22">
        <v>14</v>
      </c>
      <c r="D538" s="2" t="s">
        <v>432</v>
      </c>
      <c r="E538" s="22"/>
      <c r="F538" s="18">
        <v>0</v>
      </c>
      <c r="G538" s="18">
        <v>0</v>
      </c>
      <c r="H538" s="18">
        <v>1020.62</v>
      </c>
      <c r="I538" s="18">
        <v>0</v>
      </c>
      <c r="J538" s="18">
        <v>0</v>
      </c>
      <c r="K538" s="18">
        <v>0</v>
      </c>
      <c r="L538" s="69">
        <f>SUM(F538:K538)</f>
        <v>1020.62</v>
      </c>
      <c r="M538" s="8"/>
      <c r="N538" s="165"/>
    </row>
    <row r="539" spans="1:14" s="3" customFormat="1" ht="12.2" customHeight="1" thickBot="1" x14ac:dyDescent="0.2">
      <c r="A539" s="21" t="s">
        <v>635</v>
      </c>
      <c r="B539" s="22">
        <v>21</v>
      </c>
      <c r="C539" s="22">
        <v>15</v>
      </c>
      <c r="D539" s="2" t="s">
        <v>432</v>
      </c>
      <c r="E539" s="22"/>
      <c r="F539" s="18">
        <v>0</v>
      </c>
      <c r="G539" s="18">
        <v>0</v>
      </c>
      <c r="H539" s="18">
        <v>1105.67</v>
      </c>
      <c r="I539" s="18">
        <v>0</v>
      </c>
      <c r="J539" s="18">
        <v>0</v>
      </c>
      <c r="K539" s="18">
        <v>0</v>
      </c>
      <c r="L539" s="69">
        <f>SUM(F539:K539)</f>
        <v>1105.67</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4003.5</v>
      </c>
      <c r="I540" s="70">
        <f t="shared" si="39"/>
        <v>0</v>
      </c>
      <c r="J540" s="70">
        <f t="shared" si="39"/>
        <v>0</v>
      </c>
      <c r="K540" s="70">
        <f t="shared" si="39"/>
        <v>0</v>
      </c>
      <c r="L540" s="70">
        <f t="shared" si="39"/>
        <v>4003.5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397317.02</v>
      </c>
      <c r="I542" s="18">
        <v>0</v>
      </c>
      <c r="J542" s="18">
        <v>0</v>
      </c>
      <c r="K542" s="18">
        <v>0</v>
      </c>
      <c r="L542" s="69">
        <f>SUM(F542:K542)</f>
        <v>397317.02</v>
      </c>
      <c r="M542" s="8"/>
      <c r="N542" s="165"/>
    </row>
    <row r="543" spans="1:14" s="3" customFormat="1" ht="12.2" customHeight="1" x14ac:dyDescent="0.15">
      <c r="A543" s="21" t="s">
        <v>634</v>
      </c>
      <c r="B543" s="22">
        <v>21</v>
      </c>
      <c r="C543" s="22">
        <v>18</v>
      </c>
      <c r="D543" s="2" t="s">
        <v>432</v>
      </c>
      <c r="E543" s="22"/>
      <c r="F543" s="18">
        <v>0</v>
      </c>
      <c r="G543" s="18">
        <v>0</v>
      </c>
      <c r="H543" s="18">
        <v>216017.02</v>
      </c>
      <c r="I543" s="18">
        <v>0</v>
      </c>
      <c r="J543" s="18">
        <v>0</v>
      </c>
      <c r="K543" s="18">
        <v>0</v>
      </c>
      <c r="L543" s="69">
        <f>SUM(F543:K543)</f>
        <v>216017.02</v>
      </c>
      <c r="M543" s="8"/>
      <c r="N543" s="165"/>
    </row>
    <row r="544" spans="1:14" s="3" customFormat="1" ht="12.2" customHeight="1" thickBot="1" x14ac:dyDescent="0.2">
      <c r="A544" s="21" t="s">
        <v>635</v>
      </c>
      <c r="B544" s="22">
        <v>21</v>
      </c>
      <c r="C544" s="22">
        <v>19</v>
      </c>
      <c r="D544" s="2" t="s">
        <v>432</v>
      </c>
      <c r="E544" s="22"/>
      <c r="F544" s="18">
        <v>0</v>
      </c>
      <c r="G544" s="18">
        <v>0</v>
      </c>
      <c r="H544" s="18">
        <v>234018.44</v>
      </c>
      <c r="I544" s="18">
        <v>0</v>
      </c>
      <c r="J544" s="18">
        <v>0</v>
      </c>
      <c r="K544" s="18">
        <v>0</v>
      </c>
      <c r="L544" s="69">
        <f>SUM(F544:K544)</f>
        <v>234018.44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847352.48</v>
      </c>
      <c r="I545" s="141">
        <f t="shared" si="40"/>
        <v>0</v>
      </c>
      <c r="J545" s="141">
        <f t="shared" si="40"/>
        <v>0</v>
      </c>
      <c r="K545" s="141">
        <f t="shared" si="40"/>
        <v>0</v>
      </c>
      <c r="L545" s="141">
        <f t="shared" si="40"/>
        <v>847352.48</v>
      </c>
      <c r="M545" s="8"/>
      <c r="N545" s="165"/>
    </row>
    <row r="546" spans="1:14" s="3" customFormat="1" ht="12.2" customHeight="1" thickTop="1" x14ac:dyDescent="0.15">
      <c r="A546" s="75" t="s">
        <v>72</v>
      </c>
      <c r="B546" s="41">
        <v>21</v>
      </c>
      <c r="C546" s="41">
        <v>21</v>
      </c>
      <c r="D546" s="115" t="s">
        <v>432</v>
      </c>
      <c r="E546" s="41"/>
      <c r="F546" s="70">
        <f>F525+F530+F535+F540+F545</f>
        <v>3168061.9</v>
      </c>
      <c r="G546" s="70">
        <f t="shared" ref="G546:L546" si="41">G525+G530+G535+G540+G545</f>
        <v>1872466.45</v>
      </c>
      <c r="H546" s="70">
        <f t="shared" si="41"/>
        <v>3096928.28</v>
      </c>
      <c r="I546" s="70">
        <f t="shared" si="41"/>
        <v>19618.34</v>
      </c>
      <c r="J546" s="70">
        <f t="shared" si="41"/>
        <v>1799</v>
      </c>
      <c r="K546" s="70">
        <f t="shared" si="41"/>
        <v>16971.060000000001</v>
      </c>
      <c r="L546" s="70">
        <f t="shared" si="41"/>
        <v>8175845.0299999993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3023088.9499999993</v>
      </c>
      <c r="G550" s="69">
        <f>L527</f>
        <v>515138.13</v>
      </c>
      <c r="H550" s="69">
        <f>L532</f>
        <v>117696</v>
      </c>
      <c r="I550" s="69">
        <f>L537</f>
        <v>1877.21</v>
      </c>
      <c r="J550" s="69">
        <f>L542</f>
        <v>397317.02</v>
      </c>
      <c r="K550" s="69">
        <f>SUM(F550:J550)</f>
        <v>4055117.3099999991</v>
      </c>
      <c r="L550" s="23" t="s">
        <v>288</v>
      </c>
      <c r="M550" s="8"/>
      <c r="N550" s="165"/>
    </row>
    <row r="551" spans="1:14" s="3" customFormat="1" ht="12.2" customHeight="1" x14ac:dyDescent="0.15">
      <c r="A551" s="21" t="s">
        <v>634</v>
      </c>
      <c r="B551" s="22">
        <v>21</v>
      </c>
      <c r="C551" s="22">
        <v>23</v>
      </c>
      <c r="D551" s="2" t="s">
        <v>432</v>
      </c>
      <c r="E551" s="22"/>
      <c r="F551" s="69">
        <f>L523</f>
        <v>1100653</v>
      </c>
      <c r="G551" s="69">
        <f>L528</f>
        <v>343904.98</v>
      </c>
      <c r="H551" s="69">
        <f>L533</f>
        <v>63991</v>
      </c>
      <c r="I551" s="69">
        <f>L538</f>
        <v>1020.62</v>
      </c>
      <c r="J551" s="69">
        <f>L543</f>
        <v>216017.02</v>
      </c>
      <c r="K551" s="69">
        <f>SUM(F551:J551)</f>
        <v>1725586.62</v>
      </c>
      <c r="L551" s="23" t="s">
        <v>288</v>
      </c>
      <c r="M551" s="8"/>
      <c r="N551" s="165"/>
    </row>
    <row r="552" spans="1:14" s="3" customFormat="1" ht="12.2" customHeight="1" thickBot="1" x14ac:dyDescent="0.2">
      <c r="A552" s="21" t="s">
        <v>635</v>
      </c>
      <c r="B552" s="22">
        <v>21</v>
      </c>
      <c r="C552" s="22">
        <v>24</v>
      </c>
      <c r="D552" s="2" t="s">
        <v>432</v>
      </c>
      <c r="E552" s="22"/>
      <c r="F552" s="69">
        <f>L524</f>
        <v>2011417</v>
      </c>
      <c r="G552" s="69">
        <f>L529</f>
        <v>79276.990000000005</v>
      </c>
      <c r="H552" s="69">
        <f>L534</f>
        <v>69323</v>
      </c>
      <c r="I552" s="69">
        <f>L539</f>
        <v>1105.67</v>
      </c>
      <c r="J552" s="69">
        <f>L544</f>
        <v>234018.44</v>
      </c>
      <c r="K552" s="69">
        <f>SUM(F552:J552)</f>
        <v>2395141.1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6135158.9499999993</v>
      </c>
      <c r="G553" s="70">
        <f t="shared" si="42"/>
        <v>938320.1</v>
      </c>
      <c r="H553" s="70">
        <f t="shared" si="42"/>
        <v>251010</v>
      </c>
      <c r="I553" s="70">
        <f t="shared" si="42"/>
        <v>4003.5</v>
      </c>
      <c r="J553" s="70">
        <f t="shared" si="42"/>
        <v>847352.48</v>
      </c>
      <c r="K553" s="70">
        <f t="shared" si="42"/>
        <v>8175845.0299999993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1091702</v>
      </c>
      <c r="G558" s="18">
        <v>726733</v>
      </c>
      <c r="H558" s="18">
        <v>573756</v>
      </c>
      <c r="I558" s="18">
        <v>7744</v>
      </c>
      <c r="J558" s="18">
        <v>0</v>
      </c>
      <c r="K558" s="18">
        <v>0</v>
      </c>
      <c r="L558" s="69">
        <f>SUM(F558:K558)</f>
        <v>2399935</v>
      </c>
      <c r="M558" s="8"/>
      <c r="N558" s="165"/>
    </row>
    <row r="559" spans="1:14" s="3" customFormat="1" ht="12.2" customHeight="1" x14ac:dyDescent="0.15">
      <c r="A559" s="21" t="s">
        <v>634</v>
      </c>
      <c r="B559" s="22">
        <v>22</v>
      </c>
      <c r="C559" s="22">
        <v>2</v>
      </c>
      <c r="D559" s="2" t="s">
        <v>432</v>
      </c>
      <c r="E559" s="22"/>
      <c r="F559" s="18">
        <v>480233</v>
      </c>
      <c r="G559" s="18">
        <v>326755</v>
      </c>
      <c r="H559" s="18">
        <v>289985</v>
      </c>
      <c r="I559" s="18">
        <v>3680</v>
      </c>
      <c r="J559" s="18">
        <v>0</v>
      </c>
      <c r="K559" s="18">
        <v>0</v>
      </c>
      <c r="L559" s="69">
        <f>SUM(F559:K559)</f>
        <v>1100653</v>
      </c>
      <c r="M559" s="8"/>
      <c r="N559" s="165"/>
    </row>
    <row r="560" spans="1:14" s="3" customFormat="1" ht="12.2" customHeight="1" thickBot="1" x14ac:dyDescent="0.2">
      <c r="A560" s="21" t="s">
        <v>635</v>
      </c>
      <c r="B560" s="22">
        <v>22</v>
      </c>
      <c r="C560" s="22">
        <v>3</v>
      </c>
      <c r="D560" s="2" t="s">
        <v>432</v>
      </c>
      <c r="E560" s="22"/>
      <c r="F560" s="18">
        <v>748950</v>
      </c>
      <c r="G560" s="18">
        <v>443541</v>
      </c>
      <c r="H560" s="18">
        <v>816075</v>
      </c>
      <c r="I560" s="18">
        <v>2851</v>
      </c>
      <c r="J560" s="18">
        <v>0</v>
      </c>
      <c r="K560" s="18">
        <v>0</v>
      </c>
      <c r="L560" s="69">
        <f>SUM(F560:K560)</f>
        <v>2011417</v>
      </c>
      <c r="M560" s="8"/>
      <c r="N560" s="165"/>
    </row>
    <row r="561" spans="1:14" s="3" customFormat="1" ht="12.2" customHeight="1" thickTop="1" x14ac:dyDescent="0.15">
      <c r="A561" s="97" t="s">
        <v>63</v>
      </c>
      <c r="B561" s="41">
        <v>22</v>
      </c>
      <c r="C561" s="41">
        <v>4</v>
      </c>
      <c r="D561" s="115" t="s">
        <v>432</v>
      </c>
      <c r="E561" s="41"/>
      <c r="F561" s="81">
        <f t="shared" ref="F561:L561" si="43">SUM(F558:F560)</f>
        <v>2320885</v>
      </c>
      <c r="G561" s="81">
        <f t="shared" si="43"/>
        <v>1497029</v>
      </c>
      <c r="H561" s="81">
        <f t="shared" si="43"/>
        <v>1679816</v>
      </c>
      <c r="I561" s="81">
        <f t="shared" si="43"/>
        <v>14275</v>
      </c>
      <c r="J561" s="81">
        <f t="shared" si="43"/>
        <v>0</v>
      </c>
      <c r="K561" s="81">
        <f t="shared" si="43"/>
        <v>0</v>
      </c>
      <c r="L561" s="70">
        <f t="shared" si="43"/>
        <v>5512005</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106596</v>
      </c>
      <c r="G563" s="18">
        <v>65154</v>
      </c>
      <c r="H563" s="18">
        <v>0</v>
      </c>
      <c r="I563" s="18">
        <v>132</v>
      </c>
      <c r="J563" s="18">
        <v>0</v>
      </c>
      <c r="K563" s="18">
        <v>0</v>
      </c>
      <c r="L563" s="69">
        <f>SUM(F563:K563)</f>
        <v>171882</v>
      </c>
      <c r="M563" s="8"/>
      <c r="N563" s="165"/>
    </row>
    <row r="564" spans="1:14" s="3" customFormat="1" ht="12.2" customHeight="1" x14ac:dyDescent="0.15">
      <c r="A564" s="21" t="s">
        <v>634</v>
      </c>
      <c r="B564" s="22">
        <v>22</v>
      </c>
      <c r="C564" s="22">
        <v>6</v>
      </c>
      <c r="D564" s="2" t="s">
        <v>432</v>
      </c>
      <c r="E564" s="22"/>
      <c r="F564" s="18">
        <v>55151</v>
      </c>
      <c r="G564" s="18">
        <v>34297</v>
      </c>
      <c r="H564" s="18">
        <v>0</v>
      </c>
      <c r="I564" s="18">
        <v>154</v>
      </c>
      <c r="J564" s="18">
        <v>0</v>
      </c>
      <c r="K564" s="18">
        <v>0</v>
      </c>
      <c r="L564" s="69">
        <f>SUM(F564:K564)</f>
        <v>89602</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161747</v>
      </c>
      <c r="G566" s="70">
        <f t="shared" si="44"/>
        <v>99451</v>
      </c>
      <c r="H566" s="70">
        <f t="shared" si="44"/>
        <v>0</v>
      </c>
      <c r="I566" s="70">
        <f t="shared" si="44"/>
        <v>286</v>
      </c>
      <c r="J566" s="70">
        <f t="shared" si="44"/>
        <v>0</v>
      </c>
      <c r="K566" s="70">
        <f t="shared" si="44"/>
        <v>0</v>
      </c>
      <c r="L566" s="70">
        <f t="shared" si="44"/>
        <v>261484</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2482632</v>
      </c>
      <c r="G572" s="70">
        <f t="shared" ref="G572:L572" si="46">G561+G566+G571</f>
        <v>1596480</v>
      </c>
      <c r="H572" s="70">
        <f t="shared" si="46"/>
        <v>1679816</v>
      </c>
      <c r="I572" s="70">
        <f t="shared" si="46"/>
        <v>14561</v>
      </c>
      <c r="J572" s="70">
        <f t="shared" si="46"/>
        <v>0</v>
      </c>
      <c r="K572" s="70">
        <f t="shared" si="46"/>
        <v>0</v>
      </c>
      <c r="L572" s="70">
        <f t="shared" si="46"/>
        <v>5773489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2545.62</v>
      </c>
      <c r="H576" s="18">
        <v>0</v>
      </c>
      <c r="I576" s="69">
        <f>SUM(F576:H576)</f>
        <v>2545.62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0</v>
      </c>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371452.15999999997</v>
      </c>
      <c r="G583" s="18">
        <v>234292.64</v>
      </c>
      <c r="H583" s="18">
        <v>713029.57</v>
      </c>
      <c r="I583" s="69">
        <f t="shared" si="47"/>
        <v>1318774.3700000001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23801.62</v>
      </c>
      <c r="I585" s="69">
        <f t="shared" si="47"/>
        <v>23801.62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218291.16+1058.92</f>
        <v>219350.08000000002</v>
      </c>
      <c r="I592" s="18">
        <f>118357.18+575.73</f>
        <v>118932.90999999999</v>
      </c>
      <c r="J592" s="18">
        <f>128220.27+623.7</f>
        <v>128843.97</v>
      </c>
      <c r="K592" s="80">
        <f t="shared" ref="K592:K598" si="48">SUM(H592:J592)</f>
        <v>467126.95999999996</v>
      </c>
      <c r="L592" s="23" t="s">
        <v>288</v>
      </c>
      <c r="M592" s="8"/>
      <c r="N592" s="165"/>
    </row>
    <row r="593" spans="1:14" s="3" customFormat="1" ht="12.2" customHeight="1" x14ac:dyDescent="0.15">
      <c r="A593" s="3" t="s">
        <v>638</v>
      </c>
      <c r="B593" s="22">
        <v>23</v>
      </c>
      <c r="C593" s="22">
        <v>2</v>
      </c>
      <c r="D593" s="2" t="s">
        <v>432</v>
      </c>
      <c r="E593" s="22"/>
      <c r="F593" s="78">
        <v>2722</v>
      </c>
      <c r="G593" s="79" t="s">
        <v>97</v>
      </c>
      <c r="H593" s="18">
        <v>397317.02</v>
      </c>
      <c r="I593" s="18">
        <v>216017.02</v>
      </c>
      <c r="J593" s="18">
        <v>234018.44</v>
      </c>
      <c r="K593" s="80">
        <f t="shared" si="48"/>
        <v>847352.48</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79620.2</v>
      </c>
      <c r="K594" s="80">
        <f t="shared" si="48"/>
        <v>79620.2</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3261.55</v>
      </c>
      <c r="J595" s="18">
        <v>25937.9</v>
      </c>
      <c r="K595" s="80">
        <f t="shared" si="48"/>
        <v>29199.45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279.3</v>
      </c>
      <c r="I596" s="18">
        <v>279.3</v>
      </c>
      <c r="J596" s="18">
        <v>0</v>
      </c>
      <c r="K596" s="80">
        <f t="shared" si="48"/>
        <v>558.6</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616946.40000000014</v>
      </c>
      <c r="I599" s="81">
        <f>SUM(I592:I598)</f>
        <v>338490.77999999997</v>
      </c>
      <c r="J599" s="81">
        <f>SUM(J592:J598)</f>
        <v>468420.51000000007</v>
      </c>
      <c r="K599" s="81">
        <f>SUM(K592:K598)</f>
        <v>1423857.69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8883.65+33669.89+17244.42+668.63</f>
        <v>60466.59</v>
      </c>
      <c r="I605" s="18">
        <f>6740.29+17909.52+9172.57+363.52</f>
        <v>34185.9</v>
      </c>
      <c r="J605" s="18">
        <f>93475.84+20058.66+5940.15+10273.28+393.82</f>
        <v>130141.75</v>
      </c>
      <c r="K605" s="80">
        <f>SUM(H605:J605)</f>
        <v>224794.23999999999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60466.59</v>
      </c>
      <c r="I606" s="81">
        <f>SUM(I603:I605)</f>
        <v>34185.9</v>
      </c>
      <c r="J606" s="81">
        <f>SUM(J603:J605)</f>
        <v>130141.75</v>
      </c>
      <c r="K606" s="81">
        <f>SUM(K603:K605)</f>
        <v>224794.23999999999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1089.37+36825.74+59383.03+30779.44</f>
        <v>128077.58</v>
      </c>
      <c r="G612" s="18">
        <f>272.74+9081.7+13007.75+6226.8</f>
        <v>28588.99</v>
      </c>
      <c r="H612" s="18">
        <v>0</v>
      </c>
      <c r="I612" s="18">
        <f>2624.38+4705.18+3555.38</f>
        <v>10884.94</v>
      </c>
      <c r="J612" s="18">
        <v>0</v>
      </c>
      <c r="K612" s="18">
        <v>0</v>
      </c>
      <c r="L612" s="69">
        <f>SUM(F612:K612)</f>
        <v>167551.51</v>
      </c>
      <c r="M612" s="8"/>
      <c r="N612" s="165"/>
    </row>
    <row r="613" spans="1:14" s="3" customFormat="1" ht="12.2" customHeight="1" x14ac:dyDescent="0.15">
      <c r="A613" s="21" t="s">
        <v>634</v>
      </c>
      <c r="B613" s="22">
        <v>23</v>
      </c>
      <c r="C613" s="22">
        <v>14</v>
      </c>
      <c r="D613" s="2" t="s">
        <v>432</v>
      </c>
      <c r="E613" s="22"/>
      <c r="F613" s="18">
        <f>592.28+20021.76+32285.92+16734.45</f>
        <v>69634.409999999989</v>
      </c>
      <c r="G613" s="18">
        <f>148.29+4937.62+7072.17+3385.44</f>
        <v>15543.52</v>
      </c>
      <c r="H613" s="18">
        <v>0</v>
      </c>
      <c r="I613" s="18">
        <f>1426.85+2558.16+1933.02</f>
        <v>5918.03</v>
      </c>
      <c r="J613" s="18">
        <v>0</v>
      </c>
      <c r="K613" s="18">
        <v>0</v>
      </c>
      <c r="L613" s="69">
        <f>SUM(F613:K613)</f>
        <v>91095.959999999992</v>
      </c>
      <c r="M613" s="8"/>
      <c r="N613" s="165"/>
    </row>
    <row r="614" spans="1:14" s="3" customFormat="1" ht="12.2" customHeight="1" thickBot="1" x14ac:dyDescent="0.2">
      <c r="A614" s="21" t="s">
        <v>645</v>
      </c>
      <c r="B614" s="22">
        <v>23</v>
      </c>
      <c r="C614" s="22">
        <v>15</v>
      </c>
      <c r="D614" s="2" t="s">
        <v>432</v>
      </c>
      <c r="E614" s="22"/>
      <c r="F614" s="18">
        <f>641.63+34976.41+18128.99</f>
        <v>53747.03</v>
      </c>
      <c r="G614" s="18">
        <f>160.64+7661.52+3667.56</f>
        <v>11489.720000000001</v>
      </c>
      <c r="H614" s="18">
        <v>0</v>
      </c>
      <c r="I614" s="18">
        <f>1545.75+2094.1</f>
        <v>3639.85</v>
      </c>
      <c r="J614" s="18">
        <v>0</v>
      </c>
      <c r="K614" s="18">
        <v>0</v>
      </c>
      <c r="L614" s="69">
        <f>SUM(F614:K614)</f>
        <v>68876.600000000006</v>
      </c>
      <c r="M614" s="8"/>
      <c r="N614" s="165"/>
    </row>
    <row r="615" spans="1:14" s="3" customFormat="1" ht="12.2" customHeight="1" thickTop="1" x14ac:dyDescent="0.15">
      <c r="A615" s="75" t="s">
        <v>340</v>
      </c>
      <c r="B615" s="41">
        <v>23</v>
      </c>
      <c r="C615" s="41">
        <v>16</v>
      </c>
      <c r="D615" s="36" t="s">
        <v>432</v>
      </c>
      <c r="E615" s="41"/>
      <c r="F615" s="81">
        <f t="shared" ref="F615:L615" si="49">SUM(F612:F614)</f>
        <v>251459.02</v>
      </c>
      <c r="G615" s="81">
        <f t="shared" si="49"/>
        <v>55622.23</v>
      </c>
      <c r="H615" s="81">
        <f t="shared" si="49"/>
        <v>0</v>
      </c>
      <c r="I615" s="81">
        <f t="shared" si="49"/>
        <v>20442.82</v>
      </c>
      <c r="J615" s="81">
        <f t="shared" si="49"/>
        <v>0</v>
      </c>
      <c r="K615" s="81">
        <f t="shared" si="49"/>
        <v>0</v>
      </c>
      <c r="L615" s="70">
        <f t="shared" si="49"/>
        <v>327524.07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955822.10000000009</v>
      </c>
      <c r="H618" s="80">
        <f>SUM(F52)</f>
        <v>955822.1</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510213.89</v>
      </c>
      <c r="H619" s="80">
        <f>SUM(G52)</f>
        <v>510213.89</v>
      </c>
      <c r="I619" s="87" t="s">
        <v>876</v>
      </c>
      <c r="J619" s="80">
        <f>G619-H619</f>
        <v>0</v>
      </c>
      <c r="K619" s="80"/>
      <c r="L619" s="80"/>
      <c r="M619" s="8"/>
    </row>
    <row r="620" spans="1:14" s="3" customFormat="1" ht="12.2" customHeight="1" x14ac:dyDescent="0.15">
      <c r="A620" s="74"/>
      <c r="B620" s="22"/>
      <c r="C620" s="22"/>
      <c r="D620" s="22"/>
      <c r="E620" s="22"/>
      <c r="F620" s="87" t="s">
        <v>685</v>
      </c>
      <c r="G620" s="80">
        <f>SUM(H19)</f>
        <v>561081.06000000006</v>
      </c>
      <c r="H620" s="80">
        <f>SUM(H52)</f>
        <v>561081.06000000006</v>
      </c>
      <c r="I620" s="87" t="s">
        <v>877</v>
      </c>
      <c r="J620" s="80">
        <f>G620-H620</f>
        <v>0</v>
      </c>
      <c r="K620" s="80"/>
      <c r="L620" s="80"/>
      <c r="M620" s="8"/>
    </row>
    <row r="621" spans="1:14" s="3" customFormat="1" ht="12.2" customHeight="1" x14ac:dyDescent="0.15">
      <c r="A621" s="74"/>
      <c r="B621" s="22"/>
      <c r="C621" s="22"/>
      <c r="D621" s="22"/>
      <c r="E621" s="22"/>
      <c r="F621" s="87" t="s">
        <v>686</v>
      </c>
      <c r="G621" s="80">
        <f>SUM(I19)</f>
        <v>2312856.4500000002</v>
      </c>
      <c r="H621" s="80">
        <f>SUM(I52)</f>
        <v>2312856.4500000002</v>
      </c>
      <c r="I621" s="87" t="s">
        <v>878</v>
      </c>
      <c r="J621" s="80">
        <f>G621-H621</f>
        <v>0</v>
      </c>
      <c r="K621" s="80"/>
      <c r="L621" s="80"/>
      <c r="M621" s="8"/>
    </row>
    <row r="622" spans="1:14" s="3" customFormat="1" ht="12.2" customHeight="1" x14ac:dyDescent="0.15">
      <c r="A622" s="74"/>
      <c r="B622" s="22"/>
      <c r="C622" s="22"/>
      <c r="D622" s="22"/>
      <c r="E622" s="22"/>
      <c r="F622" s="87" t="s">
        <v>687</v>
      </c>
      <c r="G622" s="80">
        <f>SUM(J19)</f>
        <v>42845.52</v>
      </c>
      <c r="H622" s="80">
        <f>SUM(J52)</f>
        <v>42845.520000000004</v>
      </c>
      <c r="I622" s="87" t="s">
        <v>879</v>
      </c>
      <c r="J622" s="80">
        <f>G622-H622</f>
        <v>0</v>
      </c>
      <c r="K622" s="80"/>
      <c r="L622" s="80"/>
      <c r="M622" s="8"/>
    </row>
    <row r="623" spans="1:14" s="3" customFormat="1" ht="12.2" customHeight="1" x14ac:dyDescent="0.15">
      <c r="A623" s="74"/>
      <c r="B623" s="22"/>
      <c r="C623" s="22"/>
      <c r="D623" s="22"/>
      <c r="E623" s="22"/>
      <c r="F623" s="87" t="s">
        <v>865</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452571.62</v>
      </c>
      <c r="H624" s="80">
        <f>G477</f>
        <v>452571.61999999988</v>
      </c>
      <c r="I624" s="87" t="s">
        <v>102</v>
      </c>
      <c r="J624" s="80">
        <f t="shared" si="50"/>
        <v>0</v>
      </c>
      <c r="K624" s="80"/>
      <c r="L624" s="80"/>
      <c r="M624" s="8"/>
    </row>
    <row r="625" spans="1:13" s="3" customFormat="1" ht="12.2" customHeight="1" x14ac:dyDescent="0.15">
      <c r="A625" s="74"/>
      <c r="B625" s="22"/>
      <c r="C625" s="22"/>
      <c r="D625" s="22"/>
      <c r="E625" s="22"/>
      <c r="F625" s="86" t="s">
        <v>867</v>
      </c>
      <c r="G625" s="80">
        <f>H51</f>
        <v>37937.5</v>
      </c>
      <c r="H625" s="80">
        <f>H477</f>
        <v>37937.5</v>
      </c>
      <c r="I625" s="87" t="s">
        <v>103</v>
      </c>
      <c r="J625" s="80">
        <f t="shared" si="50"/>
        <v>0</v>
      </c>
      <c r="K625" s="80"/>
      <c r="L625" s="80"/>
      <c r="M625" s="8"/>
    </row>
    <row r="626" spans="1:13" s="3" customFormat="1" ht="12.2" customHeight="1" x14ac:dyDescent="0.15">
      <c r="A626" s="74"/>
      <c r="B626" s="22"/>
      <c r="C626" s="22"/>
      <c r="D626" s="22"/>
      <c r="E626" s="22"/>
      <c r="F626" s="86" t="s">
        <v>868</v>
      </c>
      <c r="G626" s="80">
        <f>I51</f>
        <v>20716.54</v>
      </c>
      <c r="H626" s="80">
        <f>I477</f>
        <v>20716.54</v>
      </c>
      <c r="I626" s="87" t="s">
        <v>104</v>
      </c>
      <c r="J626" s="80">
        <f t="shared" si="50"/>
        <v>0</v>
      </c>
      <c r="K626" s="80"/>
      <c r="L626" s="80"/>
      <c r="M626" s="8"/>
    </row>
    <row r="627" spans="1:13" s="3" customFormat="1" ht="12.2" customHeight="1" x14ac:dyDescent="0.15">
      <c r="A627" s="21"/>
      <c r="B627" s="22"/>
      <c r="C627" s="22"/>
      <c r="D627" s="22"/>
      <c r="E627" s="22"/>
      <c r="F627" s="86" t="s">
        <v>869</v>
      </c>
      <c r="G627" s="80">
        <f>J51</f>
        <v>40718.410000000003</v>
      </c>
      <c r="H627" s="80">
        <f>J477</f>
        <v>40718.409999999989</v>
      </c>
      <c r="I627" s="87" t="s">
        <v>105</v>
      </c>
      <c r="J627" s="80">
        <f t="shared" si="50"/>
        <v>0</v>
      </c>
      <c r="K627" s="67"/>
      <c r="L627" s="69"/>
      <c r="M627" s="8"/>
    </row>
    <row r="628" spans="1:13" s="3" customFormat="1" ht="12.2" customHeight="1" x14ac:dyDescent="0.15">
      <c r="A628" s="21"/>
      <c r="B628" s="22"/>
      <c r="C628" s="22"/>
      <c r="D628" s="22"/>
      <c r="E628" s="22"/>
      <c r="F628" s="86" t="s">
        <v>658</v>
      </c>
      <c r="G628" s="80">
        <f>F194</f>
        <v>27058966.73</v>
      </c>
      <c r="H628" s="80">
        <f>SUM(F469)</f>
        <v>27058966.73</v>
      </c>
      <c r="I628" s="87" t="s">
        <v>106</v>
      </c>
      <c r="J628" s="80">
        <f>G628-H628</f>
        <v>0</v>
      </c>
      <c r="K628" s="67"/>
      <c r="L628" s="69"/>
      <c r="M628" s="8"/>
    </row>
    <row r="629" spans="1:13" s="3" customFormat="1" ht="12.2" customHeight="1" x14ac:dyDescent="0.15">
      <c r="A629" s="21"/>
      <c r="B629" s="22"/>
      <c r="C629" s="22"/>
      <c r="D629" s="22"/>
      <c r="E629" s="22"/>
      <c r="F629" s="86" t="s">
        <v>659</v>
      </c>
      <c r="G629" s="80">
        <f>G194</f>
        <v>1133503.3900000001</v>
      </c>
      <c r="H629" s="80">
        <f>SUM(G469)</f>
        <v>1133503.3899999999</v>
      </c>
      <c r="I629" s="87" t="s">
        <v>107</v>
      </c>
      <c r="J629" s="80">
        <f>G629-H629</f>
        <v>0</v>
      </c>
      <c r="K629" s="67"/>
      <c r="L629" s="69"/>
      <c r="M629" s="8"/>
    </row>
    <row r="630" spans="1:13" s="3" customFormat="1" ht="12.2" customHeight="1" x14ac:dyDescent="0.15">
      <c r="A630" s="21"/>
      <c r="B630" s="22"/>
      <c r="C630" s="22"/>
      <c r="D630" s="22"/>
      <c r="E630" s="22"/>
      <c r="F630" s="86" t="s">
        <v>660</v>
      </c>
      <c r="G630" s="80">
        <f>H194</f>
        <v>4309019.8</v>
      </c>
      <c r="H630" s="80">
        <f>SUM(H469)</f>
        <v>4309019.8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63040.92</v>
      </c>
      <c r="H632" s="80">
        <f>SUM(J469)</f>
        <v>63040.92</v>
      </c>
      <c r="I632" s="87" t="s">
        <v>110</v>
      </c>
      <c r="J632" s="80">
        <f>G632-H632</f>
        <v>0</v>
      </c>
      <c r="K632" s="67"/>
      <c r="L632" s="69"/>
      <c r="M632" s="8"/>
    </row>
    <row r="633" spans="1:13" s="3" customFormat="1" ht="12.2" customHeight="1" x14ac:dyDescent="0.15">
      <c r="A633" s="21"/>
      <c r="B633" s="22"/>
      <c r="C633" s="22"/>
      <c r="D633" s="22"/>
      <c r="E633" s="22"/>
      <c r="F633" s="86" t="s">
        <v>394</v>
      </c>
      <c r="G633" s="80">
        <f>SUM(L272)</f>
        <v>27464293.890000001</v>
      </c>
      <c r="H633" s="80">
        <f>SUM(F473)</f>
        <v>27464293.890000001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4381017.620000001</v>
      </c>
      <c r="H634" s="80">
        <f>SUM(H473)</f>
        <v>4381017.62</v>
      </c>
      <c r="I634" s="87" t="s">
        <v>112</v>
      </c>
      <c r="J634" s="80">
        <f>G634-H634</f>
        <v>0</v>
      </c>
      <c r="K634" s="67"/>
      <c r="L634" s="69"/>
      <c r="M634" s="8"/>
    </row>
    <row r="635" spans="1:13" s="124" customFormat="1" ht="12.2" customHeight="1" x14ac:dyDescent="0.15">
      <c r="A635" s="21"/>
      <c r="B635" s="22"/>
      <c r="C635" s="22"/>
      <c r="D635" s="22"/>
      <c r="E635" s="22"/>
      <c r="F635" s="99" t="s">
        <v>247</v>
      </c>
      <c r="G635" s="80">
        <f>I363</f>
        <v>56215.74</v>
      </c>
      <c r="H635" s="80">
        <f>I370</f>
        <v>56215.74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791970.3</v>
      </c>
      <c r="H636" s="80">
        <f>SUM(G473)</f>
        <v>791970.3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35500</v>
      </c>
      <c r="H637" s="80">
        <f>SUM(I473)</f>
        <v>35500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63040.92</v>
      </c>
      <c r="H638" s="108">
        <f>SUM(J469)</f>
        <v>63040.92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69025.77</v>
      </c>
      <c r="H639" s="108">
        <f>SUM(J473)</f>
        <v>69025.77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42845.52</v>
      </c>
      <c r="H641" s="80">
        <f>SUM(G462)</f>
        <v>42845.520000000004</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42845.52</v>
      </c>
      <c r="H643" s="80">
        <f>SUM(I462)</f>
        <v>42845.520000000004</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63040.92</v>
      </c>
      <c r="H647" s="80">
        <f>L409</f>
        <v>63040.92</v>
      </c>
      <c r="I647" s="87" t="s">
        <v>477</v>
      </c>
      <c r="J647" s="80">
        <f t="shared" si="50"/>
        <v>0</v>
      </c>
      <c r="K647" s="67"/>
      <c r="L647" s="69"/>
      <c r="M647" s="8"/>
    </row>
    <row r="648" spans="1:13" s="3" customFormat="1" ht="12.2" customHeight="1" x14ac:dyDescent="0.15">
      <c r="A648" s="21"/>
      <c r="B648" s="22"/>
      <c r="C648" s="22"/>
      <c r="D648" s="22"/>
      <c r="E648" s="22"/>
      <c r="F648" s="86" t="s">
        <v>51</v>
      </c>
      <c r="G648" s="80">
        <f>K599</f>
        <v>1423857.69</v>
      </c>
      <c r="H648" s="80">
        <f>L209+L227+L245</f>
        <v>1423857.69</v>
      </c>
      <c r="I648" s="87" t="s">
        <v>396</v>
      </c>
      <c r="J648" s="80">
        <f t="shared" si="50"/>
        <v>0</v>
      </c>
      <c r="K648" s="67"/>
      <c r="L648" s="69"/>
      <c r="M648" s="8"/>
    </row>
    <row r="649" spans="1:13" s="3" customFormat="1" ht="12.2" customHeight="1" x14ac:dyDescent="0.15">
      <c r="A649" s="21"/>
      <c r="B649" s="22"/>
      <c r="C649" s="22"/>
      <c r="D649" s="22"/>
      <c r="E649" s="22"/>
      <c r="F649" s="86" t="s">
        <v>52</v>
      </c>
      <c r="G649" s="80">
        <f>K606</f>
        <v>224794.23999999999</v>
      </c>
      <c r="H649" s="80">
        <f>(J258+J339)-(J256+J337)</f>
        <v>224794.24000000002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616946.4</v>
      </c>
      <c r="H650" s="80">
        <f>H599</f>
        <v>616946.40000000014</v>
      </c>
      <c r="I650" s="87" t="s">
        <v>388</v>
      </c>
      <c r="J650" s="80">
        <f t="shared" si="50"/>
        <v>0</v>
      </c>
      <c r="K650" s="67"/>
      <c r="L650" s="69"/>
      <c r="M650" s="8"/>
    </row>
    <row r="651" spans="1:13" s="3" customFormat="1" ht="12.2" customHeight="1" x14ac:dyDescent="0.15">
      <c r="A651" s="21"/>
      <c r="B651" s="22"/>
      <c r="C651" s="22"/>
      <c r="D651" s="22"/>
      <c r="E651" s="22"/>
      <c r="F651" s="86" t="s">
        <v>392</v>
      </c>
      <c r="G651" s="80">
        <f>L227</f>
        <v>338490.77999999997</v>
      </c>
      <c r="H651" s="80">
        <f>I599</f>
        <v>338490.77999999997</v>
      </c>
      <c r="I651" s="87" t="s">
        <v>389</v>
      </c>
      <c r="J651" s="80">
        <f t="shared" si="50"/>
        <v>0</v>
      </c>
      <c r="K651" s="67"/>
      <c r="L651" s="69"/>
      <c r="M651" s="8"/>
    </row>
    <row r="652" spans="1:13" s="3" customFormat="1" ht="12.2" customHeight="1" x14ac:dyDescent="0.15">
      <c r="A652" s="21"/>
      <c r="B652" s="22"/>
      <c r="C652" s="22"/>
      <c r="D652" s="22"/>
      <c r="E652" s="22"/>
      <c r="F652" s="86" t="s">
        <v>393</v>
      </c>
      <c r="G652" s="80">
        <f>L245</f>
        <v>468420.51</v>
      </c>
      <c r="H652" s="80">
        <f>J599</f>
        <v>468420.51000000007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12826402.99</v>
      </c>
      <c r="G661" s="13">
        <f>(L230+L310+L360)</f>
        <v>7103090.9700000007</v>
      </c>
      <c r="H661" s="13">
        <f>(L248+L329+L361)</f>
        <v>8781363.3599999994</v>
      </c>
      <c r="I661" s="13">
        <f>SUM(F661:H661)</f>
        <v>28710857.32</v>
      </c>
      <c r="J661" s="13"/>
      <c r="K661" s="13"/>
      <c r="L661" s="13"/>
      <c r="M661" s="9"/>
    </row>
    <row r="662" spans="1:13" s="3" customFormat="1" ht="12.2" customHeight="1" x14ac:dyDescent="0.2">
      <c r="A662" s="1" t="s">
        <v>127</v>
      </c>
      <c r="F662" s="13">
        <f>(L359/IF(SUM(L359:L361)=0,1,SUM(L359:L361))*(SUM(G97:G110)))</f>
        <v>7166.5765977557476</v>
      </c>
      <c r="G662" s="13">
        <f>(L360/IF(SUM(L359:L361)=0,1,SUM(L359:L361))*(SUM(G97:G110)))</f>
        <v>3350.4400116421029</v>
      </c>
      <c r="H662" s="13">
        <f>(L361/IF(SUM(L359:L361)=0,1,SUM(L359:L361))*(SUM(G97:G110)))</f>
        <v>3629.6433906021471</v>
      </c>
      <c r="I662" s="13">
        <f>SUM(F662:H662)</f>
        <v>14146.659999999998</v>
      </c>
      <c r="J662"/>
      <c r="K662" s="13"/>
      <c r="L662" s="13"/>
      <c r="M662" s="8"/>
    </row>
    <row r="663" spans="1:13" s="3" customFormat="1" ht="12.2" customHeight="1" x14ac:dyDescent="0.2">
      <c r="A663" s="1" t="s">
        <v>128</v>
      </c>
      <c r="F663" s="13">
        <f>(L209+L288)-(J209+J288)</f>
        <v>633596.18000000005</v>
      </c>
      <c r="G663" s="13">
        <f>(L227+L307)-(J227+J307)</f>
        <v>347543.08999999997</v>
      </c>
      <c r="H663" s="13">
        <f>(L245+L326)-(J245+J326)</f>
        <v>477258.7</v>
      </c>
      <c r="I663" s="13">
        <f>SUM(F663:H663)</f>
        <v>1458397.97</v>
      </c>
      <c r="J663"/>
      <c r="K663" s="13"/>
      <c r="L663" s="13"/>
      <c r="M663" s="9"/>
    </row>
    <row r="664" spans="1:13" s="3" customFormat="1" ht="12.2" customHeight="1" x14ac:dyDescent="0.15">
      <c r="A664" s="142" t="s">
        <v>129</v>
      </c>
      <c r="B664" s="124"/>
      <c r="C664" s="124"/>
      <c r="D664" s="124"/>
      <c r="E664" s="124"/>
      <c r="F664" s="143">
        <f>SUM(F576:F588)+SUM(H603:H605)+SUM(L612)</f>
        <v>599470.26</v>
      </c>
      <c r="G664" s="143">
        <f>SUM(G576:G588)+SUM(I603:I605)+L613</f>
        <v>362120.12</v>
      </c>
      <c r="H664" s="143">
        <f>SUM(H576:H588)+SUM(J603:J605)+L614</f>
        <v>935849.53999999992</v>
      </c>
      <c r="I664" s="13">
        <f>SUM(F664:H664)</f>
        <v>1897439.92</v>
      </c>
      <c r="J664" s="13"/>
      <c r="K664" s="13"/>
      <c r="L664" s="13"/>
      <c r="M664" s="9"/>
    </row>
    <row r="665" spans="1:13" s="3" customFormat="1" ht="12.2" customHeight="1" x14ac:dyDescent="0.15">
      <c r="A665" s="1" t="s">
        <v>130</v>
      </c>
      <c r="F665" s="13">
        <f>F661-SUM(F662:F664)</f>
        <v>11586169.973402245</v>
      </c>
      <c r="G665" s="13">
        <f>G661-SUM(G662:G664)</f>
        <v>6390077.3199883588</v>
      </c>
      <c r="H665" s="13">
        <f>H661-SUM(H662:H664)</f>
        <v>7364625.4766093977</v>
      </c>
      <c r="I665" s="13">
        <f>I661-SUM(I662:I664)</f>
        <v>25340872.77</v>
      </c>
      <c r="J665" s="13"/>
      <c r="K665" s="13"/>
      <c r="L665" s="13"/>
      <c r="M665" s="8"/>
    </row>
    <row r="666" spans="1:13" s="3" customFormat="1" ht="12.2" customHeight="1" x14ac:dyDescent="0.2">
      <c r="A666" s="1" t="s">
        <v>131</v>
      </c>
      <c r="F666" s="183">
        <v>585.1</v>
      </c>
      <c r="G666" s="184">
        <v>338.28</v>
      </c>
      <c r="H666" s="184">
        <v>378.93</v>
      </c>
      <c r="I666" s="13">
        <f>SUM(F666:H666)</f>
        <v>1302.31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19802.03</v>
      </c>
      <c r="G668" s="13">
        <f>ROUND(G665/G666,2)</f>
        <v>18889.91</v>
      </c>
      <c r="H668" s="13">
        <f>ROUND(H665/H666,2)</f>
        <v>19435.32</v>
      </c>
      <c r="I668" s="13">
        <f>ROUND(I665/I666,2)</f>
        <v>19458.400000000001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0.32</v>
      </c>
      <c r="I671" s="13">
        <f>SUM(F671:H671)</f>
        <v>0.32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19802.03</v>
      </c>
      <c r="G673" s="13">
        <f>ROUND((G665+G670)/(G666+G671),2)</f>
        <v>18889.91</v>
      </c>
      <c r="H673" s="13">
        <f>ROUND((H665+H670)/(H666+H671),2)</f>
        <v>19418.919999999998</v>
      </c>
      <c r="I673" s="13">
        <f>ROUND((I665+I670)/(I666+I671),2)</f>
        <v>19453.62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QUNY4mT9w6XRSvrZ54oUqN4/JYfKZwVWqSdrW8E7Kc/+Al89YlNtVm+1Ia6dCcaCL3nWvSB8o7mkCYNXXa2mYg==" saltValue="1ftwWvbYpJRne521rhVnlQ=="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E17"/>
    </sheetView>
  </sheetViews>
  <sheetFormatPr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393049.83000000007</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f>13972.45+88995.2+35852.36</f>
        <v>138820.01</v>
      </c>
      <c r="F9" s="276" t="s">
        <v>1644</v>
      </c>
    </row>
    <row r="10" spans="2:8" x14ac:dyDescent="0.25">
      <c r="B10" s="275"/>
      <c r="C10" s="275"/>
      <c r="D10" s="275"/>
      <c r="E10" s="275"/>
      <c r="F10" s="275"/>
    </row>
    <row r="11" spans="2:8" x14ac:dyDescent="0.25">
      <c r="B11" s="275"/>
      <c r="C11" s="279" t="s">
        <v>1648</v>
      </c>
      <c r="D11" s="276" t="s">
        <v>1651</v>
      </c>
      <c r="E11" s="263">
        <f>4775.21+11008.8+654.65+5.76</f>
        <v>16444.419999999998</v>
      </c>
      <c r="F11" s="276" t="s">
        <v>1645</v>
      </c>
    </row>
    <row r="12" spans="2:8" x14ac:dyDescent="0.25">
      <c r="B12" s="275"/>
      <c r="C12" s="275"/>
      <c r="D12" s="276"/>
      <c r="E12" s="275"/>
      <c r="F12" s="275"/>
    </row>
    <row r="13" spans="2:8" x14ac:dyDescent="0.25">
      <c r="B13" s="275"/>
      <c r="C13" s="276" t="s">
        <v>1638</v>
      </c>
      <c r="D13" s="276" t="s">
        <v>1652</v>
      </c>
      <c r="E13" s="263">
        <f>9317.33+8558.18+18339.89</f>
        <v>36215.4</v>
      </c>
      <c r="F13" s="276" t="s">
        <v>1646</v>
      </c>
    </row>
    <row r="14" spans="2:8" x14ac:dyDescent="0.25">
      <c r="B14" s="275"/>
      <c r="C14" s="275"/>
      <c r="D14" s="276"/>
      <c r="E14" s="275"/>
      <c r="F14" s="275"/>
    </row>
    <row r="15" spans="2:8" x14ac:dyDescent="0.25">
      <c r="B15" s="275"/>
      <c r="C15" s="276" t="s">
        <v>1640</v>
      </c>
      <c r="D15" s="276" t="s">
        <v>1653</v>
      </c>
      <c r="E15" s="263">
        <v>201570</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Somersworth</v>
      </c>
      <c r="C5" s="302"/>
      <c r="D5" s="302"/>
      <c r="E5" s="302"/>
      <c r="F5" s="302"/>
    </row>
    <row r="8" spans="1:9" ht="18" x14ac:dyDescent="0.25">
      <c r="A8" s="240" t="s">
        <v>1568</v>
      </c>
      <c r="F8" s="247" t="s">
        <v>1586</v>
      </c>
    </row>
    <row r="9" spans="1:9" ht="15" x14ac:dyDescent="0.2">
      <c r="A9" s="238" t="s">
        <v>1569</v>
      </c>
      <c r="B9" s="241">
        <f>'DOE25'!G97</f>
        <v>3364.21</v>
      </c>
      <c r="F9" s="238" t="s">
        <v>1582</v>
      </c>
    </row>
    <row r="10" spans="1:9" ht="15" x14ac:dyDescent="0.2">
      <c r="A10" s="238" t="s">
        <v>1570</v>
      </c>
      <c r="B10" s="241">
        <f>'DOE25'!G112-'DOE25'!G97</f>
        <v>10782.45</v>
      </c>
      <c r="F10" s="238" t="s">
        <v>1583</v>
      </c>
    </row>
    <row r="11" spans="1:9" ht="15" x14ac:dyDescent="0.2">
      <c r="A11" s="238" t="s">
        <v>1571</v>
      </c>
      <c r="B11" s="241">
        <f>'DOE25'!G140</f>
        <v>156732.6</v>
      </c>
      <c r="F11" s="238" t="s">
        <v>1584</v>
      </c>
    </row>
    <row r="12" spans="1:9" ht="15" x14ac:dyDescent="0.2">
      <c r="A12" s="238" t="s">
        <v>1572</v>
      </c>
      <c r="B12" s="241">
        <f>'DOE25'!G170</f>
        <v>962624.13</v>
      </c>
      <c r="F12" s="238" t="s">
        <v>1585</v>
      </c>
    </row>
    <row r="13" spans="1:9" ht="15" x14ac:dyDescent="0.2">
      <c r="A13" s="238" t="s">
        <v>1573</v>
      </c>
      <c r="B13" s="241">
        <f>'DOE25'!G193-'DOE25'!G180</f>
        <v>0</v>
      </c>
      <c r="F13" s="238" t="s">
        <v>1595</v>
      </c>
    </row>
    <row r="14" spans="1:9" ht="18" x14ac:dyDescent="0.25">
      <c r="A14" s="240" t="s">
        <v>732</v>
      </c>
      <c r="B14" s="242">
        <f>SUM(B9:B13)</f>
        <v>1133503.3900000001</v>
      </c>
    </row>
    <row r="16" spans="1:9" ht="18" x14ac:dyDescent="0.25">
      <c r="A16" s="240" t="s">
        <v>786</v>
      </c>
      <c r="F16" s="247" t="s">
        <v>1587</v>
      </c>
    </row>
    <row r="17" spans="1:6" ht="15" x14ac:dyDescent="0.2">
      <c r="A17" s="238" t="s">
        <v>1574</v>
      </c>
      <c r="B17" s="241">
        <f>'DOE25'!L363-'DOE25'!L362</f>
        <v>791970.3</v>
      </c>
      <c r="F17" s="238" t="s">
        <v>1588</v>
      </c>
    </row>
    <row r="18" spans="1:6" ht="15" x14ac:dyDescent="0.2">
      <c r="A18" s="238" t="s">
        <v>1575</v>
      </c>
      <c r="B18" s="251">
        <v>0</v>
      </c>
      <c r="F18" s="247" t="s">
        <v>1612</v>
      </c>
    </row>
    <row r="19" spans="1:6" ht="18" x14ac:dyDescent="0.25">
      <c r="A19" s="240" t="s">
        <v>725</v>
      </c>
      <c r="B19" s="242">
        <f>SUM(B17:B18)</f>
        <v>791970.3</v>
      </c>
    </row>
    <row r="21" spans="1:6" ht="18.75" thickBot="1" x14ac:dyDescent="0.3">
      <c r="A21" s="240" t="s">
        <v>1576</v>
      </c>
    </row>
    <row r="22" spans="1:6" ht="18.75" thickTop="1" x14ac:dyDescent="0.25">
      <c r="A22" s="240" t="s">
        <v>1577</v>
      </c>
      <c r="B22" s="246">
        <f>B14-B19</f>
        <v>341533.09000000008</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111038.53</v>
      </c>
      <c r="F31" s="238" t="s">
        <v>1592</v>
      </c>
    </row>
    <row r="33" spans="1:6" ht="15" x14ac:dyDescent="0.2">
      <c r="A33" s="238" t="s">
        <v>1635</v>
      </c>
      <c r="B33" s="241">
        <f>'DOE25'!G477</f>
        <v>452571.61999999988</v>
      </c>
      <c r="F33" s="238" t="s">
        <v>1593</v>
      </c>
    </row>
    <row r="36" spans="1:6" ht="15" x14ac:dyDescent="0.2">
      <c r="A36" s="238" t="s">
        <v>1579</v>
      </c>
      <c r="B36" s="252">
        <v>64507.86</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18" sqref="J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Somersworth</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5651858.3800000008</v>
      </c>
      <c r="C9" s="167">
        <f>'DOE25'!G198+'DOE25'!G216+'DOE25'!G234+'DOE25'!G277+'DOE25'!G296+'DOE25'!G315</f>
        <v>3191324.57</v>
      </c>
    </row>
    <row r="10" spans="1:3" x14ac:dyDescent="0.2">
      <c r="A10" t="s">
        <v>775</v>
      </c>
      <c r="B10" s="177">
        <f>18748.45+4887804.06+3360+5500+2200+120+80+10030</f>
        <v>4927842.51</v>
      </c>
      <c r="C10" s="177">
        <f>1152963.35+50996.96+6679.43+8493.87+1510+6248.68+352251.79+1599.53+1008141.45+77217.03</f>
        <v>2666102.09</v>
      </c>
    </row>
    <row r="11" spans="1:3" x14ac:dyDescent="0.2">
      <c r="A11" t="s">
        <v>776</v>
      </c>
      <c r="B11" s="177">
        <f>211321.49+281512.17+5190</f>
        <v>498023.66</v>
      </c>
      <c r="C11" s="177">
        <f>90388.88+4612.84+549.84+442.02+27.87+14997.31+27565.39+115008.02+257.04+388.48+6.12+420.73+19686.47+164.87+9.18+706.27+988.57+16.82+1156.06+48544.12+12.61+462.44</f>
        <v>326411.95</v>
      </c>
    </row>
    <row r="12" spans="1:3" x14ac:dyDescent="0.2">
      <c r="A12" t="s">
        <v>777</v>
      </c>
      <c r="B12" s="177">
        <f>2323.28+3000+199861.17+20807.76</f>
        <v>225992.21000000002</v>
      </c>
      <c r="C12" s="177">
        <f>35.29+62.08-50+177.1+229.5+14863.84+404.57+19790.09+1591.81+911.74+106233.86-1061.55+1380.95+686.59+250+53304.66</f>
        <v>198810.53000000003</v>
      </c>
    </row>
    <row r="13" spans="1:3" x14ac:dyDescent="0.2">
      <c r="A13" t="str">
        <f>IF(B9=B13,IF(C9=C13,"Check Total OK","Check Total Error"),"Check Total Error")</f>
        <v>Check Total OK</v>
      </c>
      <c r="B13" s="169">
        <f>SUM(B10:B12)</f>
        <v>5651858.3799999999</v>
      </c>
      <c r="C13" s="169">
        <f>SUM(C10:C12)</f>
        <v>3191324.5700000003</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2780155.17</v>
      </c>
      <c r="C18" s="167">
        <f>'DOE25'!G199+'DOE25'!G217+'DOE25'!G235+'DOE25'!G278+'DOE25'!G297+'DOE25'!G316</f>
        <v>1664736.29</v>
      </c>
    </row>
    <row r="19" spans="1:3" x14ac:dyDescent="0.2">
      <c r="A19" t="s">
        <v>775</v>
      </c>
      <c r="B19" s="177">
        <f>982602.23+9472.56+196975.19+91075.15+161747</f>
        <v>1441872.13</v>
      </c>
      <c r="C19" s="177">
        <f>51398.3+2251+226.32+282.24+85.08+11293.38+33999.23+259365.4+11320.76+1307.39+1691.73+253.47+70910.82+203269.54+1050+7784.64+108.7+490+66.24+53.64+724.17+14367.42+6500.93+20625.1+16401.61</f>
        <v>715827.1100000001</v>
      </c>
    </row>
    <row r="20" spans="1:3" x14ac:dyDescent="0.2">
      <c r="A20" t="s">
        <v>776</v>
      </c>
      <c r="B20" s="177">
        <f>1241037.02</f>
        <v>1241037.02</v>
      </c>
      <c r="C20" s="177">
        <f>627814.86+29280.97+3263.47+2638.22+388.99+1.12+1172.42+87370.76+173044.92</f>
        <v>924975.73</v>
      </c>
    </row>
    <row r="21" spans="1:3" x14ac:dyDescent="0.2">
      <c r="A21" t="s">
        <v>777</v>
      </c>
      <c r="B21" s="177">
        <f>65642.88+31603.14</f>
        <v>97246.02</v>
      </c>
      <c r="C21" s="177">
        <f>717.53+54.97+8.8+3.75+0.28+5021.73+2281.96+3142.93+8258.07+4443.43</f>
        <v>23933.449999999997</v>
      </c>
    </row>
    <row r="22" spans="1:3" x14ac:dyDescent="0.2">
      <c r="A22" t="str">
        <f>IF(B18=B22,IF(C18=C22,"Check Total OK","Check Total Error"),"Check Total Error")</f>
        <v>Check Total OK</v>
      </c>
      <c r="B22" s="169">
        <f>SUM(B19:B21)</f>
        <v>2780155.17</v>
      </c>
      <c r="C22" s="169">
        <f>SUM(C19:C21)</f>
        <v>1664736.29</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488863.76</v>
      </c>
      <c r="C27" s="172">
        <f>'DOE25'!G200+'DOE25'!G218+'DOE25'!G236+'DOE25'!G279+'DOE25'!G298+'DOE25'!G317</f>
        <v>267564</v>
      </c>
    </row>
    <row r="28" spans="1:3" x14ac:dyDescent="0.2">
      <c r="A28" t="s">
        <v>775</v>
      </c>
      <c r="B28" s="177">
        <f>462361.61+5980+570</f>
        <v>468911.61</v>
      </c>
      <c r="C28" s="177">
        <f>122170.22+5083.14+644.15+768.97+545.48+32425.59+89047.05+403.72+28.87+756.72</f>
        <v>251873.90999999997</v>
      </c>
    </row>
    <row r="29" spans="1:3" x14ac:dyDescent="0.2">
      <c r="A29" t="s">
        <v>776</v>
      </c>
      <c r="B29" s="177">
        <v>19952.150000000001</v>
      </c>
      <c r="C29" s="177">
        <f>13837+732.98+56.64+45+1018.47</f>
        <v>15690.089999999998</v>
      </c>
    </row>
    <row r="30" spans="1:3" x14ac:dyDescent="0.2">
      <c r="A30" t="s">
        <v>777</v>
      </c>
      <c r="B30" s="177">
        <v>0</v>
      </c>
      <c r="C30" s="177">
        <v>0</v>
      </c>
    </row>
    <row r="31" spans="1:3" x14ac:dyDescent="0.2">
      <c r="A31" t="str">
        <f>IF(B27=B31,IF(C27=C31,"Check Total OK","Check Total Error"),"Check Total Error")</f>
        <v>Check Total OK</v>
      </c>
      <c r="B31" s="169">
        <f>SUM(B28:B30)</f>
        <v>488863.76</v>
      </c>
      <c r="C31" s="169">
        <f>SUM(C28:C30)</f>
        <v>267564</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513210.20000000007</v>
      </c>
      <c r="C36" s="173">
        <f>'DOE25'!G201+'DOE25'!G219+'DOE25'!G237+'DOE25'!G280+'DOE25'!G299+'DOE25'!G318</f>
        <v>122779.01</v>
      </c>
    </row>
    <row r="37" spans="1:3" x14ac:dyDescent="0.2">
      <c r="A37" t="s">
        <v>775</v>
      </c>
      <c r="B37" s="177">
        <v>0</v>
      </c>
      <c r="C37" s="177">
        <v>0</v>
      </c>
    </row>
    <row r="38" spans="1:3" x14ac:dyDescent="0.2">
      <c r="A38" t="s">
        <v>776</v>
      </c>
      <c r="B38" s="177">
        <v>0</v>
      </c>
      <c r="C38" s="177">
        <v>0</v>
      </c>
    </row>
    <row r="39" spans="1:3" x14ac:dyDescent="0.2">
      <c r="A39" t="s">
        <v>777</v>
      </c>
      <c r="B39" s="177">
        <f>33472+112695.88+56320+125335.36+527.5+1310+30491.83+153057.63</f>
        <v>513210.2</v>
      </c>
      <c r="C39" s="177">
        <f>2560.55+5891.51+94.04+8912.41+16764.16+4306.47+9584.88+40.36+100.27+9586.84+17827.63+85.65+228.66+9821.8+546.61+149.88+27.26+2.04+2276.12+11480.62+2434.05+20057.2</f>
        <v>122779.00999999998</v>
      </c>
    </row>
    <row r="40" spans="1:3" x14ac:dyDescent="0.2">
      <c r="A40" t="str">
        <f>IF(B36=B40,IF(C36=C40,"Check Total OK","Check Total Error"),"Check Total Error")</f>
        <v>Check Total OK</v>
      </c>
      <c r="B40" s="169">
        <f>SUM(B37:B39)</f>
        <v>513210.2</v>
      </c>
      <c r="C40" s="169">
        <f>SUM(C37:C39)</f>
        <v>122779.00999999998</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Somersworth</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15554075.09</v>
      </c>
      <c r="D5" s="19">
        <f>SUM('DOE25'!L198:L201)+SUM('DOE25'!L216:L219)+SUM('DOE25'!L234:L237)-F5-G5-H5</f>
        <v>15414320.4</v>
      </c>
      <c r="E5" s="180"/>
      <c r="F5" s="181">
        <v>23923.59</v>
      </c>
      <c r="G5" s="19">
        <f>SUM('DOE25'!J198:J201)+SUM('DOE25'!J216:J219)+SUM('DOE25'!J234:J237)</f>
        <v>106011.04000000001</v>
      </c>
      <c r="H5" s="19">
        <f>SUM('DOE25'!K198:K201)+SUM('DOE25'!K216:K219)+SUM('DOE25'!K234:K237)</f>
        <v>9820.06</v>
      </c>
      <c r="I5" s="192"/>
    </row>
    <row r="6" spans="1:9" x14ac:dyDescent="0.2">
      <c r="A6" s="31">
        <v>2100</v>
      </c>
      <c r="B6" t="s">
        <v>796</v>
      </c>
      <c r="C6" s="206">
        <f t="shared" si="0"/>
        <v>1874365.08</v>
      </c>
      <c r="D6" s="19">
        <f>'DOE25'!L203+'DOE25'!L221+'DOE25'!L239-F6-G6-H6</f>
        <v>1757586.29</v>
      </c>
      <c r="E6" s="180"/>
      <c r="F6" s="181">
        <f>51224.44+52903.05</f>
        <v>104127.49</v>
      </c>
      <c r="G6" s="19">
        <f>'DOE25'!J203+'DOE25'!J221+'DOE25'!J239</f>
        <v>0</v>
      </c>
      <c r="H6" s="19">
        <f>'DOE25'!K203+'DOE25'!K221+'DOE25'!K239</f>
        <v>12651.3</v>
      </c>
      <c r="I6" s="192"/>
    </row>
    <row r="7" spans="1:9" x14ac:dyDescent="0.2">
      <c r="A7" s="31">
        <v>2200</v>
      </c>
      <c r="B7" t="s">
        <v>821</v>
      </c>
      <c r="C7" s="206">
        <f t="shared" si="0"/>
        <v>417361.80000000005</v>
      </c>
      <c r="D7" s="19">
        <f>'DOE25'!L204+'DOE25'!L222+'DOE25'!L240-F7-G7-H7</f>
        <v>416733.02</v>
      </c>
      <c r="E7" s="180"/>
      <c r="F7" s="181">
        <v>0</v>
      </c>
      <c r="G7" s="19">
        <f>'DOE25'!J204+'DOE25'!J222+'DOE25'!J240</f>
        <v>628.78</v>
      </c>
      <c r="H7" s="19">
        <f>'DOE25'!K204+'DOE25'!K222+'DOE25'!K240</f>
        <v>0</v>
      </c>
      <c r="I7" s="192"/>
    </row>
    <row r="8" spans="1:9" x14ac:dyDescent="0.2">
      <c r="A8" s="31">
        <v>2300</v>
      </c>
      <c r="B8" t="s">
        <v>797</v>
      </c>
      <c r="C8" s="206">
        <f t="shared" si="0"/>
        <v>1020776.8300000001</v>
      </c>
      <c r="D8" s="180"/>
      <c r="E8" s="19">
        <f>'DOE25'!L205+'DOE25'!L223+'DOE25'!L241-F8-G8-H8-D9-D11</f>
        <v>976469.51</v>
      </c>
      <c r="F8" s="181">
        <v>28832.04</v>
      </c>
      <c r="G8" s="19">
        <f>'DOE25'!J205+'DOE25'!J223+'DOE25'!J241</f>
        <v>0</v>
      </c>
      <c r="H8" s="19">
        <f>'DOE25'!K205+'DOE25'!K223+'DOE25'!K241</f>
        <v>15475.279999999999</v>
      </c>
      <c r="I8" s="192"/>
    </row>
    <row r="9" spans="1:9" ht="14.25" x14ac:dyDescent="0.2">
      <c r="A9" s="31">
        <v>2310</v>
      </c>
      <c r="B9" s="71" t="s">
        <v>888</v>
      </c>
      <c r="C9" s="206">
        <f t="shared" si="0"/>
        <v>12580.64</v>
      </c>
      <c r="D9" s="181">
        <v>12580.64</v>
      </c>
      <c r="E9" s="180"/>
      <c r="F9" s="180"/>
      <c r="G9" s="180"/>
      <c r="H9" s="180"/>
      <c r="I9" s="192"/>
    </row>
    <row r="10" spans="1:9" ht="14.25" x14ac:dyDescent="0.2">
      <c r="A10" s="31">
        <v>2317</v>
      </c>
      <c r="B10" s="71" t="s">
        <v>889</v>
      </c>
      <c r="C10" s="206">
        <f t="shared" si="0"/>
        <v>7433.75</v>
      </c>
      <c r="D10" s="180"/>
      <c r="E10" s="181">
        <v>7433.75</v>
      </c>
      <c r="F10" s="180"/>
      <c r="G10" s="180"/>
      <c r="H10" s="180"/>
      <c r="I10" s="192"/>
    </row>
    <row r="11" spans="1:9" ht="14.25" x14ac:dyDescent="0.2">
      <c r="A11" s="31">
        <v>2321</v>
      </c>
      <c r="B11" s="71" t="s">
        <v>890</v>
      </c>
      <c r="C11" s="206">
        <f t="shared" si="0"/>
        <v>216911.99</v>
      </c>
      <c r="D11" s="181">
        <v>216911.99</v>
      </c>
      <c r="E11" s="180"/>
      <c r="F11" s="180"/>
      <c r="G11" s="180"/>
      <c r="H11" s="180"/>
      <c r="I11" s="192"/>
    </row>
    <row r="12" spans="1:9" x14ac:dyDescent="0.2">
      <c r="A12" s="31">
        <v>2400</v>
      </c>
      <c r="B12" t="s">
        <v>711</v>
      </c>
      <c r="C12" s="206">
        <f t="shared" si="0"/>
        <v>1822946.78</v>
      </c>
      <c r="D12" s="19">
        <f>'DOE25'!L206+'DOE25'!L224+'DOE25'!L242-F12-G12-H12</f>
        <v>1810201.82</v>
      </c>
      <c r="E12" s="180"/>
      <c r="F12" s="181">
        <v>0</v>
      </c>
      <c r="G12" s="19">
        <f>'DOE25'!J206+'DOE25'!J224+'DOE25'!J242</f>
        <v>2459.96</v>
      </c>
      <c r="H12" s="19">
        <f>'DOE25'!K206+'DOE25'!K224+'DOE25'!K242</f>
        <v>10285</v>
      </c>
      <c r="I12" s="192"/>
    </row>
    <row r="13" spans="1:9" x14ac:dyDescent="0.2">
      <c r="A13" s="31">
        <v>2500</v>
      </c>
      <c r="B13" t="s">
        <v>798</v>
      </c>
      <c r="C13" s="206">
        <f t="shared" si="0"/>
        <v>0</v>
      </c>
      <c r="D13" s="180"/>
      <c r="E13" s="19">
        <f>'DOE25'!L207+'DOE25'!L225+'DOE25'!L243-F13-G13-H13</f>
        <v>0</v>
      </c>
      <c r="F13" s="181">
        <v>0</v>
      </c>
      <c r="G13" s="19">
        <f>'DOE25'!J207+'DOE25'!J225+'DOE25'!J243</f>
        <v>0</v>
      </c>
      <c r="H13" s="19">
        <f>'DOE25'!K207+'DOE25'!K225+'DOE25'!K243</f>
        <v>0</v>
      </c>
      <c r="I13" s="192"/>
    </row>
    <row r="14" spans="1:9" x14ac:dyDescent="0.2">
      <c r="A14" s="31">
        <v>2600</v>
      </c>
      <c r="B14" t="s">
        <v>819</v>
      </c>
      <c r="C14" s="206">
        <f t="shared" si="0"/>
        <v>2971907.3</v>
      </c>
      <c r="D14" s="19">
        <f>'DOE25'!L208+'DOE25'!L226+'DOE25'!L244-F14-G14-H14</f>
        <v>2691640.4299999997</v>
      </c>
      <c r="E14" s="180"/>
      <c r="F14" s="181">
        <f>1925.76+25000+61994.59+109565+29227.53+51128.02</f>
        <v>278840.89999999997</v>
      </c>
      <c r="G14" s="19">
        <f>'DOE25'!J208+'DOE25'!J226+'DOE25'!J244</f>
        <v>1425.97</v>
      </c>
      <c r="H14" s="19">
        <f>'DOE25'!K208+'DOE25'!K226+'DOE25'!K244</f>
        <v>0</v>
      </c>
      <c r="I14" s="192"/>
    </row>
    <row r="15" spans="1:9" x14ac:dyDescent="0.2">
      <c r="A15" s="31">
        <v>2700</v>
      </c>
      <c r="B15" t="s">
        <v>799</v>
      </c>
      <c r="C15" s="206">
        <f t="shared" si="0"/>
        <v>1423857.69</v>
      </c>
      <c r="D15" s="19">
        <f>'DOE25'!L209+'DOE25'!L227+'DOE25'!L245-F15-G15-H15</f>
        <v>214914.90999999992</v>
      </c>
      <c r="E15" s="180"/>
      <c r="F15" s="181">
        <f>439270.11+4110+706623.72+2454.67+54620.2+1864.08</f>
        <v>1208942.78</v>
      </c>
      <c r="G15" s="19">
        <f>'DOE25'!J209+'DOE25'!J227+'DOE25'!J245</f>
        <v>0</v>
      </c>
      <c r="H15" s="19">
        <f>'DOE25'!K209+'DOE25'!K227+'DOE25'!K245</f>
        <v>0</v>
      </c>
      <c r="I15" s="192"/>
    </row>
    <row r="16" spans="1:9" x14ac:dyDescent="0.2">
      <c r="A16" s="31">
        <v>2800</v>
      </c>
      <c r="B16" t="s">
        <v>800</v>
      </c>
      <c r="C16" s="206">
        <f t="shared" si="0"/>
        <v>315460.49</v>
      </c>
      <c r="D16" s="180"/>
      <c r="E16" s="19">
        <f>'DOE25'!L210+'DOE25'!L228+'DOE25'!L246-F16-G16-H16</f>
        <v>118022.49</v>
      </c>
      <c r="F16" s="181">
        <v>125799.92</v>
      </c>
      <c r="G16" s="19">
        <f>'DOE25'!J210+'DOE25'!J228+'DOE25'!J246</f>
        <v>71638.080000000002</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2073670</v>
      </c>
      <c r="D22" s="180"/>
      <c r="E22" s="180"/>
      <c r="F22" s="180"/>
      <c r="G22" s="19">
        <f>'DOE25'!L256+'DOE25'!L337</f>
        <v>2073670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1834050.2</v>
      </c>
      <c r="D25" s="180"/>
      <c r="E25" s="180"/>
      <c r="F25" s="191"/>
      <c r="G25" s="180"/>
      <c r="H25" s="180"/>
      <c r="I25" s="190">
        <f>'DOE25'!L261+'DOE25'!L262+'DOE25'!L342+'DOE25'!L343</f>
        <v>1834050.2</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735754.56</v>
      </c>
      <c r="D29" s="212">
        <f>'DOE25'!L359+'DOE25'!L360+'DOE25'!L361-'DOE25'!I368-F29-G29-H29</f>
        <v>29374.560000000056</v>
      </c>
      <c r="E29" s="180"/>
      <c r="F29" s="181">
        <v>706380</v>
      </c>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2288643.330000001</v>
      </c>
      <c r="D31" s="19">
        <f>'DOE25'!L291+'DOE25'!L310+'DOE25'!L329+'DOE25'!L334+'DOE25'!L335+'DOE25'!L336-F31-G31-H31</f>
        <v>2072951.7100000007</v>
      </c>
      <c r="E31" s="180"/>
      <c r="F31" s="181">
        <f>129161.53+5805</f>
        <v>134966.53</v>
      </c>
      <c r="G31" s="19">
        <f>'DOE25'!J291+'DOE25'!J310+'DOE25'!J329+'DOE25'!J334+'DOE25'!J335+'DOE25'!J336</f>
        <v>42630.41</v>
      </c>
      <c r="H31" s="19">
        <f>'DOE25'!K291+'DOE25'!K310+'DOE25'!K329+'DOE25'!K334+'DOE25'!K335+'DOE25'!K336</f>
        <v>38094.68</v>
      </c>
      <c r="I31" s="192"/>
    </row>
    <row r="32" spans="1:9" ht="12" thickBot="1" x14ac:dyDescent="0.25">
      <c r="C32" s="207"/>
      <c r="G32" s="188"/>
      <c r="H32" s="188"/>
      <c r="I32" s="194"/>
    </row>
    <row r="33" spans="1:9" ht="12" thickTop="1" x14ac:dyDescent="0.2">
      <c r="B33" t="s">
        <v>809</v>
      </c>
      <c r="D33" s="182">
        <f t="shared" ref="D33:I33" si="1">SUM(D5:D31)</f>
        <v>24637215.77</v>
      </c>
      <c r="E33" s="182">
        <f t="shared" si="1"/>
        <v>1101925.75</v>
      </c>
      <c r="F33" s="182">
        <f t="shared" si="1"/>
        <v>2611813.2499999995</v>
      </c>
      <c r="G33" s="182">
        <f t="shared" si="1"/>
        <v>2298464.2400000002</v>
      </c>
      <c r="H33" s="182">
        <f t="shared" si="1"/>
        <v>86326.32</v>
      </c>
      <c r="I33" s="182">
        <f t="shared" si="1"/>
        <v>1834050.2</v>
      </c>
    </row>
    <row r="35" spans="1:9" ht="12" thickBot="1" x14ac:dyDescent="0.25">
      <c r="B35" s="188" t="s">
        <v>831</v>
      </c>
      <c r="D35" s="189">
        <f>E33</f>
        <v>1101925.75</v>
      </c>
      <c r="E35" s="185"/>
      <c r="F35" s="255" t="s">
        <v>1617</v>
      </c>
      <c r="G35" s="256"/>
      <c r="H35" s="256"/>
      <c r="I35" s="256"/>
    </row>
    <row r="36" spans="1:9" ht="12" thickTop="1" x14ac:dyDescent="0.2">
      <c r="B36" t="s">
        <v>810</v>
      </c>
      <c r="D36" s="19">
        <f>D33</f>
        <v>24637215.77</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Somersworth</v>
      </c>
      <c r="B2">
        <f>'DOE25'!B2</f>
        <v>491</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12425197.629999999</v>
      </c>
      <c r="G4" s="229">
        <f>'DOE25'!L212+'DOE25'!L291</f>
        <v>12425197.630000001</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I5" s="311"/>
      <c r="N5"/>
    </row>
    <row r="6" spans="1:18" x14ac:dyDescent="0.2">
      <c r="A6" t="str" cm="1">
        <f t="array" ref="A6">IFERROR(INDEX('School Tables'!$A$4:$G$325,'School Tables'!$J4,3),"")</f>
        <v>Idlehurst Elementary School</v>
      </c>
      <c r="B6" s="230">
        <f>IFERROR(VLOOKUP(A6,'School Tables'!$C$3:$D$365,2,FALSE),"")</f>
        <v>29202</v>
      </c>
      <c r="C6" s="223" t="str">
        <f>IFERROR(INDEX('School Tables'!$B$3:$B$365,MATCH('School Level Expenditures'!B6,'School Tables'!$D$3:$D$365,0)),"")</f>
        <v>Somersworth</v>
      </c>
      <c r="D6" s="220">
        <f>4640973.07+1053960.02</f>
        <v>5694933.0899999999</v>
      </c>
      <c r="E6" s="220">
        <v>794834.89</v>
      </c>
      <c r="F6" s="232">
        <f t="shared" ref="F6:F20" si="0">D6+E6</f>
        <v>6489767.9799999995</v>
      </c>
      <c r="G6" s="223"/>
      <c r="H6" s="223"/>
      <c r="I6" s="311"/>
      <c r="N6"/>
    </row>
    <row r="7" spans="1:18" x14ac:dyDescent="0.2">
      <c r="A7" t="str" cm="1">
        <f t="array" ref="A7">IFERROR(INDEX('School Tables'!$A$4:$G$325,'School Tables'!$J5,3),"")</f>
        <v>Maple Wood Elementary School</v>
      </c>
      <c r="B7" s="230">
        <f>IFERROR(VLOOKUP(A7,'School Tables'!$C$3:$D$365,2,FALSE),"")</f>
        <v>29203</v>
      </c>
      <c r="C7" s="223" t="str">
        <f>IFERROR(INDEX('School Tables'!$B$3:$B$365,MATCH('School Level Expenditures'!B7,'School Tables'!$D$3:$D$365,0)),"")</f>
        <v>Somersworth</v>
      </c>
      <c r="D7" s="220">
        <f>4159136.5+1012628.26</f>
        <v>5171764.76</v>
      </c>
      <c r="E7" s="220">
        <v>763664.89</v>
      </c>
      <c r="F7" s="232">
        <f t="shared" si="0"/>
        <v>5935429.6499999994</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10866697.85</v>
      </c>
      <c r="E21" s="265">
        <f>SUM(E5:E20)</f>
        <v>1558499.78</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6915523.7999999998</v>
      </c>
      <c r="G24" s="229">
        <f>'DOE25'!L230+'DOE25'!L310</f>
        <v>6915523.8000000007</v>
      </c>
      <c r="H24" s="267">
        <f>F24-G24</f>
        <v>0</v>
      </c>
      <c r="I24" s="310" t="str">
        <f>IF(H24=0,"","ISSUES!! Please review page 8 and 12 totals in comparison with total on this page")</f>
        <v/>
      </c>
      <c r="N24"/>
    </row>
    <row r="25" spans="1:14" x14ac:dyDescent="0.2">
      <c r="A25" t="s">
        <v>1548</v>
      </c>
      <c r="B25" s="230">
        <v>99999</v>
      </c>
      <c r="C25" s="223" t="s">
        <v>1548</v>
      </c>
      <c r="D25" s="220">
        <v>0</v>
      </c>
      <c r="E25" s="220">
        <v>0</v>
      </c>
      <c r="F25" s="232">
        <f>D25+E25</f>
        <v>0</v>
      </c>
      <c r="G25" s="223"/>
      <c r="H25" s="223"/>
      <c r="I25" s="311"/>
      <c r="N25"/>
    </row>
    <row r="26" spans="1:14" x14ac:dyDescent="0.2">
      <c r="A26" t="str" cm="1">
        <f t="array" ref="A26">IFERROR(INDEX('School Tables'!$L$4:$R$75,'School Tables'!$U4,3),"")</f>
        <v>Somersworth Middle School</v>
      </c>
      <c r="B26" s="230">
        <f>IFERROR(VLOOKUP(A26,'School Tables'!$N$4:$O$75,2,FALSE),"")</f>
        <v>22830</v>
      </c>
      <c r="C26" s="223" t="str">
        <f>IFERROR(INDEX('School Tables'!$M$4:$M$75,MATCH('School Level Expenditures'!A26,'School Tables'!$N$4:$N$75,0)),"")</f>
        <v>Somersworth</v>
      </c>
      <c r="D26" s="220">
        <v>6417823.9500000002</v>
      </c>
      <c r="E26" s="220">
        <v>497699.85</v>
      </c>
      <c r="F26" s="232">
        <f t="shared" ref="F26:F32" si="1">D26+E26</f>
        <v>6915523.7999999998</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6417823.9500000002</v>
      </c>
      <c r="E33" s="265">
        <f>SUM(E25:E32)</f>
        <v>497699.85</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8578165.5899999999</v>
      </c>
      <c r="G36" s="229">
        <f>'DOE25'!L248+'DOE25'!L329</f>
        <v>8578165.5899999999</v>
      </c>
      <c r="H36" s="267">
        <f>F36-G36</f>
        <v>0</v>
      </c>
      <c r="I36" s="310" t="str">
        <f>IF(H36=0,"","ISSUES!! Please review page 9 and 13 totals in comparison with total on this page")</f>
        <v/>
      </c>
      <c r="N36"/>
    </row>
    <row r="37" spans="1:14" x14ac:dyDescent="0.2">
      <c r="A37" t="s">
        <v>1548</v>
      </c>
      <c r="B37" s="230">
        <v>99999</v>
      </c>
      <c r="C37" s="223" t="s">
        <v>1548</v>
      </c>
      <c r="D37" s="220">
        <v>0</v>
      </c>
      <c r="E37" s="220">
        <v>0</v>
      </c>
      <c r="F37" s="232">
        <f t="shared" ref="F37:F42" si="2">D37+E37</f>
        <v>0</v>
      </c>
      <c r="G37" s="223"/>
      <c r="H37" s="223"/>
      <c r="I37" s="311"/>
      <c r="N37"/>
    </row>
    <row r="38" spans="1:14" x14ac:dyDescent="0.2">
      <c r="A38" t="str" cm="1">
        <f t="array" ref="A38">IFERROR(INDEX('School Tables'!$W$4:$AC$100,'School Tables'!$AF4,3),"")</f>
        <v>Somersworth High School</v>
      </c>
      <c r="B38" s="230">
        <f>IFERROR(VLOOKUP(A38,'School Tables'!$Y$4:$Z$100,2,FALSE),"")</f>
        <v>22845</v>
      </c>
      <c r="C38" s="223" t="str">
        <f>IFERROR(INDEX('School Tables'!$X$4:$X$100,MATCH('School Level Expenditures'!A38,'School Tables'!$Y$4:$Y$100,0)),"")</f>
        <v>Somersworth</v>
      </c>
      <c r="D38" s="220">
        <f>8338701.89+7020</f>
        <v>8345721.8899999997</v>
      </c>
      <c r="E38" s="220">
        <v>232443.7</v>
      </c>
      <c r="F38" s="232">
        <f t="shared" si="2"/>
        <v>8578165.5899999999</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8345721.8899999997</v>
      </c>
      <c r="E43" s="266">
        <f>SUM(E37:E42)</f>
        <v>232443.7</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Somersworth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2312856.4500000002</v>
      </c>
      <c r="G8" s="73">
        <f>'DOE25'!J9</f>
        <v>0</v>
      </c>
      <c r="H8" s="90">
        <f>SUM(C8:G8)</f>
        <v>2312856.4500000002</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551987.05000000005</v>
      </c>
      <c r="D11" s="73">
        <f>'DOE25'!G12</f>
        <v>223211.5</v>
      </c>
      <c r="E11" s="73">
        <f>'DOE25'!H12</f>
        <v>0</v>
      </c>
      <c r="F11" s="73">
        <f>'DOE25'!I12</f>
        <v>0</v>
      </c>
      <c r="G11" s="73">
        <f>'DOE25'!J12</f>
        <v>42845.52</v>
      </c>
      <c r="H11" s="90">
        <f t="shared" si="0"/>
        <v>818044.07000000007</v>
      </c>
      <c r="I11" s="90"/>
    </row>
    <row r="12" spans="1:9" x14ac:dyDescent="0.2">
      <c r="A12" s="1" t="s">
        <v>143</v>
      </c>
      <c r="B12" s="6">
        <v>140</v>
      </c>
      <c r="C12" s="73">
        <f>'DOE25'!F13</f>
        <v>0</v>
      </c>
      <c r="D12" s="73">
        <f>'DOE25'!G13</f>
        <v>0</v>
      </c>
      <c r="E12" s="73">
        <f>'DOE25'!H13</f>
        <v>0</v>
      </c>
      <c r="F12" s="73">
        <f>'DOE25'!I13</f>
        <v>0</v>
      </c>
      <c r="G12" s="73">
        <f>'DOE25'!J13</f>
        <v>0</v>
      </c>
      <c r="H12" s="90">
        <f t="shared" si="0"/>
        <v>0</v>
      </c>
      <c r="I12" s="90"/>
    </row>
    <row r="13" spans="1:9" x14ac:dyDescent="0.2">
      <c r="A13" s="1" t="s">
        <v>144</v>
      </c>
      <c r="B13" s="6">
        <v>150</v>
      </c>
      <c r="C13" s="73">
        <f>'DOE25'!F14</f>
        <v>403835.05</v>
      </c>
      <c r="D13" s="73">
        <f>'DOE25'!G14</f>
        <v>287002.39</v>
      </c>
      <c r="E13" s="73">
        <f>'DOE25'!H14</f>
        <v>561081.06000000006</v>
      </c>
      <c r="F13" s="73">
        <f>'DOE25'!I14</f>
        <v>0</v>
      </c>
      <c r="G13" s="73">
        <f>'DOE25'!J14</f>
        <v>0</v>
      </c>
      <c r="H13" s="90">
        <f t="shared" si="0"/>
        <v>1251918.5</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955822.10000000009</v>
      </c>
      <c r="D18" s="38">
        <f>SUM(D8:D17)</f>
        <v>510213.89</v>
      </c>
      <c r="E18" s="38">
        <f>SUM(E8:E17)</f>
        <v>561081.06000000006</v>
      </c>
      <c r="F18" s="38">
        <f>SUM(F8:F17)</f>
        <v>2312856.4500000002</v>
      </c>
      <c r="G18" s="38">
        <f>SUM(G8:G17)</f>
        <v>42845.52</v>
      </c>
      <c r="H18" s="38">
        <f t="shared" si="0"/>
        <v>4382819.0199999996</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392117.19</v>
      </c>
      <c r="F21" s="73">
        <f>'DOE25'!I22</f>
        <v>2292139.91</v>
      </c>
      <c r="G21" s="73">
        <f>'DOE25'!J22</f>
        <v>0</v>
      </c>
      <c r="H21" s="90">
        <f t="shared" ref="H21:H31" si="1">SUM(C21:G21)</f>
        <v>2684257.1</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937034.13</v>
      </c>
      <c r="D23" s="73">
        <f>'DOE25'!G24</f>
        <v>36276.6</v>
      </c>
      <c r="E23" s="73">
        <f>'DOE25'!H24</f>
        <v>131026.37</v>
      </c>
      <c r="F23" s="73">
        <f>'DOE25'!I24</f>
        <v>0</v>
      </c>
      <c r="G23" s="73">
        <f>'DOE25'!J24</f>
        <v>2127.11</v>
      </c>
      <c r="H23" s="90">
        <f t="shared" si="1"/>
        <v>1106464.2100000002</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18787.97</v>
      </c>
      <c r="D28" s="73">
        <f>'DOE25'!G29</f>
        <v>0</v>
      </c>
      <c r="E28" s="73">
        <f>'DOE25'!H29</f>
        <v>0</v>
      </c>
      <c r="F28" s="73">
        <f>'DOE25'!I29</f>
        <v>0</v>
      </c>
      <c r="G28" s="23" t="s">
        <v>288</v>
      </c>
      <c r="H28" s="90">
        <f t="shared" si="1"/>
        <v>18787.97</v>
      </c>
      <c r="I28" s="90"/>
    </row>
    <row r="29" spans="1:9" x14ac:dyDescent="0.2">
      <c r="A29" s="1" t="s">
        <v>158</v>
      </c>
      <c r="B29" s="6">
        <v>480</v>
      </c>
      <c r="C29" s="73">
        <f>'DOE25'!F30</f>
        <v>0</v>
      </c>
      <c r="D29" s="73">
        <f>'DOE25'!G30</f>
        <v>21365.67</v>
      </c>
      <c r="E29" s="73">
        <f>'DOE25'!H30</f>
        <v>0</v>
      </c>
      <c r="F29" s="73">
        <f>'DOE25'!I30</f>
        <v>0</v>
      </c>
      <c r="G29" s="23" t="s">
        <v>288</v>
      </c>
      <c r="H29" s="90">
        <f t="shared" si="1"/>
        <v>21365.67</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955822.1</v>
      </c>
      <c r="D31" s="38">
        <f>SUM(D21:D30)</f>
        <v>57642.27</v>
      </c>
      <c r="E31" s="38">
        <f>SUM(E21:E30)</f>
        <v>523143.56</v>
      </c>
      <c r="F31" s="38">
        <f>SUM(F21:F30)</f>
        <v>2292139.91</v>
      </c>
      <c r="G31" s="38">
        <f>SUM(G21:G30)</f>
        <v>2127.11</v>
      </c>
      <c r="H31" s="38">
        <f t="shared" si="1"/>
        <v>3830874.9499999997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452571.62</v>
      </c>
      <c r="E47" s="73">
        <f>'DOE25'!H48</f>
        <v>37937.5</v>
      </c>
      <c r="F47" s="73">
        <f>'DOE25'!I48</f>
        <v>20716.54</v>
      </c>
      <c r="G47" s="73">
        <f>'DOE25'!J48</f>
        <v>40718.410000000003</v>
      </c>
      <c r="H47" s="90">
        <f t="shared" si="2"/>
        <v>551944.06999999995</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0</v>
      </c>
      <c r="D49" s="23" t="s">
        <v>288</v>
      </c>
      <c r="E49" s="23" t="s">
        <v>288</v>
      </c>
      <c r="F49" s="23" t="s">
        <v>288</v>
      </c>
      <c r="G49" s="23" t="s">
        <v>288</v>
      </c>
      <c r="H49" s="90">
        <f t="shared" si="2"/>
        <v>0</v>
      </c>
      <c r="I49" s="90"/>
    </row>
    <row r="50" spans="1:9" ht="12.75" thickTop="1" thickBot="1" x14ac:dyDescent="0.25">
      <c r="A50" s="35" t="s">
        <v>884</v>
      </c>
      <c r="B50" s="44"/>
      <c r="C50" s="38">
        <f>SUM(C34:C49)</f>
        <v>0</v>
      </c>
      <c r="D50" s="38">
        <f>SUM(D34:D49)</f>
        <v>452571.62</v>
      </c>
      <c r="E50" s="38">
        <f>SUM(E34:E49)</f>
        <v>37937.5</v>
      </c>
      <c r="F50" s="38">
        <f>SUM(F34:F49)</f>
        <v>20716.54</v>
      </c>
      <c r="G50" s="38">
        <f>SUM(G34:G49)</f>
        <v>40718.410000000003</v>
      </c>
      <c r="H50" s="38">
        <f t="shared" si="2"/>
        <v>551944.06999999995</v>
      </c>
      <c r="I50" s="90"/>
    </row>
    <row r="51" spans="1:9" ht="12" thickTop="1" x14ac:dyDescent="0.2">
      <c r="A51" s="35" t="s">
        <v>885</v>
      </c>
      <c r="B51" s="2"/>
      <c r="C51" s="38">
        <f>C50+C31</f>
        <v>955822.1</v>
      </c>
      <c r="D51" s="38">
        <f>D50+D31</f>
        <v>510213.89</v>
      </c>
      <c r="E51" s="38">
        <f>E50+E31</f>
        <v>561081.06000000006</v>
      </c>
      <c r="F51" s="38">
        <f>F50+F31</f>
        <v>2312856.4500000002</v>
      </c>
      <c r="G51" s="38">
        <f>G50+G31</f>
        <v>42845.520000000004</v>
      </c>
      <c r="H51" s="38">
        <f t="shared" si="2"/>
        <v>4382819.0199999996</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15164476.970000001</v>
      </c>
      <c r="D56" s="73">
        <f>'DOE25'!G60</f>
        <v>0</v>
      </c>
      <c r="E56" s="73">
        <f>'DOE25'!H60</f>
        <v>0</v>
      </c>
      <c r="F56" s="73">
        <f>'DOE25'!I60</f>
        <v>0</v>
      </c>
      <c r="G56" s="73">
        <f>'DOE25'!J60</f>
        <v>0</v>
      </c>
      <c r="H56" s="90">
        <f t="shared" ref="H56:H63" si="3">SUM(C56:G56)</f>
        <v>15164476.970000001</v>
      </c>
      <c r="I56"/>
    </row>
    <row r="57" spans="1:9" x14ac:dyDescent="0.2">
      <c r="A57" s="1" t="s">
        <v>164</v>
      </c>
      <c r="B57" s="6" t="s">
        <v>165</v>
      </c>
      <c r="C57" s="73">
        <f>'DOE25'!F79</f>
        <v>51664.959999999999</v>
      </c>
      <c r="D57" s="23" t="s">
        <v>288</v>
      </c>
      <c r="E57" s="73">
        <f>'DOE25'!H79</f>
        <v>0</v>
      </c>
      <c r="F57" s="23" t="s">
        <v>288</v>
      </c>
      <c r="G57" s="23" t="s">
        <v>288</v>
      </c>
      <c r="H57" s="90">
        <f t="shared" si="3"/>
        <v>51664.959999999999</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0</v>
      </c>
      <c r="D59" s="73">
        <f>'DOE25'!G96</f>
        <v>0</v>
      </c>
      <c r="E59" s="73">
        <f>'DOE25'!H96</f>
        <v>0</v>
      </c>
      <c r="F59" s="73">
        <f>'DOE25'!I96</f>
        <v>0</v>
      </c>
      <c r="G59" s="73">
        <f>'DOE25'!J96</f>
        <v>0</v>
      </c>
      <c r="H59" s="90">
        <f t="shared" si="3"/>
        <v>0</v>
      </c>
      <c r="I59"/>
    </row>
    <row r="60" spans="1:9" x14ac:dyDescent="0.2">
      <c r="A60" s="1" t="s">
        <v>170</v>
      </c>
      <c r="B60" s="22" t="s">
        <v>171</v>
      </c>
      <c r="C60" s="23" t="s">
        <v>288</v>
      </c>
      <c r="D60" s="73">
        <f>'DOE25'!G97</f>
        <v>3364.21</v>
      </c>
      <c r="E60" s="23" t="s">
        <v>288</v>
      </c>
      <c r="F60" s="23" t="s">
        <v>288</v>
      </c>
      <c r="G60" s="23" t="s">
        <v>288</v>
      </c>
      <c r="H60" s="90">
        <f t="shared" si="3"/>
        <v>3364.21</v>
      </c>
      <c r="I60"/>
    </row>
    <row r="61" spans="1:9" ht="12" thickBot="1" x14ac:dyDescent="0.25">
      <c r="A61" s="1" t="s">
        <v>172</v>
      </c>
      <c r="B61" s="22" t="s">
        <v>173</v>
      </c>
      <c r="C61" s="73">
        <f>SUM('DOE25'!F98:F110)</f>
        <v>597270.89</v>
      </c>
      <c r="D61" s="73">
        <f>SUM('DOE25'!G98:G110)</f>
        <v>10782.45</v>
      </c>
      <c r="E61" s="73">
        <f>SUM('DOE25'!H98:H110)</f>
        <v>52760</v>
      </c>
      <c r="F61" s="73">
        <f>SUM('DOE25'!I98:I110)</f>
        <v>0</v>
      </c>
      <c r="G61" s="73">
        <f>SUM('DOE25'!J98:J110)</f>
        <v>63040.92</v>
      </c>
      <c r="H61" s="90">
        <f t="shared" si="3"/>
        <v>723854.26</v>
      </c>
      <c r="I61"/>
    </row>
    <row r="62" spans="1:9" ht="12.75" thickTop="1" thickBot="1" x14ac:dyDescent="0.25">
      <c r="A62" s="28" t="s">
        <v>174</v>
      </c>
      <c r="B62" s="6"/>
      <c r="C62" s="93">
        <f>SUM(C57:C61)</f>
        <v>648935.85</v>
      </c>
      <c r="D62" s="93">
        <f>SUM(D57:D61)</f>
        <v>14146.66</v>
      </c>
      <c r="E62" s="93">
        <f>SUM(E57:E61)</f>
        <v>52760</v>
      </c>
      <c r="F62" s="93">
        <f>SUM(F57:F61)</f>
        <v>0</v>
      </c>
      <c r="G62" s="93">
        <f>SUM(G57:G61)</f>
        <v>63040.92</v>
      </c>
      <c r="H62" s="90">
        <f t="shared" si="3"/>
        <v>778883.43</v>
      </c>
      <c r="I62"/>
    </row>
    <row r="63" spans="1:9" ht="12" thickTop="1" x14ac:dyDescent="0.2">
      <c r="A63" s="28" t="s">
        <v>175</v>
      </c>
      <c r="B63" s="6"/>
      <c r="C63" s="21">
        <f>C56+C62</f>
        <v>15813412.82</v>
      </c>
      <c r="D63" s="21">
        <f>D56+D62</f>
        <v>14146.66</v>
      </c>
      <c r="E63" s="21">
        <f>E56+E62</f>
        <v>52760</v>
      </c>
      <c r="F63" s="21">
        <f>F56+F62</f>
        <v>0</v>
      </c>
      <c r="G63" s="21">
        <f>G56+G62</f>
        <v>63040.92</v>
      </c>
      <c r="H63" s="90">
        <f t="shared" si="3"/>
        <v>15943360.4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8042473.2300000004</v>
      </c>
      <c r="D66" s="23" t="s">
        <v>288</v>
      </c>
      <c r="E66" s="23" t="s">
        <v>288</v>
      </c>
      <c r="F66" s="23" t="s">
        <v>288</v>
      </c>
      <c r="G66" s="23" t="s">
        <v>288</v>
      </c>
      <c r="H66" s="90">
        <f t="shared" ref="H66:H81" si="4">SUM(C66:G66)</f>
        <v>8042473.2300000004</v>
      </c>
      <c r="I66"/>
    </row>
    <row r="67" spans="1:9" x14ac:dyDescent="0.2">
      <c r="A67" s="1" t="s">
        <v>770</v>
      </c>
      <c r="B67" s="6">
        <v>3112</v>
      </c>
      <c r="C67" s="73">
        <f>'DOE25'!F118</f>
        <v>1981798</v>
      </c>
      <c r="D67" s="23"/>
      <c r="E67" s="23"/>
      <c r="F67" s="23"/>
      <c r="G67" s="23"/>
      <c r="H67" s="90">
        <f t="shared" si="4"/>
        <v>1981798</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5985.63</v>
      </c>
      <c r="D69" s="73">
        <f>'DOE25'!G120</f>
        <v>91995.32</v>
      </c>
      <c r="E69" s="73">
        <f>'DOE25'!H120</f>
        <v>0</v>
      </c>
      <c r="F69" s="73">
        <f>'DOE25'!I120</f>
        <v>0</v>
      </c>
      <c r="G69" s="73">
        <f>'DOE25'!J120</f>
        <v>0</v>
      </c>
      <c r="H69" s="90">
        <f t="shared" si="4"/>
        <v>97980.950000000012</v>
      </c>
      <c r="I69"/>
    </row>
    <row r="70" spans="1:9" ht="12" thickTop="1" x14ac:dyDescent="0.2">
      <c r="A70" s="28" t="s">
        <v>252</v>
      </c>
      <c r="B70" s="2"/>
      <c r="C70" s="97">
        <f>SUM(C66:C69)</f>
        <v>10030256.860000001</v>
      </c>
      <c r="D70" s="97">
        <f>D69</f>
        <v>91995.32</v>
      </c>
      <c r="E70" s="97">
        <f>E69</f>
        <v>0</v>
      </c>
      <c r="F70" s="97">
        <f>F69</f>
        <v>0</v>
      </c>
      <c r="G70" s="97">
        <f>G69</f>
        <v>0</v>
      </c>
      <c r="H70" s="90">
        <f t="shared" si="4"/>
        <v>10122252.180000002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625907.94999999995</v>
      </c>
      <c r="D72" s="23" t="s">
        <v>288</v>
      </c>
      <c r="E72" s="23" t="s">
        <v>288</v>
      </c>
      <c r="F72" s="73">
        <f>'DOE25'!I123</f>
        <v>0</v>
      </c>
      <c r="G72" s="23" t="s">
        <v>288</v>
      </c>
      <c r="H72" s="90">
        <f t="shared" si="4"/>
        <v>625907.94999999995</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417059.42</v>
      </c>
      <c r="D75" s="23" t="s">
        <v>288</v>
      </c>
      <c r="E75" s="23" t="s">
        <v>288</v>
      </c>
      <c r="F75" s="23" t="s">
        <v>288</v>
      </c>
      <c r="G75" s="23" t="s">
        <v>288</v>
      </c>
      <c r="H75" s="90">
        <f t="shared" si="4"/>
        <v>417059.42</v>
      </c>
      <c r="I75"/>
    </row>
    <row r="76" spans="1:9" x14ac:dyDescent="0.2">
      <c r="A76" s="1" t="s">
        <v>257</v>
      </c>
      <c r="B76" s="6" t="s">
        <v>179</v>
      </c>
      <c r="C76" s="73">
        <f>SUM('DOE25'!F127:F130)</f>
        <v>93175.09</v>
      </c>
      <c r="D76" s="23" t="s">
        <v>288</v>
      </c>
      <c r="E76" s="73">
        <f>SUM('DOE25'!H127:H130)</f>
        <v>0</v>
      </c>
      <c r="F76" s="73">
        <f>SUM('DOE25'!I127:I130)</f>
        <v>0</v>
      </c>
      <c r="G76" s="23" t="s">
        <v>288</v>
      </c>
      <c r="H76" s="90">
        <f t="shared" si="4"/>
        <v>93175.09</v>
      </c>
      <c r="I76"/>
    </row>
    <row r="77" spans="1:9" ht="12" thickBot="1" x14ac:dyDescent="0.25">
      <c r="A77" s="1" t="s">
        <v>258</v>
      </c>
      <c r="B77" s="6" t="s">
        <v>180</v>
      </c>
      <c r="C77" s="73">
        <f>SUM('DOE25'!F131:F135)</f>
        <v>0</v>
      </c>
      <c r="D77" s="73">
        <f>SUM('DOE25'!G131:G135)</f>
        <v>64737.279999999999</v>
      </c>
      <c r="E77" s="73">
        <f>SUM('DOE25'!H131:H135)</f>
        <v>0</v>
      </c>
      <c r="F77" s="73">
        <f>SUM('DOE25'!I131:I135)</f>
        <v>0</v>
      </c>
      <c r="G77" s="73">
        <f>SUM('DOE25'!J131:J135)</f>
        <v>0</v>
      </c>
      <c r="H77" s="90">
        <f t="shared" si="4"/>
        <v>64737.279999999999</v>
      </c>
      <c r="I77"/>
    </row>
    <row r="78" spans="1:9" ht="12.75" thickTop="1" thickBot="1" x14ac:dyDescent="0.25">
      <c r="A78" s="28" t="s">
        <v>259</v>
      </c>
      <c r="B78" s="6"/>
      <c r="C78" s="93">
        <f>SUM(C72:C77)</f>
        <v>1136142.46</v>
      </c>
      <c r="D78" s="93">
        <f>SUM(D72:D77)</f>
        <v>64737.279999999999</v>
      </c>
      <c r="E78" s="93">
        <f>SUM(E72:E77)</f>
        <v>0</v>
      </c>
      <c r="F78" s="93">
        <f>SUM(F72:F77)</f>
        <v>0</v>
      </c>
      <c r="G78" s="93">
        <f>SUM(G72:G77)</f>
        <v>0</v>
      </c>
      <c r="H78" s="90">
        <f t="shared" si="4"/>
        <v>1200879.74</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11166399.32</v>
      </c>
      <c r="D81" s="93">
        <f>SUM(D79:D80)+D78+D70</f>
        <v>156732.6</v>
      </c>
      <c r="E81" s="93">
        <f>SUM(E79:E80)+E78+E70</f>
        <v>0</v>
      </c>
      <c r="F81" s="93">
        <f>SUM(F79:F80)+F78+F70</f>
        <v>0</v>
      </c>
      <c r="G81" s="93">
        <f>SUM(G79:G80)+G78+G70</f>
        <v>0</v>
      </c>
      <c r="H81" s="93">
        <f t="shared" si="4"/>
        <v>11323131.92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38228.160000000003</v>
      </c>
      <c r="F85" s="73">
        <f>'DOE25'!I147</f>
        <v>0</v>
      </c>
      <c r="G85" s="23" t="s">
        <v>288</v>
      </c>
      <c r="H85" s="90">
        <f t="shared" ref="H85:H104" si="5">SUM(C85:G85)</f>
        <v>38228.160000000003</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79154.59</v>
      </c>
      <c r="D88" s="253">
        <f>SUM('DOE25'!G153:G162)</f>
        <v>962624.13</v>
      </c>
      <c r="E88" s="253">
        <f>SUM('DOE25'!H153:H162)</f>
        <v>4218031.6399999997</v>
      </c>
      <c r="F88" s="253">
        <f>SUM('DOE25'!I153:I162)</f>
        <v>0</v>
      </c>
      <c r="G88" s="23" t="s">
        <v>288</v>
      </c>
      <c r="H88" s="90">
        <f t="shared" si="5"/>
        <v>5259810.3599999994</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79154.59</v>
      </c>
      <c r="D91" s="94">
        <f>SUM(D85:D90)</f>
        <v>962624.13</v>
      </c>
      <c r="E91" s="94">
        <f>SUM(E85:E90)</f>
        <v>4256259.8</v>
      </c>
      <c r="F91" s="94">
        <f>SUM(F85:F90)</f>
        <v>0</v>
      </c>
      <c r="G91" s="23" t="s">
        <v>288</v>
      </c>
      <c r="H91" s="90">
        <f t="shared" si="5"/>
        <v>5298038.5199999996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90">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27058966.73</v>
      </c>
      <c r="D104" s="68">
        <f>D63+D81+D91+D103</f>
        <v>1133503.3900000001</v>
      </c>
      <c r="E104" s="68">
        <f>E63+E81+E91+E103</f>
        <v>4309019.8</v>
      </c>
      <c r="F104" s="68">
        <f>F63+F81+F91+F103</f>
        <v>0</v>
      </c>
      <c r="G104" s="68">
        <f>G63+G81+G103</f>
        <v>63040.92</v>
      </c>
      <c r="H104" s="68">
        <f t="shared" si="5"/>
        <v>32564530.840000004</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8659480.879999999</v>
      </c>
      <c r="D109" s="23" t="s">
        <v>288</v>
      </c>
      <c r="E109" s="73">
        <f>('DOE25'!L277)+('DOE25'!L296)+('DOE25'!L315)</f>
        <v>653677.5</v>
      </c>
      <c r="F109" s="23" t="s">
        <v>288</v>
      </c>
      <c r="G109" s="23" t="s">
        <v>288</v>
      </c>
      <c r="H109" s="90">
        <f t="shared" ref="H109:H115" si="6">SUM(C109:G109)</f>
        <v>9313158.379999999</v>
      </c>
    </row>
    <row r="110" spans="1:8" x14ac:dyDescent="0.2">
      <c r="A110" t="s">
        <v>198</v>
      </c>
      <c r="B110" s="31" t="s">
        <v>199</v>
      </c>
      <c r="C110" s="73">
        <f>('DOE25'!L199)+('DOE25'!L217)+('DOE25'!L235)</f>
        <v>5782391.75</v>
      </c>
      <c r="D110" s="23" t="s">
        <v>288</v>
      </c>
      <c r="E110" s="73">
        <f>('DOE25'!L278)+('DOE25'!L297)+('DOE25'!L316)</f>
        <v>456790.46</v>
      </c>
      <c r="F110" s="23" t="s">
        <v>288</v>
      </c>
      <c r="G110" s="23" t="s">
        <v>288</v>
      </c>
      <c r="H110" s="90">
        <f t="shared" si="6"/>
        <v>6239182.21</v>
      </c>
    </row>
    <row r="111" spans="1:8" x14ac:dyDescent="0.2">
      <c r="A111" t="s">
        <v>200</v>
      </c>
      <c r="B111" s="31" t="s">
        <v>165</v>
      </c>
      <c r="C111" s="73">
        <f>('DOE25'!L200)+('DOE25'!L218)+('DOE25'!L236)</f>
        <v>873737.59999999986</v>
      </c>
      <c r="D111" s="23" t="s">
        <v>288</v>
      </c>
      <c r="E111" s="73">
        <f>('DOE25'!L279)+('DOE25'!L298)+('DOE25'!L317)</f>
        <v>52885.79</v>
      </c>
      <c r="F111" s="23" t="s">
        <v>288</v>
      </c>
      <c r="G111" s="23" t="s">
        <v>288</v>
      </c>
      <c r="H111" s="90">
        <f t="shared" si="6"/>
        <v>926623.3899999999</v>
      </c>
    </row>
    <row r="112" spans="1:8" x14ac:dyDescent="0.2">
      <c r="A112" t="s">
        <v>201</v>
      </c>
      <c r="B112" s="31" t="s">
        <v>167</v>
      </c>
      <c r="C112" s="73">
        <f>('DOE25'!L201)+('DOE25'!L219)+('DOE25'!L237)</f>
        <v>238464.86000000002</v>
      </c>
      <c r="D112" s="23" t="s">
        <v>288</v>
      </c>
      <c r="E112" s="73">
        <f>+('DOE25'!L280)+('DOE25'!L299)+('DOE25'!L318)</f>
        <v>555850.02</v>
      </c>
      <c r="F112" s="23" t="s">
        <v>288</v>
      </c>
      <c r="G112" s="23" t="s">
        <v>288</v>
      </c>
      <c r="H112" s="90">
        <f t="shared" si="6"/>
        <v>794314.88</v>
      </c>
    </row>
    <row r="113" spans="1:8" x14ac:dyDescent="0.2">
      <c r="A113" t="s">
        <v>202</v>
      </c>
      <c r="B113" s="31" t="s">
        <v>169</v>
      </c>
      <c r="C113" s="73">
        <f>'DOE25'!L251</f>
        <v>0</v>
      </c>
      <c r="D113" s="23" t="s">
        <v>288</v>
      </c>
      <c r="E113" s="73">
        <f>+'DOE25'!L333</f>
        <v>18704.29</v>
      </c>
      <c r="F113" s="23" t="s">
        <v>288</v>
      </c>
      <c r="G113" s="23" t="s">
        <v>288</v>
      </c>
      <c r="H113" s="90">
        <f t="shared" si="6"/>
        <v>18704.29</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15554075.089999998</v>
      </c>
      <c r="D115" s="68">
        <f>SUM(D109:D114)</f>
        <v>0</v>
      </c>
      <c r="E115" s="68">
        <f>SUM(E109:E114)</f>
        <v>1737908.06</v>
      </c>
      <c r="F115" s="68">
        <f>SUM(F109:F114)</f>
        <v>0</v>
      </c>
      <c r="G115" s="68">
        <f>SUM(G109:G114)</f>
        <v>0</v>
      </c>
      <c r="H115" s="68">
        <f t="shared" si="6"/>
        <v>17291983.149999999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1874365.08</v>
      </c>
      <c r="D118" s="23" t="s">
        <v>288</v>
      </c>
      <c r="E118" s="73">
        <f>+('DOE25'!L282)+('DOE25'!L301)+('DOE25'!L320)</f>
        <v>231936</v>
      </c>
      <c r="F118" s="23" t="s">
        <v>288</v>
      </c>
      <c r="G118" s="23" t="s">
        <v>288</v>
      </c>
      <c r="H118" s="90">
        <f t="shared" ref="H118:H145" si="7">SUM(C118:G118)</f>
        <v>2106301.08</v>
      </c>
    </row>
    <row r="119" spans="1:8" x14ac:dyDescent="0.2">
      <c r="A119" t="s">
        <v>208</v>
      </c>
      <c r="B119" s="31" t="s">
        <v>209</v>
      </c>
      <c r="C119" s="73">
        <f>('DOE25'!L204)+('DOE25'!L222)+('DOE25'!L240)</f>
        <v>417361.80000000005</v>
      </c>
      <c r="D119" s="23" t="s">
        <v>288</v>
      </c>
      <c r="E119" s="73">
        <f>+('DOE25'!L283)+('DOE25'!L302)+('DOE25'!L321)</f>
        <v>212319.28000000003</v>
      </c>
      <c r="F119" s="23" t="s">
        <v>288</v>
      </c>
      <c r="G119" s="23" t="s">
        <v>288</v>
      </c>
      <c r="H119" s="90">
        <f t="shared" si="7"/>
        <v>629681.08000000007</v>
      </c>
    </row>
    <row r="120" spans="1:8" x14ac:dyDescent="0.2">
      <c r="A120" t="s">
        <v>210</v>
      </c>
      <c r="B120" s="31" t="s">
        <v>211</v>
      </c>
      <c r="C120" s="73">
        <f>('DOE25'!L205)+('DOE25'!L223)+('DOE25'!L241)</f>
        <v>1250269.46</v>
      </c>
      <c r="D120" s="23" t="s">
        <v>288</v>
      </c>
      <c r="E120" s="73">
        <f>+('DOE25'!L284)+('DOE25'!L303)+('DOE25'!L322)</f>
        <v>0</v>
      </c>
      <c r="F120" s="23" t="s">
        <v>288</v>
      </c>
      <c r="G120" s="23" t="s">
        <v>288</v>
      </c>
      <c r="H120" s="90">
        <f t="shared" si="7"/>
        <v>1250269.46</v>
      </c>
    </row>
    <row r="121" spans="1:8" x14ac:dyDescent="0.2">
      <c r="A121" t="s">
        <v>212</v>
      </c>
      <c r="B121" s="31" t="s">
        <v>213</v>
      </c>
      <c r="C121" s="73">
        <f>('DOE25'!L206)+('DOE25'!L224)+('DOE25'!L242)</f>
        <v>1822946.78</v>
      </c>
      <c r="D121" s="23" t="s">
        <v>288</v>
      </c>
      <c r="E121" s="73">
        <f>+('DOE25'!L285)+('DOE25'!L304)+('DOE25'!L323)</f>
        <v>0</v>
      </c>
      <c r="F121" s="23" t="s">
        <v>288</v>
      </c>
      <c r="G121" s="23" t="s">
        <v>288</v>
      </c>
      <c r="H121" s="90">
        <f t="shared" si="7"/>
        <v>1822946.78</v>
      </c>
    </row>
    <row r="122" spans="1:8" x14ac:dyDescent="0.2">
      <c r="A122" t="s">
        <v>214</v>
      </c>
      <c r="B122" s="31" t="s">
        <v>215</v>
      </c>
      <c r="C122" s="73">
        <f>('DOE25'!L207)+('DOE25'!L225)+('DOE25'!L243)</f>
        <v>0</v>
      </c>
      <c r="D122" s="23" t="s">
        <v>288</v>
      </c>
      <c r="E122" s="73">
        <f>+('DOE25'!L286)+('DOE25'!L305)+('DOE25'!L324)</f>
        <v>84005.28</v>
      </c>
      <c r="F122" s="23" t="s">
        <v>288</v>
      </c>
      <c r="G122" s="23" t="s">
        <v>288</v>
      </c>
      <c r="H122" s="90">
        <f t="shared" si="7"/>
        <v>84005.28</v>
      </c>
    </row>
    <row r="123" spans="1:8" x14ac:dyDescent="0.2">
      <c r="A123" t="s">
        <v>216</v>
      </c>
      <c r="B123" s="31" t="s">
        <v>217</v>
      </c>
      <c r="C123" s="73">
        <f>('DOE25'!L208)+('DOE25'!L226)+('DOE25'!L244)</f>
        <v>2971907.3</v>
      </c>
      <c r="D123" s="23" t="s">
        <v>288</v>
      </c>
      <c r="E123" s="73">
        <f>+('DOE25'!L287)+('DOE25'!L306)+('DOE25'!L325)</f>
        <v>6638.72</v>
      </c>
      <c r="F123" s="23" t="s">
        <v>288</v>
      </c>
      <c r="G123" s="23" t="s">
        <v>288</v>
      </c>
      <c r="H123" s="90">
        <f t="shared" si="7"/>
        <v>2978546.02</v>
      </c>
    </row>
    <row r="124" spans="1:8" x14ac:dyDescent="0.2">
      <c r="A124" t="s">
        <v>218</v>
      </c>
      <c r="B124" s="31" t="s">
        <v>219</v>
      </c>
      <c r="C124" s="73">
        <f>('DOE25'!L209)+('DOE25'!L227)+('DOE25'!L245+'DOE25'!L255)</f>
        <v>1423857.69</v>
      </c>
      <c r="D124" s="23" t="s">
        <v>288</v>
      </c>
      <c r="E124" s="73">
        <f>+('DOE25'!L288)+('DOE25'!L307)+('DOE25'!L326)</f>
        <v>34540.28</v>
      </c>
      <c r="F124" s="23" t="s">
        <v>288</v>
      </c>
      <c r="G124" s="23" t="s">
        <v>288</v>
      </c>
      <c r="H124" s="90">
        <f t="shared" si="7"/>
        <v>1458397.97</v>
      </c>
    </row>
    <row r="125" spans="1:8" x14ac:dyDescent="0.2">
      <c r="A125" t="s">
        <v>220</v>
      </c>
      <c r="B125" s="31" t="s">
        <v>221</v>
      </c>
      <c r="C125" s="73">
        <f>('DOE25'!L210)+('DOE25'!L228)+('DOE25'!L246)</f>
        <v>315460.49</v>
      </c>
      <c r="D125" s="23" t="s">
        <v>288</v>
      </c>
      <c r="E125" s="73">
        <f>+('DOE25'!L289)+('DOE25'!L308)+('DOE25'!L327)</f>
        <v>0</v>
      </c>
      <c r="F125" s="23" t="s">
        <v>288</v>
      </c>
      <c r="G125" s="23" t="s">
        <v>288</v>
      </c>
      <c r="H125" s="90">
        <f t="shared" si="7"/>
        <v>315460.49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791970.3</v>
      </c>
      <c r="E127" s="23" t="s">
        <v>288</v>
      </c>
      <c r="F127" s="23" t="s">
        <v>288</v>
      </c>
      <c r="G127" s="23" t="s">
        <v>288</v>
      </c>
      <c r="H127" s="90">
        <f t="shared" si="7"/>
        <v>791970.3</v>
      </c>
    </row>
    <row r="128" spans="1:8" ht="12.75" thickTop="1" thickBot="1" x14ac:dyDescent="0.25">
      <c r="A128" s="32" t="s">
        <v>226</v>
      </c>
      <c r="C128" s="68">
        <f>SUM(C118:C127)</f>
        <v>10076168.6</v>
      </c>
      <c r="D128" s="68">
        <f>SUM(D118:D127)</f>
        <v>791970.3</v>
      </c>
      <c r="E128" s="68">
        <f>SUM(E118:E127)</f>
        <v>569439.56000000006</v>
      </c>
      <c r="F128" s="68">
        <f>SUM(F118:F127)</f>
        <v>0</v>
      </c>
      <c r="G128" s="68">
        <f>SUM(G118:G127)</f>
        <v>0</v>
      </c>
      <c r="H128" s="68">
        <f t="shared" si="7"/>
        <v>11437578.460000001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2073670</v>
      </c>
      <c r="F130" s="92">
        <f>SUM('DOE25'!L375:'DOE25'!L381)</f>
        <v>35500</v>
      </c>
      <c r="G130" s="23" t="s">
        <v>288</v>
      </c>
      <c r="H130" s="90">
        <f t="shared" si="7"/>
        <v>2109170</v>
      </c>
    </row>
    <row r="131" spans="1:8" x14ac:dyDescent="0.2">
      <c r="A131" t="s">
        <v>229</v>
      </c>
      <c r="B131" s="31">
        <v>5110</v>
      </c>
      <c r="C131" s="73">
        <f>'DOE25'!L261</f>
        <v>1153267.79</v>
      </c>
      <c r="D131" s="23" t="s">
        <v>288</v>
      </c>
      <c r="E131" s="92">
        <f>'DOE25'!L342</f>
        <v>0</v>
      </c>
      <c r="F131" s="23" t="s">
        <v>288</v>
      </c>
      <c r="G131" s="23" t="s">
        <v>288</v>
      </c>
      <c r="H131" s="90">
        <f t="shared" si="7"/>
        <v>1153267.79</v>
      </c>
    </row>
    <row r="132" spans="1:8" x14ac:dyDescent="0.2">
      <c r="A132" t="s">
        <v>230</v>
      </c>
      <c r="B132" s="31">
        <v>5120</v>
      </c>
      <c r="C132" s="73">
        <f>'DOE25'!L262</f>
        <v>680782.40999999992</v>
      </c>
      <c r="D132" s="23" t="s">
        <v>288</v>
      </c>
      <c r="E132" s="92">
        <f>'DOE25'!L343</f>
        <v>0</v>
      </c>
      <c r="F132" s="23" t="s">
        <v>288</v>
      </c>
      <c r="G132" s="23" t="s">
        <v>288</v>
      </c>
      <c r="H132" s="90">
        <f t="shared" si="7"/>
        <v>680782.40999999992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63040.92</v>
      </c>
      <c r="D139" s="23" t="s">
        <v>288</v>
      </c>
      <c r="E139" s="23" t="s">
        <v>288</v>
      </c>
      <c r="F139" s="23" t="s">
        <v>288</v>
      </c>
      <c r="G139" s="23" t="s">
        <v>288</v>
      </c>
      <c r="H139" s="90">
        <f t="shared" si="7"/>
        <v>63040.92</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-63040.92</v>
      </c>
      <c r="D141" s="23" t="s">
        <v>288</v>
      </c>
      <c r="E141" s="23" t="s">
        <v>288</v>
      </c>
      <c r="F141" s="23" t="s">
        <v>288</v>
      </c>
      <c r="G141" s="23" t="s">
        <v>288</v>
      </c>
      <c r="H141" s="90">
        <f t="shared" si="7"/>
        <v>-63040.92</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1834050.2</v>
      </c>
      <c r="D144" s="98">
        <f>SUM(D130:D143)</f>
        <v>0</v>
      </c>
      <c r="E144" s="98">
        <f>SUM(E130:E143)</f>
        <v>2073670</v>
      </c>
      <c r="F144" s="98">
        <f>SUM(F130:F143)</f>
        <v>35500</v>
      </c>
      <c r="G144" s="98">
        <f>SUM(G130:G143)</f>
        <v>0</v>
      </c>
      <c r="H144" s="98">
        <f t="shared" si="7"/>
        <v>3943220.2</v>
      </c>
    </row>
    <row r="145" spans="1:9" ht="12.75" thickTop="1" thickBot="1" x14ac:dyDescent="0.25">
      <c r="A145" s="32" t="s">
        <v>244</v>
      </c>
      <c r="C145" s="68">
        <f>(C115+C128+C144)</f>
        <v>27464293.889999997</v>
      </c>
      <c r="D145" s="68">
        <f>(D115+D128+D144)</f>
        <v>791970.3</v>
      </c>
      <c r="E145" s="68">
        <f>(E115+E128+E144)</f>
        <v>4381017.62</v>
      </c>
      <c r="F145" s="68">
        <f>(F115+F128+F144)</f>
        <v>35500</v>
      </c>
      <c r="G145" s="68">
        <f>(G115+G128+G144)</f>
        <v>0</v>
      </c>
      <c r="H145" s="68">
        <f t="shared" si="7"/>
        <v>32672781.809999999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15</v>
      </c>
      <c r="E151" s="110">
        <f>'DOE25'!I491</f>
        <v>0</v>
      </c>
      <c r="F151" s="110">
        <f>'DOE25'!J491</f>
        <v>15</v>
      </c>
      <c r="G151" s="23" t="s">
        <v>288</v>
      </c>
    </row>
    <row r="152" spans="1:9" x14ac:dyDescent="0.2">
      <c r="A152" s="21" t="s">
        <v>28</v>
      </c>
      <c r="B152" s="109" t="str">
        <f>'DOE25'!F492</f>
        <v>1/10</v>
      </c>
      <c r="C152" s="109" t="str">
        <f>'DOE25'!G492</f>
        <v>8/13</v>
      </c>
      <c r="D152" s="109">
        <f>'DOE25'!H492</f>
        <v>216</v>
      </c>
      <c r="E152" s="109">
        <f>'DOE25'!I492</f>
        <v>0</v>
      </c>
      <c r="F152" s="109">
        <f>'DOE25'!J492</f>
        <v>221</v>
      </c>
      <c r="G152" s="23" t="s">
        <v>288</v>
      </c>
    </row>
    <row r="153" spans="1:9" x14ac:dyDescent="0.2">
      <c r="A153" s="21" t="s">
        <v>29</v>
      </c>
      <c r="B153" s="109" t="str">
        <f>'DOE25'!F493</f>
        <v>1/30</v>
      </c>
      <c r="C153" s="109" t="str">
        <f>'DOE25'!G493</f>
        <v>8/28</v>
      </c>
      <c r="D153" s="109">
        <f>'DOE25'!H493</f>
        <v>831</v>
      </c>
      <c r="E153" s="109">
        <f>'DOE25'!I493</f>
        <v>0</v>
      </c>
      <c r="F153" s="109">
        <f>'DOE25'!J493</f>
        <v>236</v>
      </c>
      <c r="G153" s="23" t="s">
        <v>288</v>
      </c>
    </row>
    <row r="154" spans="1:9" x14ac:dyDescent="0.2">
      <c r="A154" s="21" t="s">
        <v>30</v>
      </c>
      <c r="B154" s="19">
        <f>'DOE25'!F494</f>
        <v>18953000</v>
      </c>
      <c r="C154" s="19">
        <f>'DOE25'!G494</f>
        <v>1181700</v>
      </c>
      <c r="D154" s="19">
        <f>'DOE25'!H494</f>
        <v>1453925</v>
      </c>
      <c r="E154" s="19">
        <f>'DOE25'!I494</f>
        <v>1640000</v>
      </c>
      <c r="F154" s="19">
        <f>'DOE25'!J494</f>
        <v>550500</v>
      </c>
      <c r="G154" s="23" t="s">
        <v>288</v>
      </c>
    </row>
    <row r="155" spans="1:9" x14ac:dyDescent="0.2">
      <c r="A155" s="21" t="s">
        <v>31</v>
      </c>
      <c r="B155" s="19">
        <f>'DOE25'!F495</f>
        <v>3.73</v>
      </c>
      <c r="C155" s="19">
        <f>'DOE25'!G495</f>
        <v>3.14</v>
      </c>
      <c r="D155" s="19">
        <f>'DOE25'!H495</f>
        <v>2.16</v>
      </c>
      <c r="E155" s="19">
        <f>'DOE25'!I495</f>
        <v>0</v>
      </c>
      <c r="F155" s="19">
        <f>'DOE25'!J495</f>
        <v>1.31</v>
      </c>
      <c r="G155" s="23" t="s">
        <v>288</v>
      </c>
    </row>
    <row r="156" spans="1:9" x14ac:dyDescent="0.2">
      <c r="A156" s="21" t="s">
        <v>32</v>
      </c>
      <c r="B156" s="19">
        <f>'DOE25'!F496</f>
        <v>6534167.3300000001</v>
      </c>
      <c r="C156" s="19">
        <f>'DOE25'!G496</f>
        <v>643150</v>
      </c>
      <c r="D156" s="19">
        <f>'DOE25'!H496</f>
        <v>1055000</v>
      </c>
      <c r="E156" s="19">
        <f>'DOE25'!I496</f>
        <v>1285000</v>
      </c>
      <c r="F156" s="19">
        <f>'DOE25'!J496</f>
        <v>550500</v>
      </c>
      <c r="G156" s="96">
        <f>SUM(B156:F156)</f>
        <v>10067817.33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871417.79</v>
      </c>
      <c r="C158" s="19">
        <f>'DOE25'!G498</f>
        <v>81850</v>
      </c>
      <c r="D158" s="19">
        <f>'DOE25'!H498</f>
        <v>100000</v>
      </c>
      <c r="E158" s="19">
        <f>'DOE25'!I498</f>
        <v>100000</v>
      </c>
      <c r="F158" s="19">
        <f>'DOE25'!J498</f>
        <v>35500</v>
      </c>
      <c r="G158" s="96">
        <f t="shared" si="8"/>
        <v>1188767.79</v>
      </c>
    </row>
    <row r="159" spans="1:9" x14ac:dyDescent="0.2">
      <c r="A159" s="21" t="s">
        <v>35</v>
      </c>
      <c r="B159" s="19">
        <f>'DOE25'!F499</f>
        <v>5662749.54</v>
      </c>
      <c r="C159" s="19">
        <f>'DOE25'!G499</f>
        <v>561300</v>
      </c>
      <c r="D159" s="19">
        <f>'DOE25'!H499</f>
        <v>955000</v>
      </c>
      <c r="E159" s="19">
        <f>'DOE25'!I499</f>
        <v>1185000</v>
      </c>
      <c r="F159" s="19">
        <f>'DOE25'!J499</f>
        <v>475000</v>
      </c>
      <c r="G159" s="96">
        <f t="shared" si="8"/>
        <v>8839049.5399999991</v>
      </c>
    </row>
    <row r="160" spans="1:9" x14ac:dyDescent="0.2">
      <c r="A160" s="21" t="s">
        <v>36</v>
      </c>
      <c r="B160" s="19">
        <f>'DOE25'!F500</f>
        <v>5544444.46</v>
      </c>
      <c r="C160" s="19">
        <f>'DOE25'!G500</f>
        <v>90013.22</v>
      </c>
      <c r="D160" s="19">
        <f>'DOE25'!H500</f>
        <v>162991.20000000001</v>
      </c>
      <c r="E160" s="19">
        <f>'DOE25'!I500</f>
        <v>306841.36</v>
      </c>
      <c r="F160" s="19">
        <f>'DOE25'!J500</f>
        <v>116335</v>
      </c>
      <c r="G160" s="96">
        <f t="shared" si="8"/>
        <v>6220625.2400000002</v>
      </c>
    </row>
    <row r="161" spans="1:7" x14ac:dyDescent="0.2">
      <c r="A161" s="21" t="s">
        <v>37</v>
      </c>
      <c r="B161" s="19">
        <f>'DOE25'!F501</f>
        <v>11207194</v>
      </c>
      <c r="C161" s="19">
        <f>'DOE25'!G501</f>
        <v>651313.22</v>
      </c>
      <c r="D161" s="19">
        <f>'DOE25'!H501</f>
        <v>1117991.2</v>
      </c>
      <c r="E161" s="19">
        <f>'DOE25'!I501</f>
        <v>1491841.3599999999</v>
      </c>
      <c r="F161" s="19">
        <f>'DOE25'!J501</f>
        <v>591335</v>
      </c>
      <c r="G161" s="96">
        <f t="shared" si="8"/>
        <v>15059674.779999999</v>
      </c>
    </row>
    <row r="162" spans="1:7" x14ac:dyDescent="0.2">
      <c r="A162" s="21" t="s">
        <v>38</v>
      </c>
      <c r="B162" s="19">
        <f>'DOE25'!F502</f>
        <v>824851.4</v>
      </c>
      <c r="C162" s="19">
        <f>'DOE25'!G502</f>
        <v>81850</v>
      </c>
      <c r="D162" s="19">
        <f>'DOE25'!H502</f>
        <v>100000</v>
      </c>
      <c r="E162" s="19">
        <f>'DOE25'!I502</f>
        <v>100000</v>
      </c>
      <c r="F162" s="19">
        <f>'DOE25'!J502</f>
        <v>40000</v>
      </c>
      <c r="G162" s="96">
        <f t="shared" si="8"/>
        <v>1146701.3999999999</v>
      </c>
    </row>
    <row r="163" spans="1:7" x14ac:dyDescent="0.2">
      <c r="A163" s="21" t="s">
        <v>39</v>
      </c>
      <c r="B163" s="19">
        <f>'DOE25'!F503</f>
        <v>562146.6</v>
      </c>
      <c r="C163" s="19">
        <f>'DOE25'!G503</f>
        <v>23726.82</v>
      </c>
      <c r="D163" s="19">
        <f>'DOE25'!H503</f>
        <v>33199.760000000002</v>
      </c>
      <c r="E163" s="19">
        <f>'DOE25'!I503</f>
        <v>52091.26</v>
      </c>
      <c r="F163" s="19">
        <f>'DOE25'!J503</f>
        <v>19675</v>
      </c>
      <c r="G163" s="96">
        <f t="shared" si="8"/>
        <v>690839.44</v>
      </c>
    </row>
    <row r="164" spans="1:7" x14ac:dyDescent="0.2">
      <c r="A164" s="21" t="s">
        <v>246</v>
      </c>
      <c r="B164" s="19">
        <f>'DOE25'!F504</f>
        <v>1386998</v>
      </c>
      <c r="C164" s="19">
        <f>'DOE25'!G504</f>
        <v>105576.82</v>
      </c>
      <c r="D164" s="19">
        <f>'DOE25'!H504</f>
        <v>133199.76</v>
      </c>
      <c r="E164" s="19">
        <f>'DOE25'!I504</f>
        <v>152091.26</v>
      </c>
      <c r="F164" s="19">
        <f>'DOE25'!J504</f>
        <v>59675</v>
      </c>
      <c r="G164" s="96">
        <f t="shared" si="8"/>
        <v>1837540.84</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Somersworth</v>
      </c>
    </row>
    <row r="3" spans="1:4" x14ac:dyDescent="0.2">
      <c r="B3" s="137" t="s">
        <v>1799</v>
      </c>
    </row>
    <row r="4" spans="1:4" x14ac:dyDescent="0.2">
      <c r="B4" t="s">
        <v>61</v>
      </c>
      <c r="C4" s="129">
        <f>IF('DOE25'!F666+'DOE25'!F671=0,0,ROUND('DOE25'!F673,0))</f>
        <v>19802</v>
      </c>
    </row>
    <row r="5" spans="1:4" x14ac:dyDescent="0.2">
      <c r="B5" t="s">
        <v>700</v>
      </c>
      <c r="C5" s="129">
        <f>IF('DOE25'!G666+'DOE25'!G671=0,0,ROUND('DOE25'!G673,0))</f>
        <v>18890</v>
      </c>
    </row>
    <row r="6" spans="1:4" x14ac:dyDescent="0.2">
      <c r="B6" t="s">
        <v>62</v>
      </c>
      <c r="C6" s="129">
        <f>IF('DOE25'!H666+'DOE25'!H671=0,0,ROUND('DOE25'!H673,0))</f>
        <v>19419</v>
      </c>
    </row>
    <row r="7" spans="1:4" x14ac:dyDescent="0.2">
      <c r="B7" t="s">
        <v>701</v>
      </c>
      <c r="C7" s="129">
        <f>IF('DOE25'!I666+'DOE25'!I671=0,0,ROUND('DOE25'!I673,0))</f>
        <v>19454</v>
      </c>
    </row>
    <row r="9" spans="1:4" x14ac:dyDescent="0.2">
      <c r="A9" s="136" t="s">
        <v>94</v>
      </c>
      <c r="B9" s="137" t="s">
        <v>1800</v>
      </c>
      <c r="C9" s="131" t="s">
        <v>720</v>
      </c>
      <c r="D9" s="131" t="s">
        <v>721</v>
      </c>
    </row>
    <row r="10" spans="1:4" x14ac:dyDescent="0.2">
      <c r="A10">
        <v>1100</v>
      </c>
      <c r="B10" t="s">
        <v>702</v>
      </c>
      <c r="C10" s="129">
        <f>ROUND('DOE25'!L198+'DOE25'!L216+'DOE25'!L234+'DOE25'!L277+'DOE25'!L296+'DOE25'!L315,0)</f>
        <v>9313158</v>
      </c>
      <c r="D10" s="132">
        <f>ROUND((C10/$C$28)*100,1)</f>
        <v>31.7</v>
      </c>
    </row>
    <row r="11" spans="1:4" x14ac:dyDescent="0.2">
      <c r="A11">
        <v>1200</v>
      </c>
      <c r="B11" t="s">
        <v>703</v>
      </c>
      <c r="C11" s="129">
        <f>ROUND('DOE25'!L199+'DOE25'!L217+'DOE25'!L235+'DOE25'!L278+'DOE25'!L297+'DOE25'!L316,0)</f>
        <v>6239182</v>
      </c>
      <c r="D11" s="132">
        <f>ROUND((C11/$C$28)*100,1)</f>
        <v>21.2</v>
      </c>
    </row>
    <row r="12" spans="1:4" x14ac:dyDescent="0.2">
      <c r="A12">
        <v>1300</v>
      </c>
      <c r="B12" t="s">
        <v>704</v>
      </c>
      <c r="C12" s="129">
        <f>ROUND('DOE25'!L200+'DOE25'!L218+'DOE25'!L236+'DOE25'!L279+'DOE25'!L298+'DOE25'!L317,0)</f>
        <v>926623</v>
      </c>
      <c r="D12" s="132">
        <f>ROUND((C12/$C$28)*100,1)</f>
        <v>3.2</v>
      </c>
    </row>
    <row r="13" spans="1:4" x14ac:dyDescent="0.2">
      <c r="A13">
        <v>1400</v>
      </c>
      <c r="B13" t="s">
        <v>705</v>
      </c>
      <c r="C13" s="129">
        <f>ROUND('DOE25'!L201+'DOE25'!L219+'DOE25'!L237+'DOE25'!L280+'DOE25'!L299+'DOE25'!L318,0)</f>
        <v>794315</v>
      </c>
      <c r="D13" s="132">
        <f>ROUND((C13/$C$28)*100,1)</f>
        <v>2.7</v>
      </c>
    </row>
    <row r="14" spans="1:4" x14ac:dyDescent="0.2">
      <c r="D14" s="132"/>
    </row>
    <row r="15" spans="1:4" x14ac:dyDescent="0.2">
      <c r="A15">
        <v>2100</v>
      </c>
      <c r="B15" t="s">
        <v>706</v>
      </c>
      <c r="C15" s="129">
        <f>ROUND('DOE25'!L203+'DOE25'!L221+'DOE25'!L239+'DOE25'!L282+'DOE25'!L301+'DOE25'!L320,0)</f>
        <v>2106301</v>
      </c>
      <c r="D15" s="132">
        <f t="shared" ref="D15:D27" si="0">ROUND((C15/$C$28)*100,1)</f>
        <v>7.2</v>
      </c>
    </row>
    <row r="16" spans="1:4" x14ac:dyDescent="0.2">
      <c r="A16">
        <v>2200</v>
      </c>
      <c r="B16" t="s">
        <v>707</v>
      </c>
      <c r="C16" s="129">
        <f>ROUND('DOE25'!L204+'DOE25'!L222+'DOE25'!L240+'DOE25'!L283+'DOE25'!L302+'DOE25'!L321,0)</f>
        <v>629681</v>
      </c>
      <c r="D16" s="132">
        <f t="shared" si="0"/>
        <v>2.1</v>
      </c>
    </row>
    <row r="17" spans="1:4" x14ac:dyDescent="0.2">
      <c r="A17" s="133" t="s">
        <v>723</v>
      </c>
      <c r="B17" t="s">
        <v>738</v>
      </c>
      <c r="C17" s="129">
        <f>ROUND('DOE25'!L205+'DOE25'!L210+'DOE25'!L223+'DOE25'!L228+'DOE25'!L241+'DOE25'!L246+'DOE25'!L284+'DOE25'!L289+'DOE25'!L303+'DOE25'!L308+'DOE25'!L322+'DOE25'!L327,0)</f>
        <v>1565730</v>
      </c>
      <c r="D17" s="132">
        <f t="shared" si="0"/>
        <v>5.3</v>
      </c>
    </row>
    <row r="18" spans="1:4" x14ac:dyDescent="0.2">
      <c r="A18">
        <v>2400</v>
      </c>
      <c r="B18" t="s">
        <v>711</v>
      </c>
      <c r="C18" s="129">
        <f>ROUND('DOE25'!L206+'DOE25'!L224+'DOE25'!L242+'DOE25'!L285+'DOE25'!L304+'DOE25'!L323,0)</f>
        <v>1822947</v>
      </c>
      <c r="D18" s="132">
        <f t="shared" si="0"/>
        <v>6.2</v>
      </c>
    </row>
    <row r="19" spans="1:4" x14ac:dyDescent="0.2">
      <c r="A19">
        <v>2500</v>
      </c>
      <c r="B19" t="s">
        <v>708</v>
      </c>
      <c r="C19" s="129">
        <f>ROUND('DOE25'!L207+'DOE25'!L225+'DOE25'!L243+'DOE25'!L286+'DOE25'!L305+'DOE25'!L324,0)</f>
        <v>84005</v>
      </c>
      <c r="D19" s="132">
        <f t="shared" si="0"/>
        <v>0.3</v>
      </c>
    </row>
    <row r="20" spans="1:4" x14ac:dyDescent="0.2">
      <c r="A20">
        <v>2600</v>
      </c>
      <c r="B20" t="s">
        <v>709</v>
      </c>
      <c r="C20" s="129">
        <f>ROUND('DOE25'!L208+'DOE25'!L226+'DOE25'!L244+'DOE25'!L287+'DOE25'!L306+'DOE25'!L325,0)</f>
        <v>2978546</v>
      </c>
      <c r="D20" s="132">
        <f t="shared" si="0"/>
        <v>10.1</v>
      </c>
    </row>
    <row r="21" spans="1:4" x14ac:dyDescent="0.2">
      <c r="A21">
        <v>2700</v>
      </c>
      <c r="B21" t="s">
        <v>710</v>
      </c>
      <c r="C21" s="129">
        <f>ROUND('DOE25'!L209+'DOE25'!L227+'DOE25'!L245+'DOE25'!L288+'DOE25'!L307+'DOE25'!L326,0)</f>
        <v>1458398</v>
      </c>
      <c r="D21" s="132">
        <f t="shared" si="0"/>
        <v>5</v>
      </c>
    </row>
    <row r="22" spans="1:4" x14ac:dyDescent="0.2">
      <c r="A22">
        <v>2900</v>
      </c>
      <c r="B22" t="s">
        <v>712</v>
      </c>
      <c r="C22" s="129">
        <v>0</v>
      </c>
      <c r="D22" s="132">
        <f t="shared" si="0"/>
        <v>0</v>
      </c>
    </row>
    <row r="23" spans="1:4" x14ac:dyDescent="0.2">
      <c r="A23">
        <v>1500</v>
      </c>
      <c r="B23" t="s">
        <v>714</v>
      </c>
      <c r="C23" s="129">
        <f>ROUND('DOE25'!L251+'DOE25'!L333,0)</f>
        <v>18704</v>
      </c>
      <c r="D23" s="132">
        <f t="shared" si="0"/>
        <v>0.1</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680782</v>
      </c>
      <c r="D25" s="132">
        <f t="shared" si="0"/>
        <v>2.2999999999999998</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777823.34</v>
      </c>
      <c r="D27" s="132">
        <f t="shared" si="0"/>
        <v>2.6</v>
      </c>
    </row>
    <row r="28" spans="1:4" x14ac:dyDescent="0.2">
      <c r="B28" s="136" t="s">
        <v>719</v>
      </c>
      <c r="C28" s="130">
        <f>SUM(C10:C27)</f>
        <v>29396195.34</v>
      </c>
      <c r="D28" s="134">
        <f>ROUND(SUM(D10:D27),0)</f>
        <v>100</v>
      </c>
    </row>
    <row r="29" spans="1:4" x14ac:dyDescent="0.2">
      <c r="A29">
        <v>4000</v>
      </c>
      <c r="B29" t="s">
        <v>724</v>
      </c>
      <c r="C29" s="129">
        <f>ROUND('DOE25'!L256+'DOE25'!L337+'DOE25'!L375+'DOE25'!L376+'DOE25'!L377+'DOE25'!L378+'DOE25'!L379+'DOE25'!L380+'DOE25'!L381,0)</f>
        <v>2109170</v>
      </c>
    </row>
    <row r="30" spans="1:4" x14ac:dyDescent="0.2">
      <c r="B30" s="136" t="s">
        <v>725</v>
      </c>
      <c r="C30" s="130">
        <f>SUM(C28:C29)</f>
        <v>31505365.34</v>
      </c>
    </row>
    <row r="31" spans="1:4" x14ac:dyDescent="0.2">
      <c r="B31" s="32"/>
      <c r="C31" s="130"/>
    </row>
    <row r="32" spans="1:4" x14ac:dyDescent="0.2">
      <c r="A32">
        <v>5100</v>
      </c>
      <c r="B32" s="32" t="s">
        <v>726</v>
      </c>
      <c r="C32" s="130">
        <f>ROUND('DOE25'!L261+'DOE25'!L342,0)</f>
        <v>1153268</v>
      </c>
    </row>
    <row r="34" spans="1:4" x14ac:dyDescent="0.2">
      <c r="A34" s="136" t="s">
        <v>94</v>
      </c>
      <c r="B34" s="137" t="s">
        <v>1801</v>
      </c>
      <c r="C34" s="131" t="s">
        <v>720</v>
      </c>
      <c r="D34" s="131" t="s">
        <v>721</v>
      </c>
    </row>
    <row r="35" spans="1:4" x14ac:dyDescent="0.2">
      <c r="A35">
        <v>1100</v>
      </c>
      <c r="B35" s="71" t="s">
        <v>727</v>
      </c>
      <c r="C35" s="129">
        <f>ROUND('DOE25'!F60+'DOE25'!G60+'DOE25'!H60+'DOE25'!I60+'DOE25'!J60,0)</f>
        <v>15164477</v>
      </c>
      <c r="D35" s="132">
        <f t="shared" ref="D35:D40" si="1">ROUND((C35/$C$41)*100,1)</f>
        <v>46.6</v>
      </c>
    </row>
    <row r="36" spans="1:4" x14ac:dyDescent="0.2">
      <c r="B36" s="71" t="s">
        <v>739</v>
      </c>
      <c r="C36" s="129">
        <f>SUM('DOE25'!F112:J112)-SUM('DOE25'!G97:G110)+('DOE25'!F175+'DOE25'!F176+'DOE25'!I175+'DOE25'!I176)-C35</f>
        <v>764736.74000000209</v>
      </c>
      <c r="D36" s="132">
        <f t="shared" si="1"/>
        <v>2.2999999999999998</v>
      </c>
    </row>
    <row r="37" spans="1:4" x14ac:dyDescent="0.2">
      <c r="A37" s="133" t="s">
        <v>835</v>
      </c>
      <c r="B37" s="71" t="s">
        <v>728</v>
      </c>
      <c r="C37" s="129">
        <f>ROUND('DOE25'!F117+'DOE25'!F118,0)</f>
        <v>10024271</v>
      </c>
      <c r="D37" s="132">
        <f t="shared" si="1"/>
        <v>30.8</v>
      </c>
    </row>
    <row r="38" spans="1:4" x14ac:dyDescent="0.2">
      <c r="A38" s="133" t="s">
        <v>734</v>
      </c>
      <c r="B38" s="71" t="s">
        <v>729</v>
      </c>
      <c r="C38" s="129">
        <f>ROUND(SUM('DOE25'!F140:J140)-SUM('DOE25'!F117:F119),0)</f>
        <v>1298861</v>
      </c>
      <c r="D38" s="132">
        <f t="shared" si="1"/>
        <v>4</v>
      </c>
    </row>
    <row r="39" spans="1:4" x14ac:dyDescent="0.2">
      <c r="A39">
        <v>4000</v>
      </c>
      <c r="B39" s="71" t="s">
        <v>730</v>
      </c>
      <c r="C39" s="129">
        <f>ROUND('DOE25'!F170+'DOE25'!G170+'DOE25'!H170+'DOE25'!I170,0)</f>
        <v>5298039</v>
      </c>
      <c r="D39" s="132">
        <f t="shared" si="1"/>
        <v>16.3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32550384.740000002</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Somersworth</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v>3</v>
      </c>
      <c r="B4" s="150">
        <v>24</v>
      </c>
      <c r="C4" s="313" t="s">
        <v>1806</v>
      </c>
      <c r="D4" s="313"/>
      <c r="E4" s="313"/>
      <c r="F4" s="313"/>
      <c r="G4" s="313"/>
      <c r="H4" s="313"/>
      <c r="I4" s="313"/>
      <c r="J4" s="313"/>
      <c r="K4" s="313"/>
      <c r="L4" s="313"/>
      <c r="M4" s="315"/>
    </row>
    <row r="5" spans="1:13" x14ac:dyDescent="0.2">
      <c r="A5" s="159">
        <v>4</v>
      </c>
      <c r="B5" s="150">
        <v>6</v>
      </c>
      <c r="C5" s="313" t="s">
        <v>1807</v>
      </c>
      <c r="D5" s="313"/>
      <c r="E5" s="313"/>
      <c r="F5" s="313"/>
      <c r="G5" s="313"/>
      <c r="H5" s="313"/>
      <c r="I5" s="313"/>
      <c r="J5" s="313"/>
      <c r="K5" s="313"/>
      <c r="L5" s="313"/>
      <c r="M5" s="315"/>
    </row>
    <row r="6" spans="1:13" x14ac:dyDescent="0.2">
      <c r="A6" s="159"/>
      <c r="B6" s="150"/>
      <c r="C6" s="313" t="s">
        <v>1808</v>
      </c>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132</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f>IFERROR(SMALL($T$4:$T$75,ROWS($T$4:T4)),"")</f>
        <v>62</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f>IFERROR(SMALL(AE4:$AE$100,ROWS($AE$4:AE4)),"")</f>
        <v>83</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f>IFERROR(SMALL($I$4:$I$325,ROWS($I$4:I5)),"")</f>
        <v>174</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f>IF('School Level Expenditures'!$B$2='School Tables'!L65,'School Tables'!S65,"")</f>
        <v>62</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f>IF('School Level Expenditures'!$B$2='School Tables'!W86,'School Tables'!AD86,"")</f>
        <v>83</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f>IF('School Level Expenditures'!$B$2=A135,'School Tables'!H135,"")</f>
        <v>132</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f>IF('School Level Expenditures'!$B$2=A177,'School Tables'!H177,"")</f>
        <v>174</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2022-08-30T18:51:24Z</cp:lastPrinted>
  <dcterms:created xsi:type="dcterms:W3CDTF">1997-12-04T19:04:30Z</dcterms:created>
  <dcterms:modified xsi:type="dcterms:W3CDTF">2022-12-20T16:41:11Z</dcterms:modified>
</cp:coreProperties>
</file>