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35BBA506-95A0-4D52-A495-FF324507394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83" i="1" l="1"/>
  <c r="H235" i="1"/>
  <c r="H236" i="1"/>
  <c r="H524" i="1"/>
  <c r="H585" i="1"/>
  <c r="F50" i="1" l="1"/>
  <c r="I524" i="1" l="1"/>
  <c r="I244" i="1"/>
  <c r="I235" i="1"/>
  <c r="F24" i="1"/>
  <c r="H155" i="1"/>
  <c r="H48" i="1"/>
  <c r="H13" i="1"/>
  <c r="H244" i="1" l="1"/>
  <c r="J593" i="1" l="1"/>
  <c r="J592" i="1"/>
  <c r="H452" i="1" l="1"/>
  <c r="H440" i="1"/>
  <c r="G460" i="1"/>
  <c r="H361" i="1" l="1"/>
  <c r="G234" i="1" l="1"/>
  <c r="G48"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F111" i="1"/>
  <c r="G111" i="1"/>
  <c r="H79" i="1"/>
  <c r="H94" i="1"/>
  <c r="H111" i="1"/>
  <c r="I111" i="1"/>
  <c r="I112" i="1" s="1"/>
  <c r="J111" i="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C143" i="2" s="1"/>
  <c r="H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4"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51" i="1"/>
  <c r="G652" i="1"/>
  <c r="H653" i="1"/>
  <c r="G654" i="1"/>
  <c r="H654" i="1"/>
  <c r="H655" i="1"/>
  <c r="H656" i="1"/>
  <c r="F85" i="2" l="1"/>
  <c r="C20" i="12"/>
  <c r="C19" i="12"/>
  <c r="C21" i="12"/>
  <c r="C12" i="12"/>
  <c r="C11" i="12"/>
  <c r="C10" i="12"/>
  <c r="C13" i="12" s="1"/>
  <c r="C39" i="12"/>
  <c r="C38" i="12"/>
  <c r="C37" i="12"/>
  <c r="C119" i="2"/>
  <c r="J140" i="1"/>
  <c r="F409" i="1"/>
  <c r="H644" i="1" s="1"/>
  <c r="H72" i="2"/>
  <c r="J652" i="1"/>
  <c r="E111" i="2"/>
  <c r="C112" i="2"/>
  <c r="H73" i="2"/>
  <c r="C110" i="2"/>
  <c r="H102" i="2"/>
  <c r="H100" i="2"/>
  <c r="H34" i="2"/>
  <c r="C125" i="2"/>
  <c r="C32" i="10"/>
  <c r="D18" i="13"/>
  <c r="C18" i="13" s="1"/>
  <c r="C121" i="2"/>
  <c r="C120" i="2"/>
  <c r="H120" i="2" s="1"/>
  <c r="H98" i="2"/>
  <c r="G662" i="1"/>
  <c r="H89" i="2"/>
  <c r="H24" i="2"/>
  <c r="E125" i="2"/>
  <c r="E112" i="2"/>
  <c r="H112" i="2" s="1"/>
  <c r="E120" i="2"/>
  <c r="G663" i="1"/>
  <c r="C13" i="10"/>
  <c r="G646" i="1"/>
  <c r="H59" i="2"/>
  <c r="I409" i="1"/>
  <c r="H101" i="2"/>
  <c r="H99" i="2"/>
  <c r="H79" i="2"/>
  <c r="H76" i="2"/>
  <c r="H58" i="2"/>
  <c r="D15" i="13"/>
  <c r="C15" i="13" s="1"/>
  <c r="C12" i="10"/>
  <c r="D144" i="2"/>
  <c r="H97" i="2"/>
  <c r="H93" i="2"/>
  <c r="H87" i="2"/>
  <c r="H61" i="2"/>
  <c r="H26" i="2"/>
  <c r="H113" i="2"/>
  <c r="H132" i="2"/>
  <c r="H36" i="2"/>
  <c r="H44" i="2"/>
  <c r="G409" i="1"/>
  <c r="H646" i="1" s="1"/>
  <c r="H35" i="2"/>
  <c r="J112" i="1"/>
  <c r="E121" i="2"/>
  <c r="C85" i="2"/>
  <c r="H69" i="2"/>
  <c r="H25" i="2"/>
  <c r="H23" i="2"/>
  <c r="D6" i="13"/>
  <c r="C6" i="13" s="1"/>
  <c r="E13" i="13"/>
  <c r="C13" i="13" s="1"/>
  <c r="H96" i="2"/>
  <c r="H80" i="2"/>
  <c r="H77" i="2"/>
  <c r="H38" i="2"/>
  <c r="H43" i="2"/>
  <c r="H94" i="2"/>
  <c r="H47" i="2"/>
  <c r="H30" i="2"/>
  <c r="H15" i="2"/>
  <c r="H11" i="2"/>
  <c r="H9" i="2"/>
  <c r="H48" i="2"/>
  <c r="H29" i="2"/>
  <c r="H28" i="2"/>
  <c r="H27" i="2"/>
  <c r="H22" i="2"/>
  <c r="H17" i="2"/>
  <c r="H13" i="2"/>
  <c r="H12" i="2"/>
  <c r="H8"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H473" i="1" s="1"/>
  <c r="E122" i="2"/>
  <c r="L291" i="1"/>
  <c r="L615" i="1"/>
  <c r="K599" i="1"/>
  <c r="G648" i="1" s="1"/>
  <c r="K572" i="1"/>
  <c r="L571" i="1"/>
  <c r="H572" i="1"/>
  <c r="L566" i="1"/>
  <c r="I572" i="1"/>
  <c r="K546" i="1"/>
  <c r="H52" i="1"/>
  <c r="H620" i="1" s="1"/>
  <c r="J620" i="1" s="1"/>
  <c r="C114" i="2"/>
  <c r="H114" i="2" s="1"/>
  <c r="G112" i="1"/>
  <c r="B10" i="16" s="1"/>
  <c r="E118" i="2"/>
  <c r="L248" i="1"/>
  <c r="L212" i="1"/>
  <c r="F661" i="1" s="1"/>
  <c r="H648" i="1"/>
  <c r="G626" i="1"/>
  <c r="L530" i="1"/>
  <c r="H546" i="1"/>
  <c r="G164" i="2"/>
  <c r="G161" i="2"/>
  <c r="G157" i="2"/>
  <c r="G156" i="2"/>
  <c r="G81" i="2"/>
  <c r="C78" i="2"/>
  <c r="F78" i="2"/>
  <c r="F81" i="2" s="1"/>
  <c r="C70" i="2"/>
  <c r="H70" i="2" s="1"/>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J653" i="1"/>
  <c r="G572" i="1"/>
  <c r="I435" i="1"/>
  <c r="G435" i="1"/>
  <c r="I664" i="1"/>
  <c r="G647" i="1" l="1"/>
  <c r="J469" i="1"/>
  <c r="B17" i="16"/>
  <c r="B19" i="16" s="1"/>
  <c r="G473" i="1"/>
  <c r="C22" i="12"/>
  <c r="A22" i="12" s="1"/>
  <c r="G637" i="1"/>
  <c r="I473" i="1"/>
  <c r="C40" i="12"/>
  <c r="A40" i="12" s="1"/>
  <c r="H475" i="1"/>
  <c r="H634" i="1"/>
  <c r="H125" i="2"/>
  <c r="H122" i="2"/>
  <c r="H110" i="2"/>
  <c r="E51" i="2"/>
  <c r="J646" i="1"/>
  <c r="H109" i="2"/>
  <c r="E115" i="2"/>
  <c r="I663" i="1"/>
  <c r="H123" i="2"/>
  <c r="E128" i="2"/>
  <c r="H121" i="2"/>
  <c r="G24" i="14"/>
  <c r="H24" i="14" s="1"/>
  <c r="I24" i="14" s="1"/>
  <c r="H118" i="2"/>
  <c r="L572" i="1"/>
  <c r="F194" i="1"/>
  <c r="H85" i="2"/>
  <c r="H42" i="2"/>
  <c r="H16" i="2"/>
  <c r="D128" i="2"/>
  <c r="D145" i="2" s="1"/>
  <c r="H127" i="2"/>
  <c r="H91" i="2"/>
  <c r="H57" i="2"/>
  <c r="H134" i="2"/>
  <c r="H103" i="2"/>
  <c r="C81" i="2"/>
  <c r="H81" i="2" s="1"/>
  <c r="H78" i="2"/>
  <c r="H21" i="2"/>
  <c r="H62" i="2"/>
  <c r="H50" i="2"/>
  <c r="D51" i="2"/>
  <c r="H31" i="2"/>
  <c r="H18" i="2"/>
  <c r="F144" i="2"/>
  <c r="H130" i="2"/>
  <c r="H661" i="1"/>
  <c r="H665" i="1" s="1"/>
  <c r="H668" i="1" s="1"/>
  <c r="H194" i="1"/>
  <c r="H649" i="1"/>
  <c r="J649" i="1" s="1"/>
  <c r="C141" i="2"/>
  <c r="F51" i="2"/>
  <c r="G36" i="14"/>
  <c r="H36" i="14" s="1"/>
  <c r="I36" i="14" s="1"/>
  <c r="E104" i="2"/>
  <c r="C36" i="10"/>
  <c r="L435" i="1"/>
  <c r="F665" i="1"/>
  <c r="F668" i="1" s="1"/>
  <c r="I662" i="1"/>
  <c r="G104" i="2"/>
  <c r="L339" i="1"/>
  <c r="L353" i="1" s="1"/>
  <c r="G634" i="1" s="1"/>
  <c r="J634" i="1" s="1"/>
  <c r="I194" i="1"/>
  <c r="G636" i="1"/>
  <c r="G51" i="2"/>
  <c r="D104" i="2"/>
  <c r="L409" i="1"/>
  <c r="C27" i="10"/>
  <c r="C28" i="10" s="1"/>
  <c r="D23" i="10" s="1"/>
  <c r="G4" i="14"/>
  <c r="H4" i="14" s="1"/>
  <c r="I4" i="14" s="1"/>
  <c r="L54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31" i="1" l="1"/>
  <c r="I469" i="1"/>
  <c r="G630" i="1"/>
  <c r="H469" i="1"/>
  <c r="H637" i="1"/>
  <c r="I475" i="1"/>
  <c r="G629" i="1"/>
  <c r="G469" i="1"/>
  <c r="G639" i="1"/>
  <c r="J473" i="1"/>
  <c r="G628" i="1"/>
  <c r="F469" i="1"/>
  <c r="J637" i="1"/>
  <c r="J471" i="1"/>
  <c r="H632" i="1"/>
  <c r="H638" i="1"/>
  <c r="G475" i="1"/>
  <c r="H636" i="1"/>
  <c r="J636" i="1" s="1"/>
  <c r="J632" i="1"/>
  <c r="G633" i="1"/>
  <c r="F473" i="1"/>
  <c r="H128" i="2"/>
  <c r="E145" i="2"/>
  <c r="H115" i="2"/>
  <c r="H673" i="1"/>
  <c r="C6" i="10" s="1"/>
  <c r="C144" i="2"/>
  <c r="C145" i="2" s="1"/>
  <c r="H141" i="2"/>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8" i="1" l="1"/>
  <c r="F471" i="1"/>
  <c r="G471" i="1"/>
  <c r="G477" i="1" s="1"/>
  <c r="H629" i="1"/>
  <c r="H631" i="1"/>
  <c r="I471" i="1"/>
  <c r="I477" i="1" s="1"/>
  <c r="H626" i="1" s="1"/>
  <c r="J626" i="1" s="1"/>
  <c r="H639" i="1"/>
  <c r="J639" i="1" s="1"/>
  <c r="J475" i="1"/>
  <c r="J477" i="1" s="1"/>
  <c r="H627" i="1" s="1"/>
  <c r="J627" i="1" s="1"/>
  <c r="H471" i="1"/>
  <c r="H477" i="1" s="1"/>
  <c r="H625" i="1" s="1"/>
  <c r="J625" i="1" s="1"/>
  <c r="H630" i="1"/>
  <c r="J630" i="1" s="1"/>
  <c r="J628" i="1"/>
  <c r="J629" i="1"/>
  <c r="J631" i="1"/>
  <c r="F475" i="1"/>
  <c r="F477" i="1" s="1"/>
  <c r="H623" i="1" s="1"/>
  <c r="J623" i="1" s="1"/>
  <c r="H633" i="1"/>
  <c r="J633" i="1" s="1"/>
  <c r="H144" i="2"/>
  <c r="H145" i="2"/>
  <c r="I668" i="1"/>
  <c r="D28" i="10"/>
  <c r="D37" i="10"/>
  <c r="D36" i="10"/>
  <c r="D35" i="10"/>
  <c r="D40" i="10"/>
  <c r="D39" i="10"/>
  <c r="H624" i="1" l="1"/>
  <c r="J624" i="1" s="1"/>
  <c r="B33" i="16"/>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<sst xmlns="http://schemas.openxmlformats.org/spreadsheetml/2006/main" count="6531" uniqueCount="1803">
  <si>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</si>
  <si>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</si>
  <si>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</si>
  <si>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</si>
  <si>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</si>
  <si>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</si>
  <si>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</si>
  <si>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</si>
  <si>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</si>
  <si>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</si>
  <si>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</si>
  <si>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</si>
  <si>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</si>
  <si>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</si>
  <si>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</si>
  <si>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</si>
  <si>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</si>
  <si>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</si>
  <si>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</si>
  <si>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</si>
  <si>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</si>
  <si>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</si>
  <si>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</si>
  <si>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</si>
  <si>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</si>
  <si>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</si>
  <si>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</si>
  <si>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</si>
  <si>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</si>
  <si>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</si>
  <si>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</si>
  <si>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</si>
  <si>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</si>
  <si>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</si>
  <si>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</si>
  <si>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</si>
  <si>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</si>
  <si>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</si>
  <si>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</si>
  <si>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</si>
  <si>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</si>
  <si>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</si>
  <si>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</si>
  <si>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</si>
  <si>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</si>
  <si>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</si>
  <si>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</si>
  <si>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</si>
  <si>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</si>
  <si>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</si>
  <si>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</si>
  <si>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</si>
  <si>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</si>
  <si>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</si>
  <si>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</si>
  <si>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</si>
  <si>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</si>
  <si>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</si>
  <si>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</si>
  <si>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</si>
  <si>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</si>
  <si>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</si>
  <si>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</si>
  <si>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</si>
  <si>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</si>
  <si>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</si>
  <si>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</si>
  <si>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</si>
  <si>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</si>
  <si>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</si>
  <si>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</si>
  <si>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</si>
  <si>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</si>
  <si>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</si>
  <si>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</si>
  <si>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</si>
  <si>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</si>
  <si>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</si>
  <si>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</si>
  <si>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</si>
  <si>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</si>
  <si>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</si>
  <si>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</si>
  <si>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</si>
  <si>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</si>
  <si>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</si>
  <si>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</si>
  <si>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</si>
  <si>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</si>
  <si>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</si>
  <si>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</si>
  <si>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</si>
  <si>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</si>
  <si>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</si>
  <si>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</si>
  <si>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</si>
  <si>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</si>
  <si>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</si>
  <si>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</si>
  <si>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</si>
  <si>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</si>
  <si>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</si>
  <si>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</si>
  <si>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</si>
  <si>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</si>
  <si>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</si>
  <si>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</si>
  <si>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</si>
  <si>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</si>
  <si>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</si>
  <si>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</si>
  <si>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</si>
  <si>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</si>
  <si>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</si>
  <si>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</si>
  <si>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</si>
  <si>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</si>
  <si>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</si>
  <si>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</si>
  <si>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</si>
  <si>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</si>
  <si>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</si>
  <si>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</si>
  <si>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</si>
  <si>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</si>
  <si>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</si>
  <si>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</si>
  <si>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</si>
  <si>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</si>
  <si>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</si>
  <si>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</si>
  <si>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</si>
  <si>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</si>
  <si>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</si>
  <si>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</si>
  <si>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</si>
  <si>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</si>
  <si>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</si>
  <si>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</si>
  <si>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</si>
  <si>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</si>
  <si>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</si>
  <si>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</si>
  <si>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</si>
  <si>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</si>
  <si>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</si>
  <si>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</si>
  <si>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</si>
  <si>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</si>
  <si>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</si>
  <si>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</si>
  <si>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</si>
  <si>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</si>
  <si>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</si>
  <si>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</si>
  <si>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</si>
  <si>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</si>
  <si>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</si>
  <si>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</si>
  <si>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</si>
  <si>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</si>
  <si>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</si>
  <si>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</si>
  <si>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</si>
  <si>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</si>
  <si>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</si>
  <si>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</si>
  <si>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</si>
  <si>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</si>
  <si>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</si>
  <si>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</si>
  <si>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</si>
  <si>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</si>
  <si>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</si>
  <si>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</si>
  <si>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</si>
  <si>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</si>
  <si>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</si>
  <si>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</si>
  <si>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</si>
  <si>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</si>
  <si>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</si>
  <si>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</si>
  <si>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</si>
  <si>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</si>
  <si>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</si>
  <si>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</si>
  <si>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</si>
  <si>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</si>
  <si>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</si>
  <si>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</si>
  <si>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</si>
  <si>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</si>
  <si>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</si>
  <si>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</si>
  <si>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</si>
  <si>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</si>
  <si>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</si>
  <si>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</si>
  <si>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</si>
  <si>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</si>
  <si>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</si>
  <si>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</si>
  <si>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</si>
  <si>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</si>
  <si>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</si>
  <si>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</si>
  <si>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</si>
  <si>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</si>
  <si>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</si>
  <si>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</si>
  <si>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</si>
  <si>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</si>
  <si>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</si>
  <si>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</si>
  <si>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</si>
  <si>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</si>
  <si>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</si>
  <si>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</si>
  <si>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</si>
  <si>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</si>
  <si>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</si>
  <si>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</si>
  <si>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</si>
  <si>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</si>
  <si>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</si>
  <si>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</si>
  <si>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</si>
  <si>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</si>
  <si>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</si>
  <si>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</si>
  <si>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</si>
  <si>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</si>
  <si>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</si>
  <si>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</si>
  <si>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</si>
  <si>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</si>
  <si>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</si>
  <si>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</si>
  <si>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</si>
  <si>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</si>
  <si>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</si>
  <si>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</si>
  <si>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</si>
  <si>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</si>
  <si>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</si>
  <si>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</si>
  <si>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</si>
  <si>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</si>
  <si>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</si>
  <si>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</si>
  <si>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</si>
  <si>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</si>
  <si>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</si>
  <si>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</si>
  <si>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</si>
  <si>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</si>
  <si>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</si>
  <si>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</si>
  <si>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</si>
  <si>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</si>
  <si>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</si>
  <si>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</si>
  <si>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</si>
  <si>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</si>
  <si>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</si>
  <si>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</si>
  <si>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</si>
  <si>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</si>
  <si>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</si>
  <si>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</si>
  <si>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</si>
  <si>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</si>
  <si>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</si>
  <si>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</si>
  <si>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</si>
  <si>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</si>
  <si>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</si>
  <si>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</si>
  <si>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</si>
  <si>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</si>
  <si>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</si>
  <si>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</si>
  <si>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</si>
  <si>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</si>
  <si>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</si>
  <si>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</si>
  <si>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</si>
  <si>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</si>
  <si>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</si>
  <si>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</si>
  <si>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</si>
  <si>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</si>
  <si>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</si>
  <si>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</si>
  <si>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</si>
  <si>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</si>
  <si>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</si>
  <si>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</si>
  <si>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</si>
  <si>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</si>
  <si>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</si>
  <si>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</si>
  <si>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</si>
  <si>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</si>
  <si>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</si>
  <si>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</si>
  <si>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</si>
  <si>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</si>
  <si>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</si>
  <si>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</si>
  <si>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</si>
  <si>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</si>
  <si>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</si>
  <si>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</si>
  <si>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</si>
  <si>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</si>
  <si>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</si>
  <si>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</si>
  <si>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</si>
  <si>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</si>
  <si>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</si>
  <si>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</si>
  <si>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</si>
  <si>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</si>
  <si>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</si>
  <si>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</si>
  <si>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</si>
  <si>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</si>
  <si>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</si>
  <si>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</si>
  <si>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</si>
  <si>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</si>
  <si>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</si>
  <si>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</si>
  <si>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</si>
  <si>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</si>
  <si>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</si>
  <si>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</si>
  <si>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</si>
  <si>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</si>
  <si>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</si>
  <si>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</si>
  <si>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</si>
  <si>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</si>
  <si>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</si>
  <si>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</si>
  <si>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</si>
  <si>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</si>
  <si>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</si>
  <si>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</si>
  <si>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</si>
  <si>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</si>
  <si>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</si>
  <si>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</si>
  <si>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</si>
  <si>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</si>
  <si>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</si>
  <si>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</si>
  <si>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</si>
  <si>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</si>
  <si>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</si>
  <si>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</si>
  <si>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</si>
  <si>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</si>
  <si>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</si>
  <si>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</si>
  <si>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</si>
  <si>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</si>
  <si>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</si>
  <si>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</si>
  <si>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</si>
  <si>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</si>
  <si>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</si>
  <si>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</si>
  <si>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</si>
  <si>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</si>
  <si>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</si>
  <si>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</si>
  <si>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</si>
  <si>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</si>
  <si>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</si>
  <si>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</si>
  <si>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</si>
  <si>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</si>
  <si>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</si>
  <si>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</si>
  <si>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</si>
  <si>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</si>
  <si>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</si>
  <si>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</si>
  <si>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</si>
  <si>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</si>
  <si>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</si>
  <si>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</si>
  <si>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</si>
  <si>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</si>
  <si>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</si>
  <si>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</si>
  <si>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</si>
  <si>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</si>
  <si>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</si>
  <si>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</si>
  <si>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</si>
  <si>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</si>
  <si>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</si>
  <si>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</si>
  <si>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</si>
  <si>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</si>
  <si>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</si>
  <si>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</si>
  <si>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</si>
  <si>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</si>
  <si>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</si>
  <si>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</si>
  <si>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</si>
  <si>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</si>
  <si>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</si>
  <si>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</si>
  <si>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</si>
  <si>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</si>
  <si>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</si>
  <si>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</si>
  <si>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</si>
  <si>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</si>
  <si>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</si>
  <si>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</si>
  <si>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</si>
  <si>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</si>
  <si>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</si>
  <si>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</si>
  <si>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</si>
  <si>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</si>
  <si>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</si>
  <si>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</si>
  <si>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</si>
  <si>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</si>
  <si>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</si>
  <si>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</si>
  <si>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</si>
  <si>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</si>
  <si>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</si>
  <si>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</si>
  <si>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</si>
  <si>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</si>
  <si>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</si>
  <si>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</si>
  <si>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</si>
  <si>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</si>
  <si>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</si>
  <si>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</si>
  <si>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</si>
  <si>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</si>
  <si>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</si>
  <si>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</si>
  <si>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</si>
  <si>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</si>
  <si>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</si>
  <si>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</si>
  <si>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</si>
  <si>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</si>
  <si>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</si>
  <si>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</si>
  <si>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</si>
  <si>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</si>
  <si>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</si>
  <si>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</si>
  <si>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</si>
  <si>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</si>
  <si>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</si>
  <si>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</si>
  <si>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</si>
  <si>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</si>
  <si>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</si>
  <si>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</si>
  <si>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</si>
  <si>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</si>
  <si>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</si>
  <si>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</si>
  <si>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</si>
  <si>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</si>
  <si>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</si>
  <si>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</si>
  <si>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</si>
  <si>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</si>
  <si>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</si>
  <si>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</si>
  <si>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</si>
  <si>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</si>
  <si>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</si>
  <si>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</si>
  <si>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</si>
  <si>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</si>
  <si>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</si>
  <si>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</si>
  <si>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</si>
  <si>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</si>
  <si>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</si>
  <si>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</si>
  <si>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</si>
  <si>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</si>
  <si>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</si>
  <si>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</si>
  <si>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</si>
  <si>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</si>
  <si>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</si>
  <si>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</si>
  <si>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</si>
  <si>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</si>
  <si>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</si>
  <si>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</si>
  <si>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</si>
  <si>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</si>
  <si>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</si>
  <si>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</si>
  <si>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</si>
  <si>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</si>
  <si>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</si>
  <si>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</si>
  <si>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</si>
  <si>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</si>
  <si>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</si>
  <si>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</si>
  <si>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</si>
  <si>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</si>
  <si>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</si>
  <si>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</si>
  <si>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</si>
  <si>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</si>
  <si>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</si>
  <si>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</si>
  <si>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</si>
  <si>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</si>
  <si>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</si>
  <si>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</si>
  <si>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</si>
  <si>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</si>
  <si>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</si>
  <si>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</si>
  <si>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</si>
  <si>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</si>
  <si>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</si>
  <si>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</si>
  <si>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</si>
  <si>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</si>
  <si>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</si>
  <si>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</si>
  <si>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</si>
  <si>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</si>
  <si>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</si>
  <si>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</si>
  <si>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</si>
  <si>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</si>
  <si>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</si>
  <si>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</si>
  <si>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</si>
  <si>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</si>
  <si>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</si>
  <si>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</si>
  <si>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</si>
  <si>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</si>
  <si>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</si>
  <si>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</si>
  <si>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</si>
  <si>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</si>
  <si>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</si>
  <si>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</si>
  <si>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</si>
  <si>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</si>
  <si>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</si>
  <si>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</si>
  <si>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</si>
  <si>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</si>
  <si>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</si>
  <si>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</si>
  <si>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</si>
  <si>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</si>
  <si>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</si>
  <si>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</si>
  <si>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</si>
  <si>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</si>
  <si>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</si>
  <si>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</si>
  <si>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</si>
  <si>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</si>
  <si>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</si>
  <si>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</si>
  <si>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</si>
  <si>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</si>
  <si>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</si>
  <si>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</si>
  <si>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</si>
  <si>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</si>
  <si>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</si>
  <si>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</si>
  <si>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</si>
  <si>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</si>
  <si>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</si>
  <si>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</si>
  <si>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</si>
  <si>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</si>
  <si>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</si>
  <si>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</si>
  <si>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</si>
  <si>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</si>
  <si>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</si>
  <si>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</si>
  <si>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</si>
  <si>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</si>
  <si>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</si>
  <si>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</si>
  <si>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</si>
  <si>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</si>
  <si>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</si>
  <si>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</si>
  <si>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</si>
  <si>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</si>
  <si>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</si>
  <si>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</si>
  <si>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</si>
  <si>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</si>
  <si>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</si>
  <si>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</si>
  <si>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</si>
  <si>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</si>
  <si>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</si>
  <si>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</si>
  <si>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</si>
  <si>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</si>
  <si>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</si>
  <si>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</si>
  <si>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</si>
  <si>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</si>
  <si>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</si>
  <si>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</si>
  <si>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</si>
  <si>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</si>
  <si>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</si>
  <si>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</si>
  <si>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</si>
  <si>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</si>
  <si>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</si>
  <si>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</si>
  <si>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</si>
  <si>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</si>
  <si>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</si>
  <si>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</si>
  <si>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</si>
  <si>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</si>
  <si>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</si>
  <si>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</si>
  <si>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</si>
  <si>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</si>
  <si>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</si>
  <si>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</si>
  <si>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</si>
  <si>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</si>
  <si>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</si>
  <si>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</si>
  <si>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</si>
  <si>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</si>
  <si>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</si>
  <si>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</si>
  <si>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</si>
  <si>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</si>
  <si>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</si>
  <si>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</si>
  <si>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</si>
  <si>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</si>
  <si>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</si>
  <si>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</si>
  <si>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</si>
  <si>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</si>
  <si>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</si>
  <si>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</si>
  <si>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</si>
  <si>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</si>
  <si>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</si>
  <si>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</si>
  <si>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</si>
  <si>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</si>
  <si>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</si>
  <si>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</si>
  <si>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</si>
  <si>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</si>
  <si>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</si>
  <si>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</si>
  <si>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</si>
  <si>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</si>
  <si>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</si>
  <si>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</si>
  <si>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</si>
  <si>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</si>
  <si>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</si>
  <si>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</si>
  <si>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</si>
  <si>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</si>
  <si>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</si>
  <si>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</si>
  <si>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</si>
  <si>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</si>
  <si>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</si>
  <si>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</si>
  <si>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</si>
  <si>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</si>
  <si>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</si>
  <si>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</si>
  <si>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</si>
  <si>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</si>
  <si>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</si>
  <si>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</si>
  <si>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</si>
  <si>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</si>
  <si>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</si>
  <si>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</si>
  <si>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</si>
  <si>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</si>
  <si>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</si>
  <si>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</si>
  <si>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</si>
  <si>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</si>
  <si>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</si>
  <si>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</si>
  <si>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</si>
  <si>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</si>
  <si>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</si>
  <si>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</si>
  <si>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</si>
  <si>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</si>
  <si>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</si>
  <si>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</si>
  <si>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</si>
  <si>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</si>
  <si>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</si>
  <si>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</si>
  <si>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</si>
  <si>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</si>
  <si>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</si>
  <si>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</si>
  <si>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</si>
  <si>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</si>
  <si>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</si>
  <si>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</si>
  <si>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</si>
  <si>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</si>
  <si>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</si>
  <si>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</si>
  <si>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</si>
  <si>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</si>
  <si>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</si>
  <si>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</si>
  <si>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</si>
  <si>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</si>
  <si>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</si>
  <si>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</si>
  <si>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</si>
  <si>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</si>
  <si>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</si>
  <si>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</si>
  <si>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</si>
  <si>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</si>
  <si>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</si>
  <si>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</si>
  <si>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</si>
  <si>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</si>
  <si>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</si>
  <si>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</si>
  <si>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</si>
  <si>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</si>
  <si>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</si>
  <si>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</si>
  <si>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</si>
  <si>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</si>
  <si>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</si>
  <si>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</si>
  <si>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</si>
  <si>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</si>
  <si>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</si>
  <si>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</si>
  <si>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</si>
  <si>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</si>
  <si>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</si>
  <si>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</si>
  <si>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</si>
  <si>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</si>
  <si>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</si>
  <si>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</si>
  <si>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</si>
  <si>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</si>
  <si>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</si>
  <si>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</si>
  <si>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</si>
  <si>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</si>
  <si>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</si>
  <si>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</si>
  <si>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</si>
  <si>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</si>
  <si>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</si>
  <si>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</si>
  <si>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</si>
  <si>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</si>
  <si>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</si>
  <si>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</si>
  <si>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</si>
  <si>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</si>
  <si>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</si>
  <si>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</si>
  <si>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</si>
  <si>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</si>
  <si>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</si>
  <si>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</si>
  <si>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</si>
  <si>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</si>
  <si>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</si>
  <si>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</si>
  <si>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</si>
  <si>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</si>
  <si>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</si>
  <si>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</si>
  <si>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</si>
  <si>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</si>
  <si>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</si>
  <si>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</si>
  <si>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</si>
  <si>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</si>
  <si>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</si>
  <si>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</si>
  <si>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</si>
  <si>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</si>
  <si>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</si>
  <si>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</si>
  <si>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</si>
  <si>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</si>
  <si>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</si>
  <si>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</si>
  <si>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</si>
  <si>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</si>
  <si>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</si>
  <si>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</si>
  <si>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</si>
  <si>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</si>
  <si>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</si>
  <si>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</si>
  <si>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</si>
  <si>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</si>
  <si>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</si>
  <si>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</si>
  <si>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</si>
  <si>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</si>
  <si>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</si>
  <si>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</si>
  <si>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</si>
  <si>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</si>
  <si>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</si>
  <si>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</si>
  <si>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</si>
  <si>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</si>
  <si>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</si>
  <si>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</si>
  <si>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</si>
  <si>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</si>
  <si>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</si>
  <si>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</si>
  <si>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</si>
  <si>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</si>
  <si>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</si>
  <si>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</si>
  <si>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</si>
  <si>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</si>
  <si>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</si>
  <si>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</si>
  <si>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</si>
  <si>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</si>
  <si>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</si>
  <si>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</si>
  <si>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</si>
  <si>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</si>
  <si>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</si>
  <si>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</si>
  <si>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</si>
  <si>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</si>
  <si>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</si>
  <si>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</si>
  <si>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</si>
  <si>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</si>
  <si>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</si>
  <si>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</si>
  <si>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</si>
  <si>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</si>
  <si>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</si>
  <si>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</si>
  <si>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</si>
  <si>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</si>
  <si>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</si>
  <si>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</si>
  <si>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</si>
  <si>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</si>
  <si>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</si>
  <si>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</si>
  <si>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</si>
  <si>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</si>
  <si>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</si>
  <si>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</si>
  <si>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</si>
  <si>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</si>
  <si>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</si>
  <si>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</si>
  <si>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</si>
  <si>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</si>
  <si>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</si>
  <si>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</si>
  <si>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</si>
  <si>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</si>
  <si>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</si>
  <si>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</si>
  <si>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</si>
  <si>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</si>
  <si>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</si>
  <si>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</si>
  <si>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</si>
  <si>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</si>
  <si>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</si>
  <si>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</si>
  <si>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</si>
  <si>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</si>
  <si>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</si>
  <si>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</si>
  <si>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</si>
  <si>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</si>
  <si>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</si>
  <si>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</si>
  <si>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</si>
  <si>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</si>
  <si>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</si>
  <si>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</si>
  <si>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</si>
  <si>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</si>
  <si>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</si>
  <si>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</si>
  <si>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</si>
  <si>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</si>
  <si>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</si>
  <si>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</si>
  <si>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</si>
  <si>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</si>
  <si>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</si>
  <si>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</si>
  <si>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</si>
  <si>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</si>
  <si>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</si>
  <si>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</si>
  <si>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</si>
  <si>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</si>
  <si>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</si>
  <si>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</si>
  <si>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</si>
  <si>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</si>
  <si>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</si>
  <si>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</si>
  <si>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</si>
  <si>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</si>
  <si>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</si>
  <si>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</si>
  <si>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</si>
  <si>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</si>
  <si>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</si>
  <si>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</si>
  <si>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</si>
  <si>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</si>
  <si>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</si>
  <si>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</si>
  <si>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</si>
  <si>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</si>
  <si>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</si>
  <si>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</si>
  <si>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</si>
  <si>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</si>
  <si>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</si>
  <si>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</si>
  <si>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</si>
  <si>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</si>
  <si>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</si>
  <si>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</si>
  <si>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</si>
  <si>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</si>
  <si>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</si>
  <si>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</si>
  <si>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</si>
  <si>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</si>
  <si>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</si>
  <si>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</si>
  <si>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</si>
  <si>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</si>
  <si>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</si>
  <si>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</si>
  <si>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</si>
  <si>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</si>
  <si>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</si>
  <si>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</si>
  <si>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</si>
  <si>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</si>
  <si>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</si>
  <si>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</si>
  <si>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</si>
  <si>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</si>
  <si>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</si>
  <si>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</si>
  <si>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</si>
  <si>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</si>
  <si>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</si>
  <si>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</si>
  <si>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</si>
  <si>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</si>
  <si>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</si>
  <si>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</si>
  <si>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</si>
  <si>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</si>
  <si>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</si>
  <si>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</si>
  <si>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</si>
  <si>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</si>
  <si>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</si>
  <si>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</si>
  <si>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</si>
  <si>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</si>
  <si>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</si>
  <si>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</si>
  <si>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</si>
  <si>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</si>
  <si>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</si>
  <si>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</si>
  <si>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</si>
  <si>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</si>
  <si>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</si>
  <si>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</si>
  <si>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</si>
  <si>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</si>
  <si>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</si>
  <si>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</si>
  <si>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</si>
  <si>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</si>
  <si>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</si>
  <si>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</si>
  <si>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</si>
  <si>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</si>
  <si>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</si>
  <si>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</si>
  <si>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</si>
  <si>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</si>
  <si>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</si>
  <si>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</si>
  <si>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</si>
  <si>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</si>
  <si>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</si>
  <si>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</si>
  <si>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</si>
  <si>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</si>
  <si>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</si>
  <si>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</si>
  <si>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</si>
  <si>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</si>
  <si>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</si>
  <si>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</si>
  <si>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</si>
  <si>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</si>
  <si>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</si>
  <si>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</si>
  <si>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</si>
  <si>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</si>
  <si>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</si>
  <si>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</si>
  <si>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</si>
  <si>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</si>
  <si>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</si>
  <si>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</si>
  <si>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</si>
  <si>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</si>
  <si>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</si>
  <si>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</si>
  <si>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</si>
  <si>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</si>
  <si>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</si>
  <si>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</si>
  <si>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</si>
  <si>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</si>
  <si>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</si>
  <si>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</si>
  <si>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</si>
  <si>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</si>
  <si>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</si>
  <si>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</si>
  <si>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</si>
  <si>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</si>
  <si>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</si>
  <si>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</si>
  <si>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</si>
  <si>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</si>
  <si>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</si>
  <si>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</si>
  <si>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</si>
  <si>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</si>
  <si>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</si>
  <si>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</si>
  <si>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</si>
  <si>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</si>
  <si>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</si>
  <si>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</si>
  <si>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</si>
  <si>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</si>
  <si>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</si>
  <si>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</si>
  <si>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</si>
  <si>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</si>
  <si>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</si>
  <si>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</si>
  <si>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</si>
  <si>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</si>
  <si>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</si>
  <si>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</si>
  <si>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</si>
  <si>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</si>
  <si>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</si>
  <si>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</si>
  <si>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</si>
  <si>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</si>
  <si>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</si>
  <si>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</si>
  <si>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</si>
  <si>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</si>
  <si>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</si>
  <si>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</si>
  <si>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</si>
  <si>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</si>
  <si>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</si>
  <si>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</si>
  <si>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</si>
  <si>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</si>
  <si>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</si>
  <si>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</si>
  <si>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</si>
  <si>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</si>
  <si>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</si>
  <si>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</si>
  <si>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</si>
  <si>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</si>
  <si>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</si>
  <si>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</si>
  <si>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</si>
  <si>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</si>
  <si>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</si>
  <si>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</si>
  <si>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</si>
  <si>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</si>
  <si>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</si>
  <si>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</si>
  <si>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</si>
  <si>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</si>
  <si>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</si>
  <si>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</si>
  <si>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</si>
  <si>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</si>
  <si>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</si>
  <si>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</si>
  <si>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</si>
  <si>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</si>
  <si>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</si>
  <si>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</si>
  <si>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</si>
  <si>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</si>
  <si>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</si>
  <si>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</si>
  <si>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</si>
  <si>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</si>
  <si>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</si>
  <si>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</si>
  <si>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</si>
  <si>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</si>
  <si>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</si>
  <si>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</si>
  <si>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</si>
  <si>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</si>
  <si>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</si>
  <si>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</si>
  <si>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</si>
  <si>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</si>
  <si>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</si>
  <si>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</si>
  <si>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</si>
  <si>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</si>
  <si>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</si>
  <si>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</si>
  <si>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</si>
  <si>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</si>
  <si>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</si>
  <si>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</si>
  <si>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</si>
  <si>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</si>
  <si>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</si>
  <si>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</si>
  <si>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</si>
  <si>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</si>
  <si>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</si>
  <si>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</si>
  <si>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</si>
  <si>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</si>
  <si>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</si>
  <si>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</si>
  <si>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</si>
  <si>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</si>
  <si>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</si>
  <si>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</si>
  <si>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</si>
  <si>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</si>
  <si>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</si>
  <si>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</si>
  <si>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</si>
  <si>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</si>
  <si>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</si>
  <si>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</si>
  <si>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</si>
  <si>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</si>
  <si>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</si>
  <si>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</si>
  <si>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</si>
  <si>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</si>
  <si>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</si>
  <si>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</si>
  <si>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</si>
  <si>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</si>
  <si>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</si>
  <si>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</si>
  <si>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</si>
  <si>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</si>
  <si>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</si>
  <si>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</si>
  <si>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</si>
  <si>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</si>
  <si>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</si>
  <si>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</si>
  <si>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</si>
  <si>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</si>
  <si>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</si>
  <si>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</si>
  <si>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</si>
  <si>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</si>
  <si>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</si>
  <si>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</si>
  <si>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</si>
  <si>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</si>
  <si>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</si>
  <si>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</si>
  <si>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</si>
  <si>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</si>
  <si>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</si>
  <si>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</si>
  <si>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</si>
  <si>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</si>
  <si>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</si>
  <si>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</si>
  <si>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</si>
  <si>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</si>
  <si>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</si>
  <si>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</si>
  <si>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</si>
  <si>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</si>
  <si>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</si>
  <si>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</si>
  <si>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</si>
  <si>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</si>
  <si>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</si>
  <si>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</si>
  <si>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</si>
  <si>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</si>
  <si>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</si>
  <si>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</si>
  <si>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</si>
  <si>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</si>
  <si>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</si>
  <si>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</si>
  <si>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</si>
  <si>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</si>
  <si>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</si>
  <si>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</si>
  <si>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</si>
  <si>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</si>
  <si>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</si>
  <si>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</si>
  <si>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</si>
  <si>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</si>
  <si>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</si>
  <si>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</si>
  <si>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</si>
  <si>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</si>
  <si>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</si>
  <si>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</si>
  <si>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</si>
  <si>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</si>
  <si>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</si>
  <si>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</si>
  <si>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</si>
  <si>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</si>
  <si>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</si>
  <si>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</si>
  <si>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</si>
  <si>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</si>
  <si>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</si>
  <si>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</si>
  <si>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</si>
  <si>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</si>
  <si>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</si>
  <si>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</si>
  <si>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</si>
  <si>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</si>
  <si>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</si>
  <si>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</si>
  <si>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</si>
  <si>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</si>
  <si>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</si>
  <si>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</si>
  <si>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</si>
  <si>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</si>
  <si>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</si>
  <si>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</si>
  <si>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</si>
  <si>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</si>
  <si>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</si>
  <si>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</si>
  <si>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</si>
  <si>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</si>
  <si>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</si>
  <si>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</si>
  <si>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</si>
  <si>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</si>
  <si>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</si>
  <si>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</si>
  <si>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</si>
  <si>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</si>
  <si>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</si>
  <si>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</si>
  <si>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</si>
  <si>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</si>
  <si>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</si>
  <si>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</si>
  <si>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</si>
  <si>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</si>
  <si>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</si>
  <si>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</si>
  <si>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</si>
  <si>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</si>
  <si>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</si>
  <si>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</si>
  <si>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</si>
  <si>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</si>
  <si>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</si>
  <si>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</si>
  <si>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</si>
  <si>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</si>
  <si>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</si>
  <si>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</si>
  <si>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</si>
  <si>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</si>
  <si>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</si>
  <si>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</si>
  <si>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</si>
  <si>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</si>
  <si>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</si>
  <si>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</si>
  <si>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</si>
  <si>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</si>
  <si>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</si>
  <si>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</si>
  <si>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</si>
  <si>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</si>
  <si>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</si>
  <si>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</si>
  <si>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</si>
  <si>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</si>
  <si>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</si>
  <si>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</si>
  <si>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</si>
  <si>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</si>
  <si>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</si>
  <si>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</si>
  <si>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</si>
  <si>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</si>
  <si>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</si>
  <si>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</si>
  <si>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</si>
  <si>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</si>
  <si>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</si>
  <si>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</si>
  <si>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</si>
  <si>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</si>
  <si>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</si>
  <si>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</si>
  <si>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</si>
  <si>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</si>
  <si>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</si>
  <si>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</si>
  <si>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</si>
  <si>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</si>
  <si>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</si>
  <si>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</si>
  <si>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</si>
  <si>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</si>
  <si>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</si>
  <si>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</si>
  <si>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</si>
  <si>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</si>
  <si>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</si>
  <si>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</si>
  <si>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</si>
  <si>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</si>
  <si>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</si>
  <si>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</si>
  <si>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</si>
  <si>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</si>
  <si>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</si>
  <si>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</si>
  <si>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</si>
  <si>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</si>
  <si>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</si>
  <si>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</si>
  <si>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</si>
  <si>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</si>
  <si>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</si>
  <si>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</si>
  <si>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</si>
  <si>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</si>
  <si>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</si>
  <si>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</si>
  <si>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</si>
  <si>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</si>
  <si>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</si>
  <si>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</si>
  <si>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</si>
  <si>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</si>
  <si>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</si>
  <si>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</si>
  <si>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</si>
  <si>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</si>
  <si>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</si>
  <si>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</si>
  <si>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</si>
  <si>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</si>
  <si>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</si>
  <si>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</si>
  <si>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</si>
  <si>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</si>
  <si>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</si>
  <si>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</si>
  <si>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</si>
  <si>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</si>
  <si>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</si>
  <si>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</si>
  <si>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</si>
  <si>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</si>
  <si>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</si>
  <si>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</si>
  <si>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</si>
  <si>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</si>
  <si>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</si>
  <si>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</si>
  <si>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</si>
  <si>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</si>
  <si>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</si>
  <si>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</si>
  <si>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</si>
  <si>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</si>
  <si>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</si>
  <si>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</si>
  <si>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</si>
  <si>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</si>
  <si>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</si>
  <si>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</si>
  <si>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</si>
  <si>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</si>
  <si>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</si>
  <si>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</si>
  <si>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</si>
  <si>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</si>
  <si>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</si>
  <si>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</si>
  <si>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</si>
  <si>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</si>
  <si>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</si>
  <si>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</si>
  <si>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</si>
  <si>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</si>
  <si>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</si>
  <si>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</si>
  <si>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</si>
  <si>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</si>
  <si>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</si>
  <si>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</si>
  <si>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</si>
  <si>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</si>
  <si>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</si>
  <si>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</si>
  <si>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</si>
  <si>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</si>
  <si>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</si>
  <si>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</si>
  <si>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</si>
  <si>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</si>
  <si>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</si>
  <si>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</si>
  <si>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</si>
  <si>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</si>
  <si>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</si>
  <si>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</si>
  <si>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</si>
  <si>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</si>
  <si>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</si>
  <si>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</si>
  <si>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</si>
  <si>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</si>
  <si>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</si>
  <si>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</si>
  <si>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</si>
  <si>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</si>
  <si>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</si>
  <si>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</si>
  <si>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</si>
  <si>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</si>
  <si>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</si>
  <si>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</si>
  <si>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</si>
  <si>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</si>
  <si>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</si>
  <si>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</si>
  <si>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</si>
  <si>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</si>
  <si>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</si>
  <si>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</si>
  <si>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</si>
  <si>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</si>
  <si>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</si>
  <si>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</si>
  <si>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</si>
  <si>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</si>
  <si>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</si>
  <si>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</si>
  <si>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</si>
  <si>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</si>
  <si>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</si>
  <si>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</si>
  <si>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</si>
  <si>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</si>
  <si>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</si>
  <si>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</si>
  <si>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</si>
  <si>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</si>
  <si>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</si>
  <si>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</si>
  <si>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</si>
  <si>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</si>
  <si>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</si>
  <si>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</si>
  <si>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</si>
  <si>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</si>
  <si>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</si>
  <si>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</si>
  <si>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</si>
  <si>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</si>
  <si>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</si>
  <si>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</si>
  <si>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</si>
  <si>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</si>
  <si>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</si>
  <si>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</si>
  <si>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</si>
  <si>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</si>
  <si>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</si>
  <si>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</si>
  <si>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</si>
  <si>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</si>
  <si>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</si>
  <si>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</si>
  <si>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</si>
  <si>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</si>
  <si>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</si>
  <si>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</si>
  <si>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</si>
  <si>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</si>
  <si>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</si>
  <si>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</si>
  <si>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</si>
  <si>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</si>
  <si>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</si>
  <si>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</si>
  <si>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</si>
  <si>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</si>
  <si>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</si>
  <si>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</si>
  <si>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</si>
  <si>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</si>
  <si>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</si>
  <si>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</si>
  <si>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</si>
  <si>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</si>
  <si>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</si>
  <si>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</si>
  <si>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</si>
  <si>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</si>
  <si>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</si>
  <si>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</si>
  <si>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</si>
  <si>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</si>
  <si>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</si>
  <si>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</si>
  <si>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</si>
  <si>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</si>
  <si>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</si>
  <si>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</si>
  <si>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</si>
  <si>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</si>
  <si>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</si>
  <si>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</si>
  <si>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</si>
  <si>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</si>
  <si>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</si>
  <si>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</si>
  <si>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</si>
  <si>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</si>
  <si>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</si>
  <si>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</si>
  <si>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</si>
  <si>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</si>
  <si>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</si>
  <si>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</si>
  <si>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</si>
  <si>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</si>
  <si>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</si>
  <si>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</si>
  <si>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</si>
  <si>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</si>
  <si>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</si>
  <si>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</si>
  <si>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</si>
  <si>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</si>
  <si>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</si>
  <si>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</si>
  <si>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</si>
  <si>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</si>
  <si>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</si>
  <si>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</si>
  <si>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</si>
  <si>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</si>
  <si>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</si>
  <si>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</si>
  <si>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</si>
  <si>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</si>
  <si>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</si>
  <si>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</si>
  <si>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</si>
  <si>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</si>
  <si>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</si>
  <si>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</si>
  <si>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</si>
  <si>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</si>
  <si>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</si>
  <si>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</si>
  <si>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</si>
  <si>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</si>
  <si>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</si>
  <si>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</si>
  <si>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</si>
  <si>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</si>
  <si>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</si>
  <si>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</si>
  <si>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</si>
  <si>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</si>
  <si>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</si>
  <si>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</si>
  <si>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</si>
  <si>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</si>
  <si>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</si>
  <si>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</si>
  <si>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</si>
  <si>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</si>
  <si>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</si>
  <si>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</si>
  <si>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</si>
  <si>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</si>
  <si>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</si>
  <si>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</si>
  <si>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</si>
  <si>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</si>
  <si>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</si>
  <si>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</si>
  <si>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</si>
  <si>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</si>
  <si>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</si>
  <si>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</si>
  <si>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</si>
  <si>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</si>
  <si>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</si>
  <si>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</si>
  <si>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</si>
  <si>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</si>
  <si>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</si>
  <si>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</si>
  <si>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</si>
  <si>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</si>
  <si>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</si>
  <si>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</si>
  <si>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</si>
  <si>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</si>
  <si>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</si>
  <si>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</si>
  <si>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</si>
  <si>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</si>
  <si>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</si>
  <si>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</si>
  <si>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</si>
  <si>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</si>
  <si>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</si>
  <si>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</si>
  <si>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</si>
  <si>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</si>
  <si>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</si>
  <si>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</si>
  <si>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</si>
  <si>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</si>
  <si>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</si>
  <si>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</si>
  <si>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</si>
  <si>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</si>
  <si>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</si>
  <si>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</si>
  <si>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</si>
  <si>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</si>
  <si>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</si>
  <si>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</si>
  <si>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</si>
  <si>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</si>
  <si>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</si>
  <si>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</si>
  <si>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</si>
  <si>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</si>
  <si>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</si>
  <si>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</si>
  <si>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</si>
  <si>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</si>
  <si>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</si>
  <si>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</si>
  <si>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</si>
  <si>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</si>
  <si>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</si>
  <si>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</si>
  <si>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</si>
  <si>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</si>
  <si>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</si>
  <si>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</si>
  <si>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</si>
  <si>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</si>
  <si>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</si>
  <si>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</si>
  <si>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</si>
  <si>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</si>
  <si>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</si>
  <si>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</si>
  <si>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</si>
  <si>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</si>
  <si>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</si>
  <si>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</si>
  <si>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</si>
  <si>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</si>
  <si>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</si>
  <si>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</si>
  <si>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</si>
  <si>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</si>
  <si>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</si>
  <si>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</si>
  <si>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</si>
  <si>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</si>
  <si>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</si>
  <si>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</si>
  <si>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</si>
  <si>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</si>
  <si>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</si>
  <si>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</si>
  <si>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</si>
  <si>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</si>
  <si>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</si>
  <si>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</si>
  <si>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</si>
  <si>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</si>
  <si>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</si>
  <si>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</si>
  <si>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</si>
  <si>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</si>
  <si>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</si>
  <si>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</si>
  <si>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</si>
  <si>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</si>
  <si>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</si>
  <si>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</si>
  <si>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</si>
  <si>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</si>
  <si>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</si>
  <si>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Audit Adjustment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</si>
</sst>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1420</v>
      </c>
      <c r="B2" s="126">
        <f>INDEX('School Tables'!$AH$3:$AH$208,MATCH('DOE25'!A2,'School Tables'!$AJ$3:$AJ$208,0))</f>
        <v>493</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191209.36</v>
      </c>
      <c r="G9" s="18">
        <v>0</v>
      </c>
      <c r="H9" s="18">
        <v>173417.43</v>
      </c>
      <c r="I9" s="18">
        <v>0</v>
      </c>
      <c r="J9" s="67">
        <f>SUM(I440)</f>
        <v>162004.13</v>
      </c>
      <c r="K9" s="24" t="s">
        <v>288</v>
      </c>
      <c r="L9" s="24" t="s">
        <v>288</v>
      </c>
      <c r="M9" s="8"/>
      <c r="N9" s="265"/>
    </row>
    <row r="10" spans="1:14" s="3" customFormat="1" ht="12.2" customHeight="1" x14ac:dyDescent="0.15">
      <c r="A10" s="1" t="s">
        <v>562</v>
      </c>
      <c r="B10" s="2" t="s">
        <v>289</v>
      </c>
      <c r="C10" s="6">
        <v>2</v>
      </c>
      <c r="D10" s="2" t="s">
        <v>428</v>
      </c>
      <c r="E10" s="6">
        <v>110</v>
      </c>
      <c r="F10" s="18">
        <v>1658717.8</v>
      </c>
      <c r="G10" s="18"/>
      <c r="H10" s="18">
        <v>0</v>
      </c>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195837.7</v>
      </c>
      <c r="G12" s="18"/>
      <c r="H12" s="18">
        <v>0</v>
      </c>
      <c r="I12" s="18"/>
      <c r="J12" s="67">
        <f>SUM(I442)</f>
        <v>952772.69</v>
      </c>
      <c r="K12" s="24" t="s">
        <v>288</v>
      </c>
      <c r="L12" s="24" t="s">
        <v>288</v>
      </c>
      <c r="M12" s="8"/>
      <c r="N12" s="265"/>
    </row>
    <row r="13" spans="1:14" s="3" customFormat="1" ht="12.2" customHeight="1" x14ac:dyDescent="0.15">
      <c r="A13" s="1" t="s">
        <v>604</v>
      </c>
      <c r="B13" s="2" t="s">
        <v>289</v>
      </c>
      <c r="C13" s="6">
        <v>5</v>
      </c>
      <c r="D13" s="2" t="s">
        <v>428</v>
      </c>
      <c r="E13" s="6">
        <v>140</v>
      </c>
      <c r="F13" s="18">
        <v>58716.79</v>
      </c>
      <c r="G13" s="18">
        <v>87228.93</v>
      </c>
      <c r="H13" s="18">
        <f>96966.88+4488.2</f>
        <v>101455.08</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28224.03</v>
      </c>
      <c r="G14" s="18">
        <v>17.55</v>
      </c>
      <c r="H14" s="18">
        <v>0</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c r="H16" s="18">
        <v>0</v>
      </c>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1750</v>
      </c>
      <c r="G17" s="18">
        <v>0</v>
      </c>
      <c r="H17" s="18">
        <v>0</v>
      </c>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2134455.6799999997</v>
      </c>
      <c r="G19" s="41">
        <f>SUM(G9:G18)</f>
        <v>87246.48</v>
      </c>
      <c r="H19" s="41">
        <f>SUM(H9:H18)</f>
        <v>274872.51</v>
      </c>
      <c r="I19" s="41">
        <f>SUM(I9:I18)</f>
        <v>0</v>
      </c>
      <c r="J19" s="41">
        <f>SUM(J9:J18)</f>
        <v>1114776.8199999998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57438.879999999997</v>
      </c>
      <c r="H22" s="18">
        <v>86185.919999999998</v>
      </c>
      <c r="I22" s="18">
        <v>0</v>
      </c>
      <c r="J22" s="67">
        <f>SUM(I449)</f>
        <v>52587.360000000001</v>
      </c>
      <c r="K22" s="24" t="s">
        <v>288</v>
      </c>
      <c r="L22" s="24" t="s">
        <v>288</v>
      </c>
      <c r="M22" s="8"/>
      <c r="N22" s="265"/>
    </row>
    <row r="23" spans="1:14" s="3" customFormat="1" ht="12.2" customHeight="1" x14ac:dyDescent="0.15">
      <c r="A23" s="1" t="s">
        <v>607</v>
      </c>
      <c r="B23" s="2" t="s">
        <v>289</v>
      </c>
      <c r="C23" s="6">
        <v>13</v>
      </c>
      <c r="D23" s="2" t="s">
        <v>429</v>
      </c>
      <c r="E23" s="6">
        <v>410</v>
      </c>
      <c r="F23" s="18">
        <v>4752.5</v>
      </c>
      <c r="G23" s="18">
        <v>0</v>
      </c>
      <c r="H23" s="18">
        <v>0</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535024.57+2760.31</f>
        <v>537784.88</v>
      </c>
      <c r="G24" s="18">
        <v>4271.2299999999996</v>
      </c>
      <c r="H24" s="18">
        <v>0</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139599.59</v>
      </c>
      <c r="G28" s="18">
        <v>0</v>
      </c>
      <c r="H28" s="18">
        <v>0</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25068.78</v>
      </c>
      <c r="G29" s="18">
        <v>0</v>
      </c>
      <c r="H29" s="18">
        <v>0</v>
      </c>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1862.87</v>
      </c>
      <c r="G30" s="18">
        <v>25536.37</v>
      </c>
      <c r="H30" s="18">
        <v>4969.16</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c r="J31" s="67">
        <f>SUM(I452)</f>
        <v>162004.13</v>
      </c>
      <c r="K31" s="24" t="s">
        <v>288</v>
      </c>
      <c r="L31" s="24" t="s">
        <v>288</v>
      </c>
      <c r="M31" s="8"/>
      <c r="N31" s="265"/>
    </row>
    <row r="32" spans="1:14" s="3" customFormat="1" ht="12.2" customHeight="1" thickTop="1" x14ac:dyDescent="0.15">
      <c r="A32" s="38" t="s">
        <v>406</v>
      </c>
      <c r="B32" s="39" t="s">
        <v>289</v>
      </c>
      <c r="C32" s="40">
        <v>22</v>
      </c>
      <c r="D32" s="39" t="s">
        <v>429</v>
      </c>
      <c r="E32" s="39"/>
      <c r="F32" s="41">
        <f>SUM(F22:F31)</f>
        <v>709068.62</v>
      </c>
      <c r="G32" s="41">
        <f>SUM(G22:G31)</f>
        <v>87246.48</v>
      </c>
      <c r="H32" s="41">
        <f>SUM(H22:H31)</f>
        <v>91155.08</v>
      </c>
      <c r="I32" s="41">
        <f>SUM(I22:I31)</f>
        <v>0</v>
      </c>
      <c r="J32" s="41">
        <f>SUM(J22:J31)</f>
        <v>214591.49</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85000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f>-4383.77+419388.57-419388.57</f>
        <v>-4383.7700000000186</v>
      </c>
      <c r="H48" s="18">
        <f>78223.18+105494.25</f>
        <v>183717.43</v>
      </c>
      <c r="I48" s="18">
        <v>0</v>
      </c>
      <c r="J48" s="13">
        <f>SUM(I460)</f>
        <v>900185.33</v>
      </c>
      <c r="K48" s="24" t="s">
        <v>288</v>
      </c>
      <c r="L48" s="24" t="s">
        <v>288</v>
      </c>
      <c r="M48" s="8"/>
      <c r="N48" s="265"/>
    </row>
    <row r="49" spans="1:14" s="3" customFormat="1" ht="12.2" customHeight="1" x14ac:dyDescent="0.15">
      <c r="A49" s="1" t="s">
        <v>859</v>
      </c>
      <c r="B49" s="2" t="s">
        <v>289</v>
      </c>
      <c r="C49" s="6">
        <v>34</v>
      </c>
      <c r="D49" s="2"/>
      <c r="E49" s="6">
        <v>753</v>
      </c>
      <c r="F49" s="18">
        <v>261543.32</v>
      </c>
      <c r="G49" s="18">
        <v>4383.7700000000004</v>
      </c>
      <c r="H49" s="18">
        <v>0</v>
      </c>
      <c r="I49" s="18"/>
      <c r="J49" s="13">
        <f>I455</f>
        <v>0</v>
      </c>
      <c r="K49" s="24"/>
      <c r="L49" s="24"/>
      <c r="M49" s="8"/>
      <c r="N49" s="265"/>
    </row>
    <row r="50" spans="1:14" s="3" customFormat="1" ht="12.2" customHeight="1" thickBot="1" x14ac:dyDescent="0.2">
      <c r="A50" s="29" t="s">
        <v>840</v>
      </c>
      <c r="B50" s="2" t="s">
        <v>289</v>
      </c>
      <c r="C50" s="71">
        <v>35</v>
      </c>
      <c r="D50" s="2" t="s">
        <v>653</v>
      </c>
      <c r="E50" s="6">
        <v>770</v>
      </c>
      <c r="F50" s="18">
        <f>1110388.89+-31545.15</f>
        <v>1078843.74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1425387.06</v>
      </c>
      <c r="G51" s="41">
        <f>SUM(G35:G50)</f>
        <v>-1.8189894035458565E-11</v>
      </c>
      <c r="H51" s="41">
        <f>SUM(H35:H50)</f>
        <v>183717.43</v>
      </c>
      <c r="I51" s="41">
        <f>SUM(I35:I50)</f>
        <v>0</v>
      </c>
      <c r="J51" s="41">
        <f>SUM(J35:J50)</f>
        <v>900185.33</v>
      </c>
      <c r="K51" s="45" t="s">
        <v>288</v>
      </c>
      <c r="L51" s="45" t="s">
        <v>288</v>
      </c>
      <c r="N51" s="263"/>
    </row>
    <row r="52" spans="1:14" s="3" customFormat="1" ht="12.2" customHeight="1" thickTop="1" x14ac:dyDescent="0.15">
      <c r="A52" s="38" t="s">
        <v>455</v>
      </c>
      <c r="B52" s="39" t="s">
        <v>289</v>
      </c>
      <c r="C52" s="6">
        <v>37</v>
      </c>
      <c r="D52" s="39" t="s">
        <v>653</v>
      </c>
      <c r="E52" s="39"/>
      <c r="F52" s="41">
        <f>F51+F32</f>
        <v>2134455.6800000002</v>
      </c>
      <c r="G52" s="41">
        <f>G51+G32</f>
        <v>87246.479999999981</v>
      </c>
      <c r="H52" s="41">
        <f>H51+H32</f>
        <v>274872.51</v>
      </c>
      <c r="I52" s="41">
        <f>I51+I32</f>
        <v>0</v>
      </c>
      <c r="J52" s="41">
        <f>J51+J32</f>
        <v>1114776.8199999998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14850812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14850812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54608.22</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3327.67</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57935.89</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2558.64</v>
      </c>
      <c r="G96" s="18"/>
      <c r="H96" s="18">
        <v>96.2</v>
      </c>
      <c r="I96" s="18">
        <v>0</v>
      </c>
      <c r="J96" s="18">
        <v>-26975.95</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167193.15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95514.87</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5127.18</v>
      </c>
      <c r="G101" s="18"/>
      <c r="H101" s="18">
        <v>20398.05</v>
      </c>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c r="H102" s="18">
        <v>12064.67</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v>45100</v>
      </c>
      <c r="G103" s="18">
        <v>0</v>
      </c>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7109.1</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173457.92000000001</v>
      </c>
      <c r="G109" s="18">
        <v>1973.96</v>
      </c>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185.11</v>
      </c>
      <c r="G110" s="18">
        <v>618.23</v>
      </c>
      <c r="H110" s="18"/>
      <c r="I110" s="18"/>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329052.82</v>
      </c>
      <c r="G111" s="41">
        <f>SUM(G96:G110)</f>
        <v>169785.34</v>
      </c>
      <c r="H111" s="41">
        <f>SUM(H96:H110)</f>
        <v>32558.92</v>
      </c>
      <c r="I111" s="41">
        <f>SUM(I96:I110)</f>
        <v>0</v>
      </c>
      <c r="J111" s="41">
        <f>SUM(J96:J110)</f>
        <v>-26975.95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15237800.710000001</v>
      </c>
      <c r="G112" s="41">
        <f>G60+G111</f>
        <v>169785.34</v>
      </c>
      <c r="H112" s="41">
        <f>H60+H79+H94+H111</f>
        <v>32558.92</v>
      </c>
      <c r="I112" s="41">
        <f>I60+I111</f>
        <v>0</v>
      </c>
      <c r="J112" s="41">
        <f>J60+J111</f>
        <v>-26975.95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1745889.44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1391245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471.07</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3137605.51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490165.15</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2650.6</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1884.73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c r="H135" s="18">
        <v>780</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492815.75</v>
      </c>
      <c r="G136" s="41">
        <f>SUM(G123:G135)</f>
        <v>1884.73</v>
      </c>
      <c r="H136" s="41">
        <f>SUM(H123:H135)</f>
        <v>780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3630421.26</v>
      </c>
      <c r="G140" s="41">
        <f>G121+SUM(G136:G137)</f>
        <v>1884.73</v>
      </c>
      <c r="H140" s="41">
        <f>H121+SUM(H136:H139)</f>
        <v>780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13515.19</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12835.7+4488.2</f>
        <v>17323.900000000001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220478.19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235823.13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76675.89</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c r="H161" s="18">
        <v>0</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52566.91</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76675.89</v>
      </c>
      <c r="G163" s="41">
        <f>SUM(G150:G162)</f>
        <v>220478.19</v>
      </c>
      <c r="H163" s="41">
        <f>SUM(H150:H162)</f>
        <v>319229.13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76675.89</v>
      </c>
      <c r="G170" s="41">
        <f>G147+G163+SUM(G164:G169)</f>
        <v>220478.19</v>
      </c>
      <c r="H170" s="41">
        <f>H147+H163+SUM(H164:H169)</f>
        <v>319229.13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27240.31</v>
      </c>
      <c r="H180" s="18">
        <v>85000</v>
      </c>
      <c r="I180" s="18"/>
      <c r="J180" s="18">
        <v>163000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27240.31</v>
      </c>
      <c r="H184" s="41">
        <f>SUM(H180:H183)</f>
        <v>85000</v>
      </c>
      <c r="I184" s="41">
        <f>SUM(I180:I183)</f>
        <v>0</v>
      </c>
      <c r="J184" s="41">
        <f>SUM(J180:J183)</f>
        <v>163000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27240.31</v>
      </c>
      <c r="H193" s="41">
        <f>+H184+SUM(H189:H192)</f>
        <v>85000</v>
      </c>
      <c r="I193" s="41">
        <f>I178+I184+SUM(I189:I192)</f>
        <v>0</v>
      </c>
      <c r="J193" s="41">
        <f>J184</f>
        <v>163000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18944897.859999999</v>
      </c>
      <c r="G194" s="47">
        <f>G112+G140+G170+G193</f>
        <v>419388.57</v>
      </c>
      <c r="H194" s="47">
        <f>H112+H140+H170+H193</f>
        <v>437568.05</v>
      </c>
      <c r="I194" s="47">
        <f>I112+I140+I170+I193</f>
        <v>0</v>
      </c>
      <c r="J194" s="47">
        <f>J112+J140+J193</f>
        <v>136024.04999999999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5"/>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5049791.0199999996</v>
      </c>
      <c r="G234" s="18">
        <f>2378773.09-2179.49</f>
        <v>2376593.5999999996</v>
      </c>
      <c r="H234" s="18">
        <v>2568.35</v>
      </c>
      <c r="I234" s="18">
        <v>106444.12</v>
      </c>
      <c r="J234" s="18">
        <v>124355.16</v>
      </c>
      <c r="K234" s="18">
        <v>1443</v>
      </c>
      <c r="L234" s="19">
        <f>SUM(F234:K234)</f>
        <v>7661195.2499999991</v>
      </c>
      <c r="M234" s="8"/>
      <c r="N234" s="265"/>
    </row>
    <row r="235" spans="1:14" s="3" customFormat="1" ht="12.2" customHeight="1" x14ac:dyDescent="0.15">
      <c r="A235" s="1" t="s">
        <v>439</v>
      </c>
      <c r="B235" s="2" t="s">
        <v>350</v>
      </c>
      <c r="C235" s="2" t="s">
        <v>291</v>
      </c>
      <c r="D235" s="2" t="s">
        <v>431</v>
      </c>
      <c r="E235" s="6">
        <v>1200</v>
      </c>
      <c r="F235" s="18">
        <v>1615540.23</v>
      </c>
      <c r="G235" s="18">
        <v>919770.63</v>
      </c>
      <c r="H235" s="18">
        <f>772777.26+1087.5</f>
        <v>773864.76</v>
      </c>
      <c r="I235" s="18">
        <f>10506.38+706.31</f>
        <v>11212.689999999999</v>
      </c>
      <c r="J235" s="18">
        <v>0</v>
      </c>
      <c r="K235" s="18">
        <v>120</v>
      </c>
      <c r="L235" s="19">
        <f>SUM(F235:K235)</f>
        <v>3320508.31</v>
      </c>
      <c r="M235" s="8"/>
      <c r="N235" s="265"/>
    </row>
    <row r="236" spans="1:14" s="3" customFormat="1" ht="12.2" customHeight="1" x14ac:dyDescent="0.15">
      <c r="A236" s="1" t="s">
        <v>440</v>
      </c>
      <c r="B236" s="2" t="s">
        <v>350</v>
      </c>
      <c r="C236" s="2" t="s">
        <v>292</v>
      </c>
      <c r="D236" s="2" t="s">
        <v>431</v>
      </c>
      <c r="E236" s="6">
        <v>1300</v>
      </c>
      <c r="F236" s="18"/>
      <c r="G236" s="18"/>
      <c r="H236" s="18">
        <f>15535.76-1087.5</f>
        <v>14448.26</v>
      </c>
      <c r="I236" s="18"/>
      <c r="J236" s="18"/>
      <c r="K236" s="18"/>
      <c r="L236" s="19">
        <f>SUM(F236:K236)</f>
        <v>14448.26</v>
      </c>
      <c r="M236" s="8"/>
      <c r="N236" s="265"/>
    </row>
    <row r="237" spans="1:14" s="3" customFormat="1" ht="12.2" customHeight="1" x14ac:dyDescent="0.15">
      <c r="A237" s="1" t="s">
        <v>441</v>
      </c>
      <c r="B237" s="2" t="s">
        <v>350</v>
      </c>
      <c r="C237" s="2" t="s">
        <v>293</v>
      </c>
      <c r="D237" s="2" t="s">
        <v>431</v>
      </c>
      <c r="E237" s="6">
        <v>1400</v>
      </c>
      <c r="F237" s="18">
        <v>375647.45</v>
      </c>
      <c r="G237" s="18">
        <v>98047.6</v>
      </c>
      <c r="H237" s="18">
        <v>97075.23</v>
      </c>
      <c r="I237" s="18">
        <v>34412.78</v>
      </c>
      <c r="J237" s="18">
        <v>67222.289999999994</v>
      </c>
      <c r="K237" s="18">
        <v>21371</v>
      </c>
      <c r="L237" s="19">
        <f>SUM(F237:K237)</f>
        <v>693776.35000000009</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1021081.98</v>
      </c>
      <c r="G239" s="18">
        <v>493465.26</v>
      </c>
      <c r="H239" s="18">
        <v>283456.93</v>
      </c>
      <c r="I239" s="18">
        <v>12030.9</v>
      </c>
      <c r="J239" s="18">
        <v>0</v>
      </c>
      <c r="K239" s="18">
        <v>920</v>
      </c>
      <c r="L239" s="19">
        <f t="shared" ref="L239:L245" si="4">SUM(F239:K239)</f>
        <v>1810955.0699999998</v>
      </c>
      <c r="M239" s="8"/>
      <c r="N239" s="265"/>
    </row>
    <row r="240" spans="1:14" s="3" customFormat="1" ht="12.2" customHeight="1" x14ac:dyDescent="0.15">
      <c r="A240" s="1" t="s">
        <v>443</v>
      </c>
      <c r="B240" s="2" t="s">
        <v>350</v>
      </c>
      <c r="C240" s="2" t="s">
        <v>295</v>
      </c>
      <c r="D240" s="2" t="s">
        <v>431</v>
      </c>
      <c r="E240" s="6">
        <v>2200</v>
      </c>
      <c r="F240" s="18">
        <v>285565.02</v>
      </c>
      <c r="G240" s="18">
        <v>171494.76</v>
      </c>
      <c r="H240" s="18">
        <v>13918.93</v>
      </c>
      <c r="I240" s="18">
        <v>42814.25</v>
      </c>
      <c r="J240" s="18">
        <v>0</v>
      </c>
      <c r="K240" s="18">
        <v>322</v>
      </c>
      <c r="L240" s="19">
        <f t="shared" si="4"/>
        <v>514114.96</v>
      </c>
      <c r="M240" s="8"/>
      <c r="N240" s="265"/>
    </row>
    <row r="241" spans="1:14" s="3" customFormat="1" ht="12.2" customHeight="1" x14ac:dyDescent="0.15">
      <c r="A241" s="1" t="s">
        <v>444</v>
      </c>
      <c r="B241" s="2" t="s">
        <v>350</v>
      </c>
      <c r="C241" s="2" t="s">
        <v>296</v>
      </c>
      <c r="D241" s="2" t="s">
        <v>431</v>
      </c>
      <c r="E241" s="6">
        <v>2300</v>
      </c>
      <c r="F241" s="18">
        <v>167637.6</v>
      </c>
      <c r="G241" s="18">
        <v>75540.91</v>
      </c>
      <c r="H241" s="18">
        <v>878133.62</v>
      </c>
      <c r="I241" s="18">
        <v>545.16</v>
      </c>
      <c r="J241" s="18">
        <v>0</v>
      </c>
      <c r="K241" s="18">
        <v>9214.39</v>
      </c>
      <c r="L241" s="19">
        <f t="shared" si="4"/>
        <v>1131071.6799999997</v>
      </c>
      <c r="M241" s="8"/>
      <c r="N241" s="265"/>
    </row>
    <row r="242" spans="1:14" s="3" customFormat="1" ht="12.2" customHeight="1" x14ac:dyDescent="0.15">
      <c r="A242" s="1" t="s">
        <v>445</v>
      </c>
      <c r="B242" s="2" t="s">
        <v>350</v>
      </c>
      <c r="C242" s="2" t="s">
        <v>297</v>
      </c>
      <c r="D242" s="2" t="s">
        <v>431</v>
      </c>
      <c r="E242" s="6">
        <v>2400</v>
      </c>
      <c r="F242" s="18">
        <v>473017.62</v>
      </c>
      <c r="G242" s="18">
        <v>205924.94</v>
      </c>
      <c r="H242" s="18">
        <v>50339.91</v>
      </c>
      <c r="I242" s="18">
        <v>34079.54</v>
      </c>
      <c r="J242" s="18">
        <v>2480.7399999999998</v>
      </c>
      <c r="K242" s="18">
        <v>4815</v>
      </c>
      <c r="L242" s="19">
        <f t="shared" si="4"/>
        <v>770657.75000000012</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343517.01</v>
      </c>
      <c r="G244" s="18">
        <v>187256.97</v>
      </c>
      <c r="H244" s="18">
        <f>710316.17+8362</f>
        <v>718678.17</v>
      </c>
      <c r="I244" s="18">
        <f>402707.6+2054</f>
        <v>404761.59999999998</v>
      </c>
      <c r="J244" s="18">
        <v>47646.3</v>
      </c>
      <c r="K244" s="18">
        <v>0</v>
      </c>
      <c r="L244" s="19">
        <f t="shared" si="4"/>
        <v>1701860.05</v>
      </c>
      <c r="M244" s="8"/>
      <c r="N244" s="265"/>
    </row>
    <row r="245" spans="1:14" s="3" customFormat="1" ht="12.2" customHeight="1" x14ac:dyDescent="0.15">
      <c r="A245" s="1" t="s">
        <v>448</v>
      </c>
      <c r="B245" s="2" t="s">
        <v>350</v>
      </c>
      <c r="C245" s="2" t="s">
        <v>300</v>
      </c>
      <c r="D245" s="2" t="s">
        <v>431</v>
      </c>
      <c r="E245" s="6">
        <v>2700</v>
      </c>
      <c r="F245" s="18">
        <v>6801.67</v>
      </c>
      <c r="G245" s="18">
        <v>1003.3</v>
      </c>
      <c r="H245" s="18">
        <v>548968.39</v>
      </c>
      <c r="I245" s="18">
        <v>0</v>
      </c>
      <c r="J245" s="18">
        <v>32339</v>
      </c>
      <c r="K245" s="18">
        <v>0</v>
      </c>
      <c r="L245" s="19">
        <f t="shared" si="4"/>
        <v>589112.36</v>
      </c>
      <c r="M245" s="8"/>
      <c r="N245" s="265"/>
    </row>
    <row r="246" spans="1:14" s="3" customFormat="1" ht="12.2" customHeight="1" x14ac:dyDescent="0.15">
      <c r="A246" s="1" t="s">
        <v>449</v>
      </c>
      <c r="B246" s="2" t="s">
        <v>350</v>
      </c>
      <c r="C246" s="2" t="s">
        <v>343</v>
      </c>
      <c r="D246" s="2" t="s">
        <v>431</v>
      </c>
      <c r="E246" s="6">
        <v>2800</v>
      </c>
      <c r="F246" s="18">
        <v>153339.81</v>
      </c>
      <c r="G246" s="18">
        <v>57603.96</v>
      </c>
      <c r="H246" s="18">
        <v>26705.919999999998</v>
      </c>
      <c r="I246" s="18">
        <v>33775.19</v>
      </c>
      <c r="J246" s="18">
        <v>1232.75</v>
      </c>
      <c r="K246" s="18">
        <v>0</v>
      </c>
      <c r="L246" s="19">
        <f>SUM(F246:K246)</f>
        <v>272657.63</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9491939.4099999983</v>
      </c>
      <c r="G248" s="41">
        <f t="shared" si="5"/>
        <v>4586701.93</v>
      </c>
      <c r="H248" s="41">
        <f t="shared" si="5"/>
        <v>3408158.47</v>
      </c>
      <c r="I248" s="41">
        <f t="shared" si="5"/>
        <v>680076.23</v>
      </c>
      <c r="J248" s="41">
        <f t="shared" si="5"/>
        <v>275276.24</v>
      </c>
      <c r="K248" s="41">
        <f t="shared" si="5"/>
        <v>38205.39</v>
      </c>
      <c r="L248" s="41">
        <f t="shared" si="5"/>
        <v>18480357.669999998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220845.03</v>
      </c>
      <c r="I256" s="18"/>
      <c r="J256" s="18">
        <v>0</v>
      </c>
      <c r="K256" s="18"/>
      <c r="L256" s="19">
        <f t="shared" si="6"/>
        <v>220845.03</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220845.03</v>
      </c>
      <c r="I257" s="41">
        <f t="shared" si="7"/>
        <v>0</v>
      </c>
      <c r="J257" s="41">
        <f t="shared" si="7"/>
        <v>0</v>
      </c>
      <c r="K257" s="41">
        <f t="shared" si="7"/>
        <v>0</v>
      </c>
      <c r="L257" s="41">
        <f>SUM(F257:K257)</f>
        <v>220845.03</v>
      </c>
      <c r="M257" s="8"/>
      <c r="N257" s="265"/>
    </row>
    <row r="258" spans="1:14" s="3" customFormat="1" ht="12.2" customHeight="1" thickTop="1" x14ac:dyDescent="0.15">
      <c r="A258" s="38" t="s">
        <v>462</v>
      </c>
      <c r="B258" s="40">
        <v>10</v>
      </c>
      <c r="C258" s="40">
        <v>8</v>
      </c>
      <c r="D258" s="39" t="s">
        <v>431</v>
      </c>
      <c r="E258" s="40"/>
      <c r="F258" s="41">
        <f t="shared" ref="F258:L258" si="8">F212+F230+F248+F257</f>
        <v>9491939.4099999983</v>
      </c>
      <c r="G258" s="41">
        <f t="shared" si="8"/>
        <v>4586701.93</v>
      </c>
      <c r="H258" s="41">
        <f t="shared" si="8"/>
        <v>3629003.5</v>
      </c>
      <c r="I258" s="41">
        <f t="shared" si="8"/>
        <v>680076.23</v>
      </c>
      <c r="J258" s="41">
        <f t="shared" si="8"/>
        <v>275276.24</v>
      </c>
      <c r="K258" s="41">
        <f t="shared" si="8"/>
        <v>38205.39</v>
      </c>
      <c r="L258" s="41">
        <f t="shared" si="8"/>
        <v>18701202.699999999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27240.31</v>
      </c>
      <c r="L264" s="19">
        <f>SUM(F264:K264)</f>
        <v>27240.31</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85000</v>
      </c>
      <c r="L265" s="19">
        <f t="shared" ref="L265:L271" si="9">SUM(F265:K265)</f>
        <v>85000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163000</v>
      </c>
      <c r="L267" s="19">
        <f t="shared" si="9"/>
        <v>163000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275240.31</v>
      </c>
      <c r="L271" s="41">
        <f t="shared" si="9"/>
        <v>275240.31</v>
      </c>
      <c r="M271" s="8"/>
      <c r="N271" s="265"/>
    </row>
    <row r="272" spans="1:14" s="34" customFormat="1" ht="12.2" customHeight="1" thickTop="1" x14ac:dyDescent="0.2">
      <c r="A272" s="43" t="s">
        <v>464</v>
      </c>
      <c r="B272" s="40">
        <v>10</v>
      </c>
      <c r="C272" s="40">
        <v>18</v>
      </c>
      <c r="D272" s="39" t="s">
        <v>431</v>
      </c>
      <c r="E272" s="40"/>
      <c r="F272" s="42">
        <f t="shared" ref="F272:L272" si="11">F258+F271</f>
        <v>9491939.4099999983</v>
      </c>
      <c r="G272" s="42">
        <f t="shared" si="11"/>
        <v>4586701.93</v>
      </c>
      <c r="H272" s="42">
        <f t="shared" si="11"/>
        <v>3629003.5</v>
      </c>
      <c r="I272" s="42">
        <f t="shared" si="11"/>
        <v>680076.23</v>
      </c>
      <c r="J272" s="42">
        <f t="shared" si="11"/>
        <v>275276.24</v>
      </c>
      <c r="K272" s="42">
        <f t="shared" si="11"/>
        <v>313445.7</v>
      </c>
      <c r="L272" s="42">
        <f t="shared" si="11"/>
        <v>18976443.009999998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16840</v>
      </c>
      <c r="G315" s="18">
        <v>1583.36</v>
      </c>
      <c r="H315" s="18">
        <v>0</v>
      </c>
      <c r="I315" s="18">
        <v>478</v>
      </c>
      <c r="J315" s="18">
        <v>0</v>
      </c>
      <c r="K315" s="18">
        <v>0</v>
      </c>
      <c r="L315" s="19">
        <f>SUM(F315:K315)</f>
        <v>18901.36</v>
      </c>
      <c r="M315" s="8"/>
      <c r="N315" s="265"/>
    </row>
    <row r="316" spans="1:14" s="3" customFormat="1" ht="12.2" customHeight="1" x14ac:dyDescent="0.15">
      <c r="A316" s="1" t="s">
        <v>439</v>
      </c>
      <c r="B316" s="2" t="s">
        <v>359</v>
      </c>
      <c r="C316" s="2" t="s">
        <v>291</v>
      </c>
      <c r="D316" s="2" t="s">
        <v>431</v>
      </c>
      <c r="E316" s="6">
        <v>1200</v>
      </c>
      <c r="F316" s="18">
        <v>146771.06</v>
      </c>
      <c r="G316" s="18">
        <v>37019.57</v>
      </c>
      <c r="H316" s="18">
        <v>23453.75</v>
      </c>
      <c r="I316" s="18">
        <v>0</v>
      </c>
      <c r="J316" s="18">
        <v>0</v>
      </c>
      <c r="K316" s="18">
        <v>0</v>
      </c>
      <c r="L316" s="19">
        <f>SUM(F316:K316)</f>
        <v>207244.38</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11118.62</v>
      </c>
      <c r="G318" s="18">
        <v>2248.9499999999998</v>
      </c>
      <c r="H318" s="18">
        <v>0</v>
      </c>
      <c r="I318" s="18">
        <v>0</v>
      </c>
      <c r="J318" s="18">
        <v>0</v>
      </c>
      <c r="K318" s="18">
        <v>0</v>
      </c>
      <c r="L318" s="19">
        <f>SUM(F318:K318)</f>
        <v>13367.57</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2500</v>
      </c>
      <c r="G320" s="18">
        <v>719.94</v>
      </c>
      <c r="H320" s="18">
        <v>28578.75</v>
      </c>
      <c r="I320" s="18">
        <v>995.13</v>
      </c>
      <c r="J320" s="18">
        <v>0</v>
      </c>
      <c r="K320" s="18">
        <v>0</v>
      </c>
      <c r="L320" s="19">
        <f t="shared" ref="L320:L326" si="16">SUM(F320:K320)</f>
        <v>32793.82</v>
      </c>
      <c r="M320" s="8"/>
      <c r="N320" s="265"/>
    </row>
    <row r="321" spans="1:14" s="3" customFormat="1" ht="12.2" customHeight="1" x14ac:dyDescent="0.15">
      <c r="A321" s="1" t="s">
        <v>443</v>
      </c>
      <c r="B321" s="2" t="s">
        <v>359</v>
      </c>
      <c r="C321" s="2" t="s">
        <v>295</v>
      </c>
      <c r="D321" s="2" t="s">
        <v>431</v>
      </c>
      <c r="E321" s="6">
        <v>2200</v>
      </c>
      <c r="F321" s="18">
        <v>14550</v>
      </c>
      <c r="G321" s="18">
        <v>4127.04</v>
      </c>
      <c r="H321" s="18">
        <v>0</v>
      </c>
      <c r="I321" s="18">
        <v>0</v>
      </c>
      <c r="J321" s="18">
        <v>0</v>
      </c>
      <c r="K321" s="18">
        <v>0</v>
      </c>
      <c r="L321" s="19">
        <f t="shared" si="16"/>
        <v>18677.04</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v>2307.2399999999998</v>
      </c>
      <c r="J323" s="18"/>
      <c r="K323" s="18"/>
      <c r="L323" s="19">
        <f t="shared" si="16"/>
        <v>2307.2399999999998</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14513</v>
      </c>
      <c r="I325" s="18">
        <v>0</v>
      </c>
      <c r="J325" s="18">
        <v>17920</v>
      </c>
      <c r="K325" s="18">
        <v>0</v>
      </c>
      <c r="L325" s="19">
        <f t="shared" si="16"/>
        <v>32433</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v>4950</v>
      </c>
      <c r="G327" s="18">
        <v>1399.39</v>
      </c>
      <c r="H327" s="18">
        <v>0</v>
      </c>
      <c r="I327" s="18">
        <v>0</v>
      </c>
      <c r="J327" s="18">
        <v>0</v>
      </c>
      <c r="K327" s="18"/>
      <c r="L327" s="19">
        <f>SUM(F327:K327)</f>
        <v>6349.39</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196729.68</v>
      </c>
      <c r="G329" s="42">
        <f t="shared" si="17"/>
        <v>47098.25</v>
      </c>
      <c r="H329" s="42">
        <f t="shared" si="17"/>
        <v>66545.5</v>
      </c>
      <c r="I329" s="42">
        <f t="shared" si="17"/>
        <v>3780.37</v>
      </c>
      <c r="J329" s="42">
        <f t="shared" si="17"/>
        <v>17920</v>
      </c>
      <c r="K329" s="42">
        <f t="shared" si="17"/>
        <v>0</v>
      </c>
      <c r="L329" s="41">
        <f t="shared" si="17"/>
        <v>332073.8</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196729.68</v>
      </c>
      <c r="G339" s="41">
        <f t="shared" si="20"/>
        <v>47098.25</v>
      </c>
      <c r="H339" s="41">
        <f t="shared" si="20"/>
        <v>66545.5</v>
      </c>
      <c r="I339" s="41">
        <f t="shared" si="20"/>
        <v>3780.37</v>
      </c>
      <c r="J339" s="41">
        <f t="shared" si="20"/>
        <v>17920</v>
      </c>
      <c r="K339" s="41">
        <f t="shared" si="20"/>
        <v>0</v>
      </c>
      <c r="L339" s="41">
        <f t="shared" si="20"/>
        <v>332073.8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196729.68</v>
      </c>
      <c r="G353" s="41">
        <f>G339</f>
        <v>47098.25</v>
      </c>
      <c r="H353" s="41">
        <f>H339</f>
        <v>66545.5</v>
      </c>
      <c r="I353" s="41">
        <f>I339</f>
        <v>3780.37</v>
      </c>
      <c r="J353" s="41">
        <f>J339</f>
        <v>17920</v>
      </c>
      <c r="K353" s="47">
        <f>K339+K352</f>
        <v>0</v>
      </c>
      <c r="L353" s="41">
        <f>L339+L352</f>
        <v>332073.8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v>152281.49</v>
      </c>
      <c r="G361" s="18">
        <v>58270.75</v>
      </c>
      <c r="H361" s="18">
        <f>363+41463.85</f>
        <v>41826.85</v>
      </c>
      <c r="I361" s="18">
        <v>152707.28</v>
      </c>
      <c r="J361" s="18">
        <v>4141.2299999999996</v>
      </c>
      <c r="K361" s="18">
        <v>10160.969999999999</v>
      </c>
      <c r="L361" s="19">
        <f>SUM(F361:K361)</f>
        <v>419388.56999999995</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152281.49</v>
      </c>
      <c r="G363" s="47">
        <f t="shared" si="22"/>
        <v>58270.75</v>
      </c>
      <c r="H363" s="47">
        <f t="shared" si="22"/>
        <v>41826.85</v>
      </c>
      <c r="I363" s="47">
        <f t="shared" si="22"/>
        <v>152707.28</v>
      </c>
      <c r="J363" s="47">
        <f t="shared" si="22"/>
        <v>4141.2299999999996</v>
      </c>
      <c r="K363" s="47">
        <f t="shared" si="22"/>
        <v>10160.969999999999</v>
      </c>
      <c r="L363" s="47">
        <f t="shared" si="22"/>
        <v>419388.56999999995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v>143770.1</v>
      </c>
      <c r="I368" s="56">
        <f>SUM(F368:H368)</f>
        <v>143770.1</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v>8937.18</v>
      </c>
      <c r="I369" s="56">
        <f>SUM(F369:H369)</f>
        <v>8937.18</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152707.28</v>
      </c>
      <c r="I370" s="47">
        <f>SUM(I368:I369)</f>
        <v>152707.28</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163000</v>
      </c>
      <c r="H397" s="18">
        <v>-7196.83</v>
      </c>
      <c r="I397" s="18"/>
      <c r="J397" s="24" t="s">
        <v>288</v>
      </c>
      <c r="K397" s="24" t="s">
        <v>288</v>
      </c>
      <c r="L397" s="56">
        <f t="shared" si="26"/>
        <v>155803.17000000001</v>
      </c>
      <c r="M397" s="8"/>
      <c r="N397" s="265"/>
    </row>
    <row r="398" spans="1:14" s="3" customFormat="1" ht="12.2" customHeight="1" x14ac:dyDescent="0.15">
      <c r="A398" s="79" t="s">
        <v>515</v>
      </c>
      <c r="B398" s="2" t="s">
        <v>381</v>
      </c>
      <c r="C398" s="6">
        <v>10</v>
      </c>
      <c r="D398" s="2" t="s">
        <v>432</v>
      </c>
      <c r="E398" s="6"/>
      <c r="F398" s="18"/>
      <c r="G398" s="18"/>
      <c r="H398" s="18">
        <v>-19016.47</v>
      </c>
      <c r="I398" s="18"/>
      <c r="J398" s="24" t="s">
        <v>288</v>
      </c>
      <c r="K398" s="24" t="s">
        <v>288</v>
      </c>
      <c r="L398" s="56">
        <f t="shared" si="26"/>
        <v>-19016.47</v>
      </c>
      <c r="M398" s="8"/>
      <c r="N398" s="265"/>
    </row>
    <row r="399" spans="1:14" s="3" customFormat="1" ht="12.2" customHeight="1" x14ac:dyDescent="0.15">
      <c r="A399" s="79" t="s">
        <v>558</v>
      </c>
      <c r="B399" s="2" t="s">
        <v>381</v>
      </c>
      <c r="C399" s="6">
        <v>11</v>
      </c>
      <c r="D399" s="2" t="s">
        <v>432</v>
      </c>
      <c r="E399" s="6"/>
      <c r="F399" s="18"/>
      <c r="G399" s="18"/>
      <c r="H399" s="18">
        <v>-762.65</v>
      </c>
      <c r="I399" s="18"/>
      <c r="J399" s="24" t="s">
        <v>288</v>
      </c>
      <c r="K399" s="24" t="s">
        <v>288</v>
      </c>
      <c r="L399" s="56">
        <f t="shared" si="26"/>
        <v>-762.65</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163000</v>
      </c>
      <c r="H402" s="47">
        <f>SUM(H396:H401)</f>
        <v>-26975.950000000004</v>
      </c>
      <c r="I402" s="47">
        <f>SUM(I396:I401)</f>
        <v>0</v>
      </c>
      <c r="J402" s="45" t="s">
        <v>288</v>
      </c>
      <c r="K402" s="45" t="s">
        <v>288</v>
      </c>
      <c r="L402" s="47">
        <f>SUM(L396:L401)</f>
        <v>136024.05000000002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163000</v>
      </c>
      <c r="H409" s="47">
        <f>H394+H402+H408</f>
        <v>-26975.950000000004</v>
      </c>
      <c r="I409" s="47">
        <f>I394+I402+I408</f>
        <v>0</v>
      </c>
      <c r="J409" s="24" t="s">
        <v>288</v>
      </c>
      <c r="K409" s="24" t="s">
        <v>288</v>
      </c>
      <c r="L409" s="47">
        <f>L394+L402+L408</f>
        <v>136024.05000000002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v>52587.360000000001</v>
      </c>
      <c r="I423" s="18"/>
      <c r="J423" s="18"/>
      <c r="K423" s="18"/>
      <c r="L423" s="56">
        <f t="shared" si="29"/>
        <v>52587.360000000001</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52587.360000000001</v>
      </c>
      <c r="I428" s="47">
        <f t="shared" si="30"/>
        <v>0</v>
      </c>
      <c r="J428" s="47">
        <f t="shared" si="30"/>
        <v>0</v>
      </c>
      <c r="K428" s="47">
        <f t="shared" si="30"/>
        <v>0</v>
      </c>
      <c r="L428" s="47">
        <f t="shared" si="30"/>
        <v>52587.360000000001</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52587.360000000001</v>
      </c>
      <c r="I435" s="47">
        <f t="shared" si="32"/>
        <v>0</v>
      </c>
      <c r="J435" s="47">
        <f t="shared" si="32"/>
        <v>0</v>
      </c>
      <c r="K435" s="47">
        <f t="shared" si="32"/>
        <v>0</v>
      </c>
      <c r="L435" s="47">
        <f t="shared" si="32"/>
        <v>52587.360000000001</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f>160193.51+1810.62</f>
        <v>162004.13</v>
      </c>
      <c r="I440" s="56">
        <f t="shared" ref="I440:I446" si="33">SUM(F440:H440)</f>
        <v>162004.13</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v>952398.23</v>
      </c>
      <c r="H442" s="18">
        <v>374.46</v>
      </c>
      <c r="I442" s="56">
        <f t="shared" si="33"/>
        <v>952772.69</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952398.23</v>
      </c>
      <c r="H447" s="13">
        <f>SUM(H440:H446)</f>
        <v>162378.59</v>
      </c>
      <c r="I447" s="13">
        <f>SUM(I440:I446)</f>
        <v>1114776.8199999998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v>52587.360000000001</v>
      </c>
      <c r="H449" s="18"/>
      <c r="I449" s="56">
        <f>SUM(F449:H449)</f>
        <v>52587.360000000001</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f>160193.51+1810.62</f>
        <v>162004.13</v>
      </c>
      <c r="I452" s="56">
        <f>SUM(F452:H452)</f>
        <v>162004.13</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52587.360000000001</v>
      </c>
      <c r="H453" s="72">
        <f>SUM(H449:H452)</f>
        <v>162004.13</v>
      </c>
      <c r="I453" s="72">
        <f>SUM(I449:I452)</f>
        <v>214591.49</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816374.18+136024.05-52587.36</f>
        <v>899810.87</v>
      </c>
      <c r="H460" s="18">
        <v>374.46</v>
      </c>
      <c r="I460" s="56">
        <f t="shared" si="34"/>
        <v>900185.33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899810.87</v>
      </c>
      <c r="H461" s="83">
        <f>SUM(H455:H460)</f>
        <v>374.46</v>
      </c>
      <c r="I461" s="83">
        <f>SUM(I455:I460)</f>
        <v>900185.33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952398.23</v>
      </c>
      <c r="H462" s="42">
        <f>H453+H461</f>
        <v>162378.59</v>
      </c>
      <c r="I462" s="42">
        <f>I453+I461</f>
        <v>1114776.8199999998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1456146.08</v>
      </c>
      <c r="G466" s="18">
        <v>0</v>
      </c>
      <c r="H466" s="18">
        <v>78223.179999999993</v>
      </c>
      <c r="I466" s="18">
        <v>0</v>
      </c>
      <c r="J466" s="18">
        <v>816748.64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18944897.859999999</v>
      </c>
      <c r="G469" s="18">
        <f t="shared" ref="G469:J469" si="35">G194</f>
        <v>419388.57</v>
      </c>
      <c r="H469" s="18">
        <f t="shared" si="35"/>
        <v>437568.05</v>
      </c>
      <c r="I469" s="18">
        <f t="shared" si="35"/>
        <v>0</v>
      </c>
      <c r="J469" s="18">
        <f t="shared" si="35"/>
        <v>136024.04999999999</v>
      </c>
      <c r="K469" s="24" t="s">
        <v>288</v>
      </c>
      <c r="L469" s="24" t="s">
        <v>288</v>
      </c>
      <c r="N469" s="264"/>
    </row>
    <row r="470" spans="1:14" s="52" customFormat="1" ht="12.2" customHeight="1" x14ac:dyDescent="0.2">
      <c r="A470" s="93" t="s">
        <v>611</v>
      </c>
      <c r="B470" s="75">
        <v>19</v>
      </c>
      <c r="C470" s="80">
        <v>3</v>
      </c>
      <c r="D470" s="2" t="s">
        <v>432</v>
      </c>
      <c r="E470" s="80"/>
      <c r="F470" s="18">
        <v>786.13</v>
      </c>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18945683.989999998</v>
      </c>
      <c r="G471" s="53">
        <f>SUM(G469:G470)</f>
        <v>419388.57</v>
      </c>
      <c r="H471" s="53">
        <f>SUM(H469:H470)</f>
        <v>437568.05</v>
      </c>
      <c r="I471" s="53">
        <f>SUM(I469:I470)</f>
        <v>0</v>
      </c>
      <c r="J471" s="53">
        <f>SUM(J469:J470)</f>
        <v>136024.04999999999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18976443.009999998</v>
      </c>
      <c r="G473" s="18">
        <f>L363</f>
        <v>419388.56999999995</v>
      </c>
      <c r="H473" s="18">
        <f>L329</f>
        <v>332073.8</v>
      </c>
      <c r="I473" s="18">
        <f>L383</f>
        <v>0</v>
      </c>
      <c r="J473" s="18">
        <f>L435</f>
        <v>52587.360000000001</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18976443.009999998</v>
      </c>
      <c r="G475" s="53">
        <f>SUM(G473:G474)</f>
        <v>419388.56999999995</v>
      </c>
      <c r="H475" s="53">
        <f>SUM(H473:H474)</f>
        <v>332073.8</v>
      </c>
      <c r="I475" s="53">
        <f>SUM(I473:I474)</f>
        <v>0</v>
      </c>
      <c r="J475" s="53">
        <f>SUM(J473:J474)</f>
        <v>52587.360000000001</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1425387.0600000024</v>
      </c>
      <c r="G477" s="53">
        <f>(G466+G471)- G475</f>
        <v>0</v>
      </c>
      <c r="H477" s="53">
        <f>(H466+H471)- H475</f>
        <v>183717.43</v>
      </c>
      <c r="I477" s="53">
        <f>(I466+I471)- I475</f>
        <v>0</v>
      </c>
      <c r="J477" s="53">
        <f>(J466+J471)- J475</f>
        <v>900185.33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1802</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6"/>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6"/>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6"/>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6"/>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v>1762311.29</v>
      </c>
      <c r="G524" s="18">
        <v>956790.2</v>
      </c>
      <c r="H524" s="18">
        <f>796231.01-105-337.38-41506.39+1087.5</f>
        <v>755369.74</v>
      </c>
      <c r="I524" s="18">
        <f>10506.38-57.64+706.31</f>
        <v>11155.05</v>
      </c>
      <c r="J524" s="18">
        <v>0</v>
      </c>
      <c r="K524" s="18">
        <v>120</v>
      </c>
      <c r="L524" s="88">
        <f>SUM(F524:K524)</f>
        <v>3485746.2800000003</v>
      </c>
      <c r="N524" s="264"/>
    </row>
    <row r="525" spans="1:14" s="52" customFormat="1" ht="12.2" customHeight="1" thickTop="1" x14ac:dyDescent="0.2">
      <c r="A525" s="139" t="s">
        <v>63</v>
      </c>
      <c r="B525" s="107">
        <v>21</v>
      </c>
      <c r="C525" s="194">
        <v>4</v>
      </c>
      <c r="D525" s="195" t="s">
        <v>432</v>
      </c>
      <c r="E525" s="194"/>
      <c r="F525" s="108">
        <f>SUM(F522:F524)</f>
        <v>1762311.29</v>
      </c>
      <c r="G525" s="108">
        <f t="shared" ref="G525:L525" si="37">SUM(G522:G524)</f>
        <v>956790.2</v>
      </c>
      <c r="H525" s="108">
        <f t="shared" si="37"/>
        <v>755369.74</v>
      </c>
      <c r="I525" s="108">
        <f t="shared" si="37"/>
        <v>11155.05</v>
      </c>
      <c r="J525" s="108">
        <f t="shared" si="37"/>
        <v>0</v>
      </c>
      <c r="K525" s="108">
        <f t="shared" si="37"/>
        <v>120</v>
      </c>
      <c r="L525" s="89">
        <f t="shared" si="37"/>
        <v>3485746.2800000003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v>379786.01</v>
      </c>
      <c r="G529" s="18">
        <v>192617.52</v>
      </c>
      <c r="H529" s="18">
        <v>245197.67</v>
      </c>
      <c r="I529" s="18">
        <v>5332.96</v>
      </c>
      <c r="J529" s="18">
        <v>0</v>
      </c>
      <c r="K529" s="18">
        <v>0</v>
      </c>
      <c r="L529" s="88">
        <f>SUM(F529:K529)</f>
        <v>822934.16</v>
      </c>
      <c r="M529" s="8"/>
      <c r="N529" s="265"/>
    </row>
    <row r="530" spans="1:14" s="3" customFormat="1" ht="12.2" customHeight="1" thickTop="1" x14ac:dyDescent="0.15">
      <c r="A530" s="139" t="s">
        <v>65</v>
      </c>
      <c r="B530" s="107">
        <v>21</v>
      </c>
      <c r="C530" s="107">
        <v>8</v>
      </c>
      <c r="D530" s="158" t="s">
        <v>432</v>
      </c>
      <c r="E530" s="107"/>
      <c r="F530" s="89">
        <f>SUM(F527:F529)</f>
        <v>379786.01</v>
      </c>
      <c r="G530" s="89">
        <f t="shared" ref="G530:L530" si="38">SUM(G527:G529)</f>
        <v>192617.52</v>
      </c>
      <c r="H530" s="89">
        <f t="shared" si="38"/>
        <v>245197.67</v>
      </c>
      <c r="I530" s="89">
        <f t="shared" si="38"/>
        <v>5332.96</v>
      </c>
      <c r="J530" s="89">
        <f t="shared" si="38"/>
        <v>0</v>
      </c>
      <c r="K530" s="89">
        <f t="shared" si="38"/>
        <v>0</v>
      </c>
      <c r="L530" s="89">
        <f t="shared" si="38"/>
        <v>822934.16</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153651.54</v>
      </c>
      <c r="G534" s="18">
        <v>74561.69</v>
      </c>
      <c r="H534" s="18">
        <v>20417.77</v>
      </c>
      <c r="I534" s="18">
        <v>545.16</v>
      </c>
      <c r="J534" s="18"/>
      <c r="K534" s="18"/>
      <c r="L534" s="88">
        <f>SUM(F534:K534)</f>
        <v>249176.16</v>
      </c>
      <c r="M534" s="8"/>
      <c r="N534" s="265"/>
    </row>
    <row r="535" spans="1:14" s="3" customFormat="1" ht="12.2" customHeight="1" thickTop="1" x14ac:dyDescent="0.15">
      <c r="A535" s="139" t="s">
        <v>67</v>
      </c>
      <c r="B535" s="107">
        <v>21</v>
      </c>
      <c r="C535" s="107">
        <v>12</v>
      </c>
      <c r="D535" s="158" t="s">
        <v>432</v>
      </c>
      <c r="E535" s="107"/>
      <c r="F535" s="89">
        <f>SUM(F532:F534)</f>
        <v>153651.54</v>
      </c>
      <c r="G535" s="89">
        <f t="shared" ref="G535:L535" si="39">SUM(G532:G534)</f>
        <v>74561.69</v>
      </c>
      <c r="H535" s="89">
        <f t="shared" si="39"/>
        <v>20417.77</v>
      </c>
      <c r="I535" s="89">
        <f t="shared" si="39"/>
        <v>545.16</v>
      </c>
      <c r="J535" s="89">
        <f t="shared" si="39"/>
        <v>0</v>
      </c>
      <c r="K535" s="89">
        <f t="shared" si="39"/>
        <v>0</v>
      </c>
      <c r="L535" s="89">
        <f t="shared" si="39"/>
        <v>249176.16</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v>0</v>
      </c>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v>6155.25</v>
      </c>
      <c r="G544" s="18">
        <v>953.85</v>
      </c>
      <c r="H544" s="18">
        <v>146521.51</v>
      </c>
      <c r="I544" s="18"/>
      <c r="J544" s="18">
        <v>32339</v>
      </c>
      <c r="K544" s="18"/>
      <c r="L544" s="88">
        <f>SUM(F544:K544)</f>
        <v>185969.61000000002</v>
      </c>
      <c r="M544" s="8"/>
      <c r="N544" s="265"/>
    </row>
    <row r="545" spans="1:14" s="3" customFormat="1" ht="12.2" customHeight="1" thickTop="1" thickBot="1" x14ac:dyDescent="0.2">
      <c r="A545" s="130" t="s">
        <v>71</v>
      </c>
      <c r="B545" s="190">
        <v>21</v>
      </c>
      <c r="C545" s="190">
        <v>20</v>
      </c>
      <c r="D545" s="191" t="s">
        <v>432</v>
      </c>
      <c r="E545" s="190"/>
      <c r="F545" s="192">
        <f>SUM(F542:F544)</f>
        <v>6155.25</v>
      </c>
      <c r="G545" s="192">
        <f t="shared" ref="G545:L545" si="41">SUM(G542:G544)</f>
        <v>953.85</v>
      </c>
      <c r="H545" s="192">
        <f t="shared" si="41"/>
        <v>146521.51</v>
      </c>
      <c r="I545" s="192">
        <f t="shared" si="41"/>
        <v>0</v>
      </c>
      <c r="J545" s="192">
        <f t="shared" si="41"/>
        <v>32339</v>
      </c>
      <c r="K545" s="192">
        <f t="shared" si="41"/>
        <v>0</v>
      </c>
      <c r="L545" s="192">
        <f t="shared" si="41"/>
        <v>185969.61000000002</v>
      </c>
      <c r="M545" s="8"/>
      <c r="N545" s="265"/>
    </row>
    <row r="546" spans="1:14" s="3" customFormat="1" ht="12.2" customHeight="1" thickTop="1" x14ac:dyDescent="0.15">
      <c r="A546" s="98" t="s">
        <v>72</v>
      </c>
      <c r="B546" s="107">
        <v>21</v>
      </c>
      <c r="C546" s="107">
        <v>21</v>
      </c>
      <c r="D546" s="158" t="s">
        <v>432</v>
      </c>
      <c r="E546" s="107"/>
      <c r="F546" s="89">
        <f>F525+F530+F535+F540+F545</f>
        <v>2301904.09</v>
      </c>
      <c r="G546" s="89">
        <f t="shared" ref="G546:L546" si="42">G525+G530+G535+G540+G545</f>
        <v>1224923.26</v>
      </c>
      <c r="H546" s="89">
        <f t="shared" si="42"/>
        <v>1167506.69</v>
      </c>
      <c r="I546" s="89">
        <f t="shared" si="42"/>
        <v>17033.169999999998</v>
      </c>
      <c r="J546" s="89">
        <f t="shared" si="42"/>
        <v>32339</v>
      </c>
      <c r="K546" s="89">
        <f t="shared" si="42"/>
        <v>120</v>
      </c>
      <c r="L546" s="89">
        <f t="shared" si="42"/>
        <v>4743826.2100000009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3485746.2800000003</v>
      </c>
      <c r="G552" s="87">
        <f>L529</f>
        <v>822934.16</v>
      </c>
      <c r="H552" s="87">
        <f>L534</f>
        <v>249176.16</v>
      </c>
      <c r="I552" s="87">
        <f>L539</f>
        <v>0</v>
      </c>
      <c r="J552" s="87">
        <f>L544</f>
        <v>185969.61000000002</v>
      </c>
      <c r="K552" s="87">
        <f>SUM(F552:J552)</f>
        <v>4743826.2100000009</v>
      </c>
      <c r="L552" s="24" t="s">
        <v>288</v>
      </c>
      <c r="M552" s="8"/>
      <c r="N552" s="265"/>
    </row>
    <row r="553" spans="1:14" s="3" customFormat="1" ht="12.2" customHeight="1" thickTop="1" x14ac:dyDescent="0.15">
      <c r="A553" s="172" t="s">
        <v>340</v>
      </c>
      <c r="B553" s="44">
        <v>21</v>
      </c>
      <c r="C553" s="44">
        <v>25</v>
      </c>
      <c r="D553" s="39" t="s">
        <v>432</v>
      </c>
      <c r="E553" s="44"/>
      <c r="F553" s="89">
        <f t="shared" ref="F553:K553" si="43">SUM(F550:F552)</f>
        <v>3485746.2800000003</v>
      </c>
      <c r="G553" s="89">
        <f t="shared" si="43"/>
        <v>822934.16</v>
      </c>
      <c r="H553" s="89">
        <f t="shared" si="43"/>
        <v>249176.16</v>
      </c>
      <c r="I553" s="89">
        <f t="shared" si="43"/>
        <v>0</v>
      </c>
      <c r="J553" s="89">
        <f t="shared" si="43"/>
        <v>185969.61000000002</v>
      </c>
      <c r="K553" s="89">
        <f t="shared" si="43"/>
        <v>4743826.2100000009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v>41948.77</v>
      </c>
      <c r="I565" s="18">
        <v>57.64</v>
      </c>
      <c r="J565" s="18"/>
      <c r="K565" s="18"/>
      <c r="L565" s="88">
        <f>SUM(F565:K565)</f>
        <v>42006.409999999996</v>
      </c>
      <c r="M565" s="8"/>
      <c r="N565" s="265"/>
    </row>
    <row r="566" spans="1:14" s="3" customFormat="1" ht="12.2" customHeight="1" thickTop="1" x14ac:dyDescent="0.15">
      <c r="A566" s="139" t="s">
        <v>65</v>
      </c>
      <c r="B566" s="107">
        <v>22</v>
      </c>
      <c r="C566" s="107">
        <v>8</v>
      </c>
      <c r="D566" s="195" t="s">
        <v>432</v>
      </c>
      <c r="E566" s="107"/>
      <c r="F566" s="89">
        <f t="shared" ref="F566:L566" si="45">SUM(F563:F565)</f>
        <v>0</v>
      </c>
      <c r="G566" s="89">
        <f t="shared" si="45"/>
        <v>0</v>
      </c>
      <c r="H566" s="89">
        <f t="shared" si="45"/>
        <v>41948.77</v>
      </c>
      <c r="I566" s="89">
        <f t="shared" si="45"/>
        <v>57.64</v>
      </c>
      <c r="J566" s="89">
        <f t="shared" si="45"/>
        <v>0</v>
      </c>
      <c r="K566" s="89">
        <f t="shared" si="45"/>
        <v>0</v>
      </c>
      <c r="L566" s="89">
        <f t="shared" si="45"/>
        <v>42006.409999999996</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6">SUM(G568:G570)</f>
        <v>0</v>
      </c>
      <c r="H571" s="192">
        <f t="shared" si="46"/>
        <v>0</v>
      </c>
      <c r="I571" s="192">
        <f t="shared" si="46"/>
        <v>0</v>
      </c>
      <c r="J571" s="192">
        <f t="shared" si="46"/>
        <v>0</v>
      </c>
      <c r="K571" s="192">
        <f t="shared" si="46"/>
        <v>0</v>
      </c>
      <c r="L571" s="192">
        <f t="shared" si="46"/>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41948.77</v>
      </c>
      <c r="I572" s="89">
        <f t="shared" si="47"/>
        <v>57.64</v>
      </c>
      <c r="J572" s="89">
        <f t="shared" si="47"/>
        <v>0</v>
      </c>
      <c r="K572" s="89">
        <f t="shared" si="47"/>
        <v>0</v>
      </c>
      <c r="L572" s="89">
        <f t="shared" si="47"/>
        <v>42006.409999999996</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0</v>
      </c>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v>0</v>
      </c>
      <c r="I579" s="87">
        <f t="shared" si="48"/>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0</v>
      </c>
      <c r="I580" s="87">
        <f t="shared" si="48"/>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0</v>
      </c>
      <c r="I582" s="87">
        <f t="shared" si="48"/>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f>266781.91+1087.5</f>
        <v>267869.40999999997</v>
      </c>
      <c r="I583" s="87">
        <f t="shared" si="48"/>
        <v>267869.40999999997</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v>461093.07</v>
      </c>
      <c r="I584" s="87">
        <f t="shared" si="48"/>
        <v>461093.07</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f>15535.76-1087.5</f>
        <v>14448.26</v>
      </c>
      <c r="I585" s="87">
        <f t="shared" si="48"/>
        <v>14448.26</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c r="I592" s="18"/>
      <c r="J592" s="18">
        <f>254061.38+646.42+40.08+9.37</f>
        <v>254757.25</v>
      </c>
      <c r="K592" s="104">
        <f t="shared" ref="K592:K598" si="49">SUM(H592:J592)</f>
        <v>254757.25</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f>176549.98+6155.25+88.39+865.46+2310.53</f>
        <v>185969.61000000002</v>
      </c>
      <c r="K593" s="104">
        <f t="shared" si="49"/>
        <v>185969.61000000002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41116.949999999997</v>
      </c>
      <c r="K594" s="104">
        <f t="shared" si="49"/>
        <v>41116.949999999997</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v>105420.52</v>
      </c>
      <c r="K595" s="104">
        <f t="shared" si="49"/>
        <v>105420.52</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v>1848.03</v>
      </c>
      <c r="K596" s="104">
        <f t="shared" si="49"/>
        <v>1848.03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589112.36</v>
      </c>
      <c r="K599" s="108">
        <f>SUM(K592:K598)</f>
        <v>589112.36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v>293196.24</v>
      </c>
      <c r="K605" s="104">
        <f>SUM(H605:J605)</f>
        <v>293196.24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293196.24</v>
      </c>
      <c r="K606" s="108">
        <f>SUM(K603:K605)</f>
        <v>293196.24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v>22956.12</v>
      </c>
      <c r="G614" s="18">
        <v>5674.94</v>
      </c>
      <c r="H614" s="18"/>
      <c r="I614" s="18"/>
      <c r="J614" s="18"/>
      <c r="K614" s="18"/>
      <c r="L614" s="88">
        <f>SUM(F614:K614)</f>
        <v>28631.059999999998</v>
      </c>
      <c r="M614" s="8"/>
      <c r="N614" s="265"/>
    </row>
    <row r="615" spans="1:14" s="3" customFormat="1" ht="12.2" customHeight="1" thickTop="1" x14ac:dyDescent="0.15">
      <c r="A615" s="98" t="s">
        <v>340</v>
      </c>
      <c r="B615" s="107">
        <v>23</v>
      </c>
      <c r="C615" s="107">
        <v>16</v>
      </c>
      <c r="D615" s="39" t="s">
        <v>432</v>
      </c>
      <c r="E615" s="107"/>
      <c r="F615" s="108">
        <f t="shared" ref="F615:L615" si="50">SUM(F612:F614)</f>
        <v>22956.12</v>
      </c>
      <c r="G615" s="108">
        <f t="shared" si="50"/>
        <v>5674.94</v>
      </c>
      <c r="H615" s="108">
        <f t="shared" si="50"/>
        <v>0</v>
      </c>
      <c r="I615" s="108">
        <f t="shared" si="50"/>
        <v>0</v>
      </c>
      <c r="J615" s="108">
        <f t="shared" si="50"/>
        <v>0</v>
      </c>
      <c r="K615" s="108">
        <f t="shared" si="50"/>
        <v>0</v>
      </c>
      <c r="L615" s="89">
        <f t="shared" si="50"/>
        <v>28631.059999999998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2134455.6799999997</v>
      </c>
      <c r="H618" s="109">
        <f>SUM(F52)</f>
        <v>2134455.6800000002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87246.48</v>
      </c>
      <c r="H619" s="109">
        <f>SUM(G52)</f>
        <v>87246.479999999981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274872.51</v>
      </c>
      <c r="H620" s="109">
        <f>SUM(H52)</f>
        <v>274872.51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1114776.8199999998</v>
      </c>
      <c r="H622" s="109">
        <f>SUM(J52)</f>
        <v>1114776.8199999998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1425387.06</v>
      </c>
      <c r="H623" s="109">
        <f>F477</f>
        <v>1425387.0600000024</v>
      </c>
      <c r="I623" s="121" t="s">
        <v>101</v>
      </c>
      <c r="J623" s="109">
        <f t="shared" ref="J623:J656" si="51">G623-H623</f>
        <v>-2.3283064365386963E-9</v>
      </c>
      <c r="K623" s="109"/>
      <c r="L623" s="109"/>
      <c r="M623" s="8"/>
    </row>
    <row r="624" spans="1:14" s="3" customFormat="1" ht="12.2" customHeight="1" x14ac:dyDescent="0.15">
      <c r="A624" s="97"/>
      <c r="B624" s="105"/>
      <c r="C624" s="119"/>
      <c r="D624" s="119"/>
      <c r="E624" s="119"/>
      <c r="F624" s="119" t="s">
        <v>866</v>
      </c>
      <c r="G624" s="109">
        <f>G51</f>
        <v>-1.8189894035458565E-11</v>
      </c>
      <c r="H624" s="109">
        <f>G477</f>
        <v>0</v>
      </c>
      <c r="I624" s="121" t="s">
        <v>102</v>
      </c>
      <c r="J624" s="109">
        <f t="shared" si="51"/>
        <v>-1.8189894035458565E-11</v>
      </c>
      <c r="K624" s="109"/>
      <c r="L624" s="109"/>
      <c r="M624" s="8"/>
    </row>
    <row r="625" spans="1:13" s="3" customFormat="1" ht="12.2" customHeight="1" x14ac:dyDescent="0.15">
      <c r="A625" s="97"/>
      <c r="B625" s="105"/>
      <c r="C625" s="105"/>
      <c r="D625" s="105"/>
      <c r="E625" s="105"/>
      <c r="F625" s="120" t="s">
        <v>867</v>
      </c>
      <c r="G625" s="109">
        <f>H51</f>
        <v>183717.43</v>
      </c>
      <c r="H625" s="109">
        <f>H477</f>
        <v>183717.43</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900185.33</v>
      </c>
      <c r="H627" s="109">
        <f>J477</f>
        <v>900185.33</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18944897.859999999</v>
      </c>
      <c r="H628" s="104">
        <f>SUM(F469)</f>
        <v>18944897.859999999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419388.57</v>
      </c>
      <c r="H629" s="104">
        <f>SUM(G469)</f>
        <v>419388.57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437568.05</v>
      </c>
      <c r="H630" s="104">
        <f>SUM(H469)</f>
        <v>437568.05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136024.04999999999</v>
      </c>
      <c r="H632" s="104">
        <f>SUM(J469)</f>
        <v>136024.04999999999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18976443.009999998</v>
      </c>
      <c r="H633" s="104">
        <f>SUM(F473)</f>
        <v>18976443.009999998</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332073.8</v>
      </c>
      <c r="H634" s="104">
        <f>SUM(H473)</f>
        <v>332073.8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152707.28</v>
      </c>
      <c r="H635" s="104">
        <f>I370</f>
        <v>152707.28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419388.56999999995</v>
      </c>
      <c r="H636" s="104">
        <f>SUM(G473)</f>
        <v>419388.56999999995</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136024.05000000002</v>
      </c>
      <c r="H638" s="164">
        <f>SUM(J469)</f>
        <v>136024.04999999999</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52587.360000000001</v>
      </c>
      <c r="H639" s="164">
        <f>SUM(J473)</f>
        <v>52587.360000000001</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952398.23</v>
      </c>
      <c r="H641" s="104">
        <f>SUM(G462)</f>
        <v>952398.23</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162378.59</v>
      </c>
      <c r="H642" s="104">
        <f>SUM(H462)</f>
        <v>162378.59</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1114776.8199999998</v>
      </c>
      <c r="H643" s="104">
        <f>SUM(I462)</f>
        <v>1114776.8199999998</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-26975.95</v>
      </c>
      <c r="H645" s="104">
        <f>H409</f>
        <v>-26975.950000000004</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163000</v>
      </c>
      <c r="H646" s="104">
        <f>G409</f>
        <v>163000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136024.04999999999</v>
      </c>
      <c r="H647" s="104">
        <f>L409</f>
        <v>136024.05000000002</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589112.36</v>
      </c>
      <c r="H648" s="104">
        <f>L209+L227+L245</f>
        <v>589112.36</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293196.24</v>
      </c>
      <c r="H649" s="104">
        <f>(J258+J339)-(J256+J337)</f>
        <v>293196.24</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589112.36</v>
      </c>
      <c r="H652" s="104">
        <f>J599</f>
        <v>589112.36</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27240.31</v>
      </c>
      <c r="H653" s="104">
        <f>K264+K346</f>
        <v>27240.31</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85000</v>
      </c>
      <c r="H654" s="104">
        <f>K265</f>
        <v>85000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163000</v>
      </c>
      <c r="H656" s="104">
        <f>K267+K348</f>
        <v>163000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0</v>
      </c>
      <c r="G661" s="19">
        <f>(L230+L310+L360)</f>
        <v>0</v>
      </c>
      <c r="H661" s="19">
        <f>(L248+L329+L361)</f>
        <v>19231820.039999999</v>
      </c>
      <c r="I661" s="19">
        <f>SUM(F661:H661)</f>
        <v>19231820.039999999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169785.34</v>
      </c>
      <c r="I662" s="19">
        <f>SUM(F662:H662)</f>
        <v>169785.34</v>
      </c>
      <c r="J662"/>
      <c r="K662" s="13"/>
      <c r="L662" s="13"/>
      <c r="M662" s="8"/>
    </row>
    <row r="663" spans="1:13" s="3" customFormat="1" ht="12.2" customHeight="1" x14ac:dyDescent="0.2">
      <c r="A663" s="1" t="s">
        <v>128</v>
      </c>
      <c r="F663" s="19">
        <f>(L209+L288)-(J209+J288)</f>
        <v>0</v>
      </c>
      <c r="G663" s="19">
        <f>(L227+L307)-(J227+J307)</f>
        <v>0</v>
      </c>
      <c r="H663" s="19">
        <f>(L245+L326)-(J245+J326)</f>
        <v>556773.36</v>
      </c>
      <c r="I663" s="19">
        <f>SUM(F663:H663)</f>
        <v>556773.36</v>
      </c>
      <c r="J663"/>
      <c r="K663" s="13"/>
      <c r="L663" s="13"/>
      <c r="M663" s="9"/>
    </row>
    <row r="664" spans="1:13" s="3" customFormat="1" ht="12.2" customHeight="1" x14ac:dyDescent="0.15">
      <c r="A664" s="197" t="s">
        <v>129</v>
      </c>
      <c r="B664" s="169"/>
      <c r="C664" s="169"/>
      <c r="D664" s="169"/>
      <c r="E664" s="169"/>
      <c r="F664" s="198">
        <f>SUM(F576:F588)+SUM(H603:H605)+SUM(L612)</f>
        <v>0</v>
      </c>
      <c r="G664" s="198">
        <f>SUM(G576:G588)+SUM(I603:I605)+L613</f>
        <v>0</v>
      </c>
      <c r="H664" s="198">
        <f>SUM(H576:H588)+SUM(J603:J605)+L614</f>
        <v>1065238.04</v>
      </c>
      <c r="I664" s="19">
        <f>SUM(F664:H664)</f>
        <v>1065238.04</v>
      </c>
      <c r="J664" s="13"/>
      <c r="K664" s="13"/>
      <c r="L664" s="13"/>
      <c r="M664" s="9"/>
    </row>
    <row r="665" spans="1:13" s="3" customFormat="1" ht="12.2" customHeight="1" x14ac:dyDescent="0.15">
      <c r="A665" s="1" t="s">
        <v>130</v>
      </c>
      <c r="F665" s="19">
        <f>F661-SUM(F662:F664)</f>
        <v>0</v>
      </c>
      <c r="G665" s="19">
        <f>G661-SUM(G662:G664)</f>
        <v>0</v>
      </c>
      <c r="H665" s="19">
        <f>H661-SUM(H662:H664)</f>
        <v>17440023.300000001</v>
      </c>
      <c r="I665" s="19">
        <f>I661-SUM(I662:I664)</f>
        <v>17440023.300000001</v>
      </c>
      <c r="J665" s="13"/>
      <c r="K665" s="13"/>
      <c r="L665" s="13"/>
      <c r="M665" s="8"/>
    </row>
    <row r="666" spans="1:13" s="3" customFormat="1" ht="12.2" customHeight="1" x14ac:dyDescent="0.2">
      <c r="A666" s="1" t="s">
        <v>131</v>
      </c>
      <c r="F666" s="245"/>
      <c r="G666" s="246"/>
      <c r="H666" s="246">
        <v>701.41</v>
      </c>
      <c r="I666" s="19">
        <f>SUM(F666:H666)</f>
        <v>701.41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f>ROUND(H665/H666,2)</f>
        <v>24864.240000000002</v>
      </c>
      <c r="I668" s="19">
        <f>ROUND(I665/I666,2)</f>
        <v>24864.240000000002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-3.16</v>
      </c>
      <c r="I671" s="19">
        <f>SUM(F671:H671)</f>
        <v>-3.16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f>ROUND((H665+H670)/(H666+H671),2)</f>
        <v>24976.76</v>
      </c>
      <c r="I673" s="19">
        <f>ROUND((I665+I670)/(I666+I671),2)</f>
        <v>24976.76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17323.900000000001</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17323.900000000001</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Souhegan Cooperative</v>
      </c>
      <c r="C5" s="375"/>
      <c r="D5" s="375"/>
      <c r="E5" s="375"/>
      <c r="F5" s="375"/>
    </row>
    <row r="8" spans="1:9" ht="18" x14ac:dyDescent="0.25">
      <c r="A8" s="312" t="s">
        <v>1568</v>
      </c>
      <c r="F8" s="319" t="s">
        <v>1586</v>
      </c>
    </row>
    <row r="9" spans="1:9" ht="15" x14ac:dyDescent="0.2">
      <c r="A9" s="310" t="s">
        <v>1569</v>
      </c>
      <c r="B9" s="313">
        <f>'DOE25'!G97</f>
        <v>167193.15</v>
      </c>
      <c r="F9" s="310" t="s">
        <v>1582</v>
      </c>
    </row>
    <row r="10" spans="1:9" ht="15" x14ac:dyDescent="0.2">
      <c r="A10" s="310" t="s">
        <v>1570</v>
      </c>
      <c r="B10" s="313">
        <f>'DOE25'!G112-'DOE25'!G97</f>
        <v>2592.1900000000023</v>
      </c>
      <c r="F10" s="310" t="s">
        <v>1583</v>
      </c>
    </row>
    <row r="11" spans="1:9" ht="15" x14ac:dyDescent="0.2">
      <c r="A11" s="310" t="s">
        <v>1571</v>
      </c>
      <c r="B11" s="313">
        <f>'DOE25'!G140</f>
        <v>1884.73</v>
      </c>
      <c r="F11" s="310" t="s">
        <v>1584</v>
      </c>
    </row>
    <row r="12" spans="1:9" ht="15" x14ac:dyDescent="0.2">
      <c r="A12" s="310" t="s">
        <v>1572</v>
      </c>
      <c r="B12" s="313">
        <f>'DOE25'!G170</f>
        <v>220478.19</v>
      </c>
      <c r="F12" s="310" t="s">
        <v>1585</v>
      </c>
    </row>
    <row r="13" spans="1:9" ht="15" x14ac:dyDescent="0.2">
      <c r="A13" s="310" t="s">
        <v>1573</v>
      </c>
      <c r="B13" s="313">
        <f>'DOE25'!G193-'DOE25'!G180</f>
        <v>0</v>
      </c>
      <c r="F13" s="310" t="s">
        <v>1595</v>
      </c>
    </row>
    <row r="14" spans="1:9" ht="18" x14ac:dyDescent="0.25">
      <c r="A14" s="312" t="s">
        <v>732</v>
      </c>
      <c r="B14" s="314">
        <f>SUM(B9:B13)</f>
        <v>392148.26</v>
      </c>
    </row>
    <row r="16" spans="1:9" ht="18" x14ac:dyDescent="0.25">
      <c r="A16" s="312" t="s">
        <v>786</v>
      </c>
      <c r="F16" s="319" t="s">
        <v>1587</v>
      </c>
    </row>
    <row r="17" spans="1:6" ht="15" x14ac:dyDescent="0.2">
      <c r="A17" s="310" t="s">
        <v>1574</v>
      </c>
      <c r="B17" s="313">
        <f>'DOE25'!L363-'DOE25'!L362</f>
        <v>419388.56999999995</v>
      </c>
      <c r="F17" s="310" t="s">
        <v>1588</v>
      </c>
    </row>
    <row r="18" spans="1:6" ht="15" x14ac:dyDescent="0.2">
      <c r="A18" s="310" t="s">
        <v>1575</v>
      </c>
      <c r="B18" s="323"/>
      <c r="F18" s="319" t="s">
        <v>1612</v>
      </c>
    </row>
    <row r="19" spans="1:6" ht="18" x14ac:dyDescent="0.25">
      <c r="A19" s="312" t="s">
        <v>725</v>
      </c>
      <c r="B19" s="314">
        <f>SUM(B17:B18)</f>
        <v>419388.56999999995</v>
      </c>
    </row>
    <row r="21" spans="1:6" ht="18.75" thickBot="1" x14ac:dyDescent="0.3">
      <c r="A21" s="312" t="s">
        <v>1576</v>
      </c>
    </row>
    <row r="22" spans="1:6" ht="18.75" thickTop="1" x14ac:dyDescent="0.25">
      <c r="A22" s="312" t="s">
        <v>1577</v>
      </c>
      <c r="B22" s="318">
        <f>B14-B19</f>
        <v>-27240.309999999939</v>
      </c>
      <c r="F22" s="310" t="s">
        <v>1589</v>
      </c>
    </row>
    <row r="26" spans="1:6" ht="18" x14ac:dyDescent="0.25">
      <c r="A26" s="312" t="s">
        <v>186</v>
      </c>
    </row>
    <row r="27" spans="1:6" ht="15" x14ac:dyDescent="0.2">
      <c r="A27" s="310" t="s">
        <v>1578</v>
      </c>
      <c r="B27" s="313">
        <f>'DOE25'!G180</f>
        <v>27240.31</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6616.6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5"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Souhegan Cooperative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5066631.0199999996</v>
      </c>
      <c r="C9" s="228">
        <f>'DOE25'!G198+'DOE25'!G216+'DOE25'!G234+'DOE25'!G277+'DOE25'!G296+'DOE25'!G315</f>
        <v>2378176.9599999995</v>
      </c>
    </row>
    <row r="10" spans="1:3" x14ac:dyDescent="0.2">
      <c r="A10" t="s">
        <v>775</v>
      </c>
      <c r="B10" s="239">
        <v>4857380.5</v>
      </c>
      <c r="C10" s="239">
        <f>(B10/B9)*C9</f>
        <v>2279958.8810501695</v>
      </c>
    </row>
    <row r="11" spans="1:3" x14ac:dyDescent="0.2">
      <c r="A11" t="s">
        <v>776</v>
      </c>
      <c r="B11" s="239">
        <v>39717.129999999997</v>
      </c>
      <c r="C11" s="239">
        <f>(B11/B9)*C9</f>
        <v>18642.439741610546</v>
      </c>
    </row>
    <row r="12" spans="1:3" x14ac:dyDescent="0.2">
      <c r="A12" t="s">
        <v>777</v>
      </c>
      <c r="B12" s="239">
        <v>169533.39</v>
      </c>
      <c r="C12" s="239">
        <f>(B12/B9)*C9</f>
        <v>79575.639208219742</v>
      </c>
    </row>
    <row r="13" spans="1:3" x14ac:dyDescent="0.2">
      <c r="A13" t="str">
        <f>IF(B9=B13,IF(C9=C13,"Check Total OK","Check Total Error"),"Check Total Error")</f>
        <v>Check Total OK</v>
      </c>
      <c r="B13" s="230">
        <f>SUM(B10:B12)</f>
        <v>5066631.0199999996</v>
      </c>
      <c r="C13" s="230">
        <f>SUM(C10:C12)</f>
        <v>2378176.96</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1762311.29</v>
      </c>
      <c r="C18" s="228">
        <f>'DOE25'!G199+'DOE25'!G217+'DOE25'!G235+'DOE25'!G278+'DOE25'!G297+'DOE25'!G316</f>
        <v>956790.2</v>
      </c>
    </row>
    <row r="19" spans="1:3" x14ac:dyDescent="0.2">
      <c r="A19" t="s">
        <v>775</v>
      </c>
      <c r="B19" s="239">
        <v>872369.34</v>
      </c>
      <c r="C19" s="239">
        <f>(B19/B18)*C18</f>
        <v>473624.85846213234</v>
      </c>
    </row>
    <row r="20" spans="1:3" x14ac:dyDescent="0.2">
      <c r="A20" t="s">
        <v>776</v>
      </c>
      <c r="B20" s="239">
        <v>874452.69</v>
      </c>
      <c r="C20" s="239">
        <f>(B20/B18)*C18</f>
        <v>474755.946298022</v>
      </c>
    </row>
    <row r="21" spans="1:3" x14ac:dyDescent="0.2">
      <c r="A21" t="s">
        <v>777</v>
      </c>
      <c r="B21" s="239">
        <v>15489.26</v>
      </c>
      <c r="C21" s="239">
        <f>(B21/B18)*C18</f>
        <v>8409.3952398455094</v>
      </c>
    </row>
    <row r="22" spans="1:3" x14ac:dyDescent="0.2">
      <c r="A22" t="str">
        <f>IF(B18=B22,IF(C18=C22,"Check Total OK","Check Total Error"),"Check Total Error")</f>
        <v>Check Total OK</v>
      </c>
      <c r="B22" s="230">
        <f>SUM(B19:B21)</f>
        <v>1762311.2899999998</v>
      </c>
      <c r="C22" s="230">
        <f>SUM(C19:C21)</f>
        <v>956790.19999999984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386766.07</v>
      </c>
      <c r="C36" s="234">
        <f>'DOE25'!G201+'DOE25'!G219+'DOE25'!G237+'DOE25'!G280+'DOE25'!G299+'DOE25'!G318</f>
        <v>100296.55</v>
      </c>
    </row>
    <row r="37" spans="1:3" x14ac:dyDescent="0.2">
      <c r="A37" t="s">
        <v>775</v>
      </c>
      <c r="B37" s="239">
        <v>73323.789999999994</v>
      </c>
      <c r="C37" s="239">
        <f>(B37/B36)*C36</f>
        <v>19014.395885152229</v>
      </c>
    </row>
    <row r="38" spans="1:3" x14ac:dyDescent="0.2">
      <c r="A38" t="s">
        <v>776</v>
      </c>
      <c r="B38" s="239">
        <v>16625.78</v>
      </c>
      <c r="C38" s="239">
        <f>(B38/B36)*C36</f>
        <v>4311.4132919131198</v>
      </c>
    </row>
    <row r="39" spans="1:3" x14ac:dyDescent="0.2">
      <c r="A39" t="s">
        <v>777</v>
      </c>
      <c r="B39" s="239">
        <v>296816.5</v>
      </c>
      <c r="C39" s="239">
        <f>(B39/B36)*C36</f>
        <v>76970.740822934647</v>
      </c>
    </row>
    <row r="40" spans="1:3" x14ac:dyDescent="0.2">
      <c r="A40" t="str">
        <f>IF(B36=B40,IF(C36=C40,"Check Total OK","Check Total Error"),"Check Total Error")</f>
        <v>Check Total OK</v>
      </c>
      <c r="B40" s="230">
        <f>SUM(B37:B39)</f>
        <v>386766.07</v>
      </c>
      <c r="C40" s="230">
        <f>SUM(C37:C39)</f>
        <v>100296.54999999999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Souhegan Cooperative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11689928.169999998</v>
      </c>
      <c r="D5" s="20">
        <f>SUM('DOE25'!L198:L201)+SUM('DOE25'!L216:L219)+SUM('DOE25'!L234:L237)-F5-G5-H5</f>
        <v>11475416.719999999</v>
      </c>
      <c r="E5" s="242"/>
      <c r="F5" s="243"/>
      <c r="G5" s="53">
        <f>SUM('DOE25'!J198:J201)+SUM('DOE25'!J216:J219)+SUM('DOE25'!J234:J237)</f>
        <v>191577.45</v>
      </c>
      <c r="H5" s="53">
        <f>SUM('DOE25'!K198:K201)+SUM('DOE25'!K216:K219)+SUM('DOE25'!K234:K237)</f>
        <v>22934</v>
      </c>
      <c r="I5" s="255"/>
    </row>
    <row r="6" spans="1:9" x14ac:dyDescent="0.2">
      <c r="A6" s="32">
        <v>2100</v>
      </c>
      <c r="B6" t="s">
        <v>796</v>
      </c>
      <c r="C6" s="274">
        <f t="shared" si="0"/>
        <v>1810955.0699999998</v>
      </c>
      <c r="D6" s="20">
        <f>'DOE25'!L203+'DOE25'!L221+'DOE25'!L239-F6-G6-H6</f>
        <v>1810035.0699999998</v>
      </c>
      <c r="E6" s="242"/>
      <c r="F6" s="243"/>
      <c r="G6" s="53">
        <f>'DOE25'!J203+'DOE25'!J221+'DOE25'!J239</f>
        <v>0</v>
      </c>
      <c r="H6" s="53">
        <f>'DOE25'!K203+'DOE25'!K221+'DOE25'!K239</f>
        <v>920</v>
      </c>
      <c r="I6" s="255"/>
    </row>
    <row r="7" spans="1:9" x14ac:dyDescent="0.2">
      <c r="A7" s="32">
        <v>2200</v>
      </c>
      <c r="B7" t="s">
        <v>821</v>
      </c>
      <c r="C7" s="274">
        <f t="shared" si="0"/>
        <v>514114.96</v>
      </c>
      <c r="D7" s="20">
        <f>'DOE25'!L204+'DOE25'!L222+'DOE25'!L240-F7-G7-H7</f>
        <v>513792.96</v>
      </c>
      <c r="E7" s="242"/>
      <c r="F7" s="243"/>
      <c r="G7" s="53">
        <f>'DOE25'!J204+'DOE25'!J222+'DOE25'!J240</f>
        <v>0</v>
      </c>
      <c r="H7" s="53">
        <f>'DOE25'!K204+'DOE25'!K222+'DOE25'!K240</f>
        <v>322</v>
      </c>
      <c r="I7" s="255"/>
    </row>
    <row r="8" spans="1:9" x14ac:dyDescent="0.2">
      <c r="A8" s="32">
        <v>2300</v>
      </c>
      <c r="B8" t="s">
        <v>797</v>
      </c>
      <c r="C8" s="274">
        <f t="shared" si="0"/>
        <v>1131071.6799999997</v>
      </c>
      <c r="D8" s="242"/>
      <c r="E8" s="20">
        <f>'DOE25'!L205+'DOE25'!L223+'DOE25'!L241-F8-G8-H8-D9-D11</f>
        <v>1121857.2899999998</v>
      </c>
      <c r="F8" s="243"/>
      <c r="G8" s="53">
        <f>'DOE25'!J205+'DOE25'!J223+'DOE25'!J241</f>
        <v>0</v>
      </c>
      <c r="H8" s="53">
        <f>'DOE25'!K205+'DOE25'!K223+'DOE25'!K241</f>
        <v>9214.39</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770657.75000000012</v>
      </c>
      <c r="D12" s="20">
        <f>'DOE25'!L206+'DOE25'!L224+'DOE25'!L242-F12-G12-H12</f>
        <v>763362.01000000013</v>
      </c>
      <c r="E12" s="242"/>
      <c r="F12" s="243"/>
      <c r="G12" s="53">
        <f>'DOE25'!J206+'DOE25'!J224+'DOE25'!J242</f>
        <v>2480.7399999999998</v>
      </c>
      <c r="H12" s="53">
        <f>'DOE25'!K206+'DOE25'!K224+'DOE25'!K242</f>
        <v>4815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1701860.05</v>
      </c>
      <c r="D14" s="20">
        <f>'DOE25'!L208+'DOE25'!L226+'DOE25'!L244-F14-G14-H14</f>
        <v>1654213.75</v>
      </c>
      <c r="E14" s="242"/>
      <c r="F14" s="243"/>
      <c r="G14" s="53">
        <f>'DOE25'!J208+'DOE25'!J226+'DOE25'!J244</f>
        <v>47646.3</v>
      </c>
      <c r="H14" s="53">
        <f>'DOE25'!K208+'DOE25'!K226+'DOE25'!K244</f>
        <v>0</v>
      </c>
      <c r="I14" s="255"/>
    </row>
    <row r="15" spans="1:9" x14ac:dyDescent="0.2">
      <c r="A15" s="32">
        <v>2700</v>
      </c>
      <c r="B15" t="s">
        <v>799</v>
      </c>
      <c r="C15" s="274">
        <f t="shared" si="0"/>
        <v>589112.36</v>
      </c>
      <c r="D15" s="20">
        <f>'DOE25'!L209+'DOE25'!L227+'DOE25'!L245-F15-G15-H15</f>
        <v>556773.36</v>
      </c>
      <c r="E15" s="242"/>
      <c r="F15" s="243"/>
      <c r="G15" s="53">
        <f>'DOE25'!J209+'DOE25'!J227+'DOE25'!J245</f>
        <v>32339</v>
      </c>
      <c r="H15" s="53">
        <f>'DOE25'!K209+'DOE25'!K227+'DOE25'!K245</f>
        <v>0</v>
      </c>
      <c r="I15" s="255"/>
    </row>
    <row r="16" spans="1:9" x14ac:dyDescent="0.2">
      <c r="A16" s="32">
        <v>2800</v>
      </c>
      <c r="B16" t="s">
        <v>800</v>
      </c>
      <c r="C16" s="274">
        <f t="shared" si="0"/>
        <v>272657.63</v>
      </c>
      <c r="D16" s="242"/>
      <c r="E16" s="20">
        <f>'DOE25'!L210+'DOE25'!L228+'DOE25'!L246-F16-G16-H16</f>
        <v>271424.88</v>
      </c>
      <c r="F16" s="243"/>
      <c r="G16" s="53">
        <f>'DOE25'!J210+'DOE25'!J228+'DOE25'!J246</f>
        <v>1232.75</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220845.03</v>
      </c>
      <c r="D22" s="242"/>
      <c r="E22" s="242"/>
      <c r="F22" s="242"/>
      <c r="G22" s="53">
        <f>'DOE25'!L256+'DOE25'!L337</f>
        <v>220845.03</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275618.46999999997</v>
      </c>
      <c r="D29" s="282">
        <f>'DOE25'!L359+'DOE25'!L360+'DOE25'!L361-'DOE25'!I368-F29-G29-H29</f>
        <v>261316.27</v>
      </c>
      <c r="E29" s="242"/>
      <c r="F29" s="243"/>
      <c r="G29" s="53">
        <f>'DOE25'!J359+'DOE25'!J360+'DOE25'!J361</f>
        <v>4141.2299999999996</v>
      </c>
      <c r="H29" s="53">
        <f>'DOE25'!K359+'DOE25'!K360+'DOE25'!K361</f>
        <v>10160.969999999999</v>
      </c>
      <c r="I29" s="255"/>
    </row>
    <row r="30" spans="1:9" x14ac:dyDescent="0.2">
      <c r="A30" s="32"/>
      <c r="C30" s="275"/>
      <c r="D30" s="20"/>
      <c r="E30" s="279"/>
      <c r="F30" s="269"/>
      <c r="G30" s="53"/>
      <c r="H30" s="53"/>
      <c r="I30" s="255"/>
    </row>
    <row r="31" spans="1:9" x14ac:dyDescent="0.2">
      <c r="A31" s="32" t="s">
        <v>818</v>
      </c>
      <c r="B31" t="s">
        <v>817</v>
      </c>
      <c r="C31" s="274">
        <f>SUM(D31:I31)</f>
        <v>332073.8</v>
      </c>
      <c r="D31" s="20">
        <f>'DOE25'!L291+'DOE25'!L310+'DOE25'!L329+'DOE25'!L334+'DOE25'!L335+'DOE25'!L336-F31-G31-H31</f>
        <v>314153.8</v>
      </c>
      <c r="E31" s="242"/>
      <c r="F31" s="243"/>
      <c r="G31" s="53">
        <f>'DOE25'!J291+'DOE25'!J310+'DOE25'!J329+'DOE25'!J334+'DOE25'!J335+'DOE25'!J336</f>
        <v>17920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17349063.940000001</v>
      </c>
      <c r="E33" s="244">
        <f t="shared" si="1"/>
        <v>1393282.17</v>
      </c>
      <c r="F33" s="244">
        <f t="shared" si="1"/>
        <v>0</v>
      </c>
      <c r="G33" s="244">
        <f t="shared" si="1"/>
        <v>518182.5</v>
      </c>
      <c r="H33" s="244">
        <f t="shared" si="1"/>
        <v>48366.36</v>
      </c>
      <c r="I33" s="244">
        <f t="shared" si="1"/>
        <v>0</v>
      </c>
    </row>
    <row r="35" spans="1:9" ht="12" thickBot="1" x14ac:dyDescent="0.25">
      <c r="B35" s="250" t="s">
        <v>831</v>
      </c>
      <c r="D35" s="251">
        <f>E33</f>
        <v>1393282.17</v>
      </c>
      <c r="E35" s="247"/>
      <c r="F35" s="328" t="s">
        <v>1617</v>
      </c>
      <c r="G35" s="329"/>
      <c r="H35" s="329"/>
      <c r="I35" s="329"/>
    </row>
    <row r="36" spans="1:9" ht="12" thickTop="1" x14ac:dyDescent="0.2">
      <c r="B36" t="s">
        <v>810</v>
      </c>
      <c r="D36" s="20">
        <f>D33</f>
        <v>17349063.940000001</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42" sqref="D4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Souhegan Cooperative</v>
      </c>
      <c r="B2" s="126">
        <f>'DOE25'!B2</f>
        <v>493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0</v>
      </c>
      <c r="G4" s="299">
        <f>'DOE25'!L212+'DOE25'!L291</f>
        <v>0</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0</v>
      </c>
      <c r="E21" s="338">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18812431.469999999</v>
      </c>
      <c r="G36" s="299">
        <f>'DOE25'!L248+'DOE25'!L329</f>
        <v>18812431.469999999</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Souhegan Coop High School</v>
      </c>
      <c r="B38" s="300">
        <f>IFERROR(VLOOKUP(A38,'School Tables'!$Y$4:$Z$100,2,FALSE),"")</f>
        <v>26860</v>
      </c>
      <c r="C38" s="293" t="str">
        <f>IFERROR(INDEX('School Tables'!$X$4:$X$100,MATCH('School Level Expenditures'!A38,'School Tables'!$Y$4:$Y$100,0)),"")</f>
        <v>Souhegan Cooperative</v>
      </c>
      <c r="D38" s="290">
        <v>18416526.449999999</v>
      </c>
      <c r="E38" s="290">
        <v>395905.02</v>
      </c>
      <c r="F38" s="303">
        <f t="shared" si="2"/>
        <v>18812431.469999999</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18416526.449999999</v>
      </c>
      <c r="E43" s="339">
        <f>SUM(E37:E42)</f>
        <v>395905.02</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Souhegan Cooperative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191209.36</v>
      </c>
      <c r="D8" s="95">
        <f>'DOE25'!G9</f>
        <v>0</v>
      </c>
      <c r="E8" s="95">
        <f>'DOE25'!H9</f>
        <v>173417.43</v>
      </c>
      <c r="F8" s="95">
        <f>'DOE25'!I9</f>
        <v>0</v>
      </c>
      <c r="G8" s="95">
        <f>'DOE25'!J9</f>
        <v>162004.13</v>
      </c>
      <c r="H8" s="124">
        <f>SUM(C8:G8)</f>
        <v>526630.91999999993</v>
      </c>
      <c r="I8" s="124"/>
    </row>
    <row r="9" spans="1:9" x14ac:dyDescent="0.2">
      <c r="A9" s="1" t="s">
        <v>140</v>
      </c>
      <c r="B9" s="6">
        <v>110</v>
      </c>
      <c r="C9" s="95">
        <f>'DOE25'!F10</f>
        <v>1658717.8</v>
      </c>
      <c r="D9" s="95">
        <f>'DOE25'!G10</f>
        <v>0</v>
      </c>
      <c r="E9" s="95">
        <f>'DOE25'!H10</f>
        <v>0</v>
      </c>
      <c r="F9" s="95">
        <f>'DOE25'!I10</f>
        <v>0</v>
      </c>
      <c r="G9" s="95">
        <f>'DOE25'!J10</f>
        <v>0</v>
      </c>
      <c r="H9" s="124">
        <f t="shared" ref="H9:H18" si="0">SUM(C9:G9)</f>
        <v>1658717.8</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195837.7</v>
      </c>
      <c r="D11" s="95">
        <f>'DOE25'!G12</f>
        <v>0</v>
      </c>
      <c r="E11" s="95">
        <f>'DOE25'!H12</f>
        <v>0</v>
      </c>
      <c r="F11" s="95">
        <f>'DOE25'!I12</f>
        <v>0</v>
      </c>
      <c r="G11" s="95">
        <f>'DOE25'!J12</f>
        <v>952772.69</v>
      </c>
      <c r="H11" s="124">
        <f t="shared" si="0"/>
        <v>1148610.3899999999</v>
      </c>
      <c r="I11" s="124"/>
    </row>
    <row r="12" spans="1:9" x14ac:dyDescent="0.2">
      <c r="A12" s="1" t="s">
        <v>143</v>
      </c>
      <c r="B12" s="6">
        <v>140</v>
      </c>
      <c r="C12" s="95">
        <f>'DOE25'!F13</f>
        <v>58716.79</v>
      </c>
      <c r="D12" s="95">
        <f>'DOE25'!G13</f>
        <v>87228.93</v>
      </c>
      <c r="E12" s="95">
        <f>'DOE25'!H13</f>
        <v>101455.08</v>
      </c>
      <c r="F12" s="95">
        <f>'DOE25'!I13</f>
        <v>0</v>
      </c>
      <c r="G12" s="95">
        <f>'DOE25'!J13</f>
        <v>0</v>
      </c>
      <c r="H12" s="124">
        <f t="shared" si="0"/>
        <v>247400.8</v>
      </c>
      <c r="I12" s="124"/>
    </row>
    <row r="13" spans="1:9" x14ac:dyDescent="0.2">
      <c r="A13" s="1" t="s">
        <v>144</v>
      </c>
      <c r="B13" s="6">
        <v>150</v>
      </c>
      <c r="C13" s="95">
        <f>'DOE25'!F14</f>
        <v>28224.03</v>
      </c>
      <c r="D13" s="95">
        <f>'DOE25'!G14</f>
        <v>17.55</v>
      </c>
      <c r="E13" s="95">
        <f>'DOE25'!H14</f>
        <v>0</v>
      </c>
      <c r="F13" s="95">
        <f>'DOE25'!I14</f>
        <v>0</v>
      </c>
      <c r="G13" s="95">
        <f>'DOE25'!J14</f>
        <v>0</v>
      </c>
      <c r="H13" s="124">
        <f t="shared" si="0"/>
        <v>28241.579999999998</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1750</v>
      </c>
      <c r="D16" s="95">
        <f>'DOE25'!G17</f>
        <v>0</v>
      </c>
      <c r="E16" s="95">
        <f>'DOE25'!H17</f>
        <v>0</v>
      </c>
      <c r="F16" s="95">
        <f>'DOE25'!I17</f>
        <v>0</v>
      </c>
      <c r="G16" s="95">
        <f>'DOE25'!J17</f>
        <v>0</v>
      </c>
      <c r="H16" s="124">
        <f t="shared" si="0"/>
        <v>1750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2134455.6799999997</v>
      </c>
      <c r="D18" s="41">
        <f>SUM(D8:D17)</f>
        <v>87246.48</v>
      </c>
      <c r="E18" s="41">
        <f>SUM(E8:E17)</f>
        <v>274872.51</v>
      </c>
      <c r="F18" s="41">
        <f>SUM(F8:F17)</f>
        <v>0</v>
      </c>
      <c r="G18" s="41">
        <f>SUM(G8:G17)</f>
        <v>1114776.8199999998</v>
      </c>
      <c r="H18" s="41">
        <f t="shared" si="0"/>
        <v>3611351.4899999998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57438.879999999997</v>
      </c>
      <c r="E21" s="95">
        <f>'DOE25'!H22</f>
        <v>86185.919999999998</v>
      </c>
      <c r="F21" s="95">
        <f>'DOE25'!I22</f>
        <v>0</v>
      </c>
      <c r="G21" s="95">
        <f>'DOE25'!J22</f>
        <v>52587.360000000001</v>
      </c>
      <c r="H21" s="124">
        <f t="shared" ref="H21:H31" si="1">SUM(C21:G21)</f>
        <v>196212.15999999997</v>
      </c>
      <c r="I21" s="124"/>
    </row>
    <row r="22" spans="1:9" x14ac:dyDescent="0.2">
      <c r="A22" s="1" t="s">
        <v>151</v>
      </c>
      <c r="B22" s="6">
        <v>410</v>
      </c>
      <c r="C22" s="95">
        <f>'DOE25'!F23</f>
        <v>4752.5</v>
      </c>
      <c r="D22" s="95">
        <f>'DOE25'!G23</f>
        <v>0</v>
      </c>
      <c r="E22" s="95">
        <f>'DOE25'!H23</f>
        <v>0</v>
      </c>
      <c r="F22" s="95">
        <f>'DOE25'!I23</f>
        <v>0</v>
      </c>
      <c r="G22" s="95">
        <f>'DOE25'!J23</f>
        <v>0</v>
      </c>
      <c r="H22" s="124">
        <f t="shared" si="1"/>
        <v>4752.5</v>
      </c>
      <c r="I22" s="124"/>
    </row>
    <row r="23" spans="1:9" x14ac:dyDescent="0.2">
      <c r="A23" s="1" t="s">
        <v>152</v>
      </c>
      <c r="B23" s="6">
        <v>420</v>
      </c>
      <c r="C23" s="95">
        <f>'DOE25'!F24</f>
        <v>537784.88</v>
      </c>
      <c r="D23" s="95">
        <f>'DOE25'!G24</f>
        <v>4271.2299999999996</v>
      </c>
      <c r="E23" s="95">
        <f>'DOE25'!H24</f>
        <v>0</v>
      </c>
      <c r="F23" s="95">
        <f>'DOE25'!I24</f>
        <v>0</v>
      </c>
      <c r="G23" s="95">
        <f>'DOE25'!J24</f>
        <v>0</v>
      </c>
      <c r="H23" s="124">
        <f t="shared" si="1"/>
        <v>542056.11</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139599.59</v>
      </c>
      <c r="D27" s="95">
        <f>'DOE25'!G28</f>
        <v>0</v>
      </c>
      <c r="E27" s="95">
        <f>'DOE25'!H28</f>
        <v>0</v>
      </c>
      <c r="F27" s="95">
        <f>'DOE25'!I28</f>
        <v>0</v>
      </c>
      <c r="G27" s="24" t="s">
        <v>288</v>
      </c>
      <c r="H27" s="124">
        <f t="shared" si="1"/>
        <v>139599.59</v>
      </c>
      <c r="I27" s="124"/>
    </row>
    <row r="28" spans="1:9" x14ac:dyDescent="0.2">
      <c r="A28" s="1" t="s">
        <v>157</v>
      </c>
      <c r="B28" s="6">
        <v>470</v>
      </c>
      <c r="C28" s="95">
        <f>'DOE25'!F29</f>
        <v>25068.78</v>
      </c>
      <c r="D28" s="95">
        <f>'DOE25'!G29</f>
        <v>0</v>
      </c>
      <c r="E28" s="95">
        <f>'DOE25'!H29</f>
        <v>0</v>
      </c>
      <c r="F28" s="95">
        <f>'DOE25'!I29</f>
        <v>0</v>
      </c>
      <c r="G28" s="24" t="s">
        <v>288</v>
      </c>
      <c r="H28" s="124">
        <f t="shared" si="1"/>
        <v>25068.78</v>
      </c>
      <c r="I28" s="124"/>
    </row>
    <row r="29" spans="1:9" x14ac:dyDescent="0.2">
      <c r="A29" s="1" t="s">
        <v>158</v>
      </c>
      <c r="B29" s="6">
        <v>480</v>
      </c>
      <c r="C29" s="95">
        <f>'DOE25'!F30</f>
        <v>1862.87</v>
      </c>
      <c r="D29" s="95">
        <f>'DOE25'!G30</f>
        <v>25536.37</v>
      </c>
      <c r="E29" s="95">
        <f>'DOE25'!H30</f>
        <v>4969.16</v>
      </c>
      <c r="F29" s="95">
        <f>'DOE25'!I30</f>
        <v>0</v>
      </c>
      <c r="G29" s="24" t="s">
        <v>288</v>
      </c>
      <c r="H29" s="124">
        <f t="shared" si="1"/>
        <v>32368.399999999998</v>
      </c>
      <c r="I29" s="124"/>
    </row>
    <row r="30" spans="1:9" ht="12" thickBot="1" x14ac:dyDescent="0.25">
      <c r="A30" s="1" t="s">
        <v>159</v>
      </c>
      <c r="B30" s="71">
        <v>490</v>
      </c>
      <c r="C30" s="95">
        <f>'DOE25'!F31</f>
        <v>0</v>
      </c>
      <c r="D30" s="95">
        <f>'DOE25'!G31</f>
        <v>0</v>
      </c>
      <c r="E30" s="95">
        <f>'DOE25'!H31</f>
        <v>0</v>
      </c>
      <c r="F30" s="95">
        <f>'DOE25'!I31</f>
        <v>0</v>
      </c>
      <c r="G30" s="95">
        <f>'DOE25'!J31</f>
        <v>162004.13</v>
      </c>
      <c r="H30" s="124">
        <f t="shared" si="1"/>
        <v>162004.13</v>
      </c>
      <c r="I30" s="124"/>
    </row>
    <row r="31" spans="1:9" ht="12" thickTop="1" x14ac:dyDescent="0.2">
      <c r="A31" s="38" t="s">
        <v>160</v>
      </c>
      <c r="B31" s="2"/>
      <c r="C31" s="41">
        <f>SUM(C21:C30)</f>
        <v>709068.62</v>
      </c>
      <c r="D31" s="41">
        <f>SUM(D21:D30)</f>
        <v>87246.48</v>
      </c>
      <c r="E31" s="41">
        <f>SUM(E21:E30)</f>
        <v>91155.08</v>
      </c>
      <c r="F31" s="41">
        <f>SUM(F21:F30)</f>
        <v>0</v>
      </c>
      <c r="G31" s="41">
        <f>SUM(G21:G30)</f>
        <v>214591.49</v>
      </c>
      <c r="H31" s="41">
        <f t="shared" si="1"/>
        <v>1102061.67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85000</v>
      </c>
      <c r="D43" s="95">
        <f>'DOE25'!G44</f>
        <v>0</v>
      </c>
      <c r="E43" s="95">
        <f>'DOE25'!H44</f>
        <v>0</v>
      </c>
      <c r="F43" s="95">
        <f>'DOE25'!I44</f>
        <v>0</v>
      </c>
      <c r="G43" s="24" t="s">
        <v>288</v>
      </c>
      <c r="H43" s="124">
        <f t="shared" si="2"/>
        <v>85000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-4383.7700000000186</v>
      </c>
      <c r="E47" s="95">
        <f>'DOE25'!H48</f>
        <v>183717.43</v>
      </c>
      <c r="F47" s="95">
        <f>'DOE25'!I48</f>
        <v>0</v>
      </c>
      <c r="G47" s="95">
        <f>'DOE25'!J48</f>
        <v>900185.33</v>
      </c>
      <c r="H47" s="124">
        <f t="shared" si="2"/>
        <v>1079518.99</v>
      </c>
      <c r="I47" s="124"/>
    </row>
    <row r="48" spans="1:9" x14ac:dyDescent="0.2">
      <c r="A48" s="1" t="s">
        <v>882</v>
      </c>
      <c r="B48" s="6">
        <v>753</v>
      </c>
      <c r="C48" s="95">
        <f>'DOE25'!F49</f>
        <v>261543.32</v>
      </c>
      <c r="D48" s="95">
        <f>'DOE25'!G49</f>
        <v>4383.7700000000004</v>
      </c>
      <c r="E48" s="95">
        <f>'DOE25'!H49</f>
        <v>0</v>
      </c>
      <c r="F48" s="95">
        <f>'DOE25'!I49</f>
        <v>0</v>
      </c>
      <c r="G48" s="95">
        <f>'DOE25'!J49</f>
        <v>0</v>
      </c>
      <c r="H48" s="124">
        <f t="shared" si="2"/>
        <v>265927.09000000003</v>
      </c>
      <c r="I48" s="124"/>
    </row>
    <row r="49" spans="1:9" ht="12" thickBot="1" x14ac:dyDescent="0.25">
      <c r="A49" s="29" t="s">
        <v>883</v>
      </c>
      <c r="B49" s="71">
        <v>770</v>
      </c>
      <c r="C49" s="95">
        <f>'DOE25'!F50</f>
        <v>1078843.74</v>
      </c>
      <c r="D49" s="24" t="s">
        <v>288</v>
      </c>
      <c r="E49" s="24" t="s">
        <v>288</v>
      </c>
      <c r="F49" s="24" t="s">
        <v>288</v>
      </c>
      <c r="G49" s="24" t="s">
        <v>288</v>
      </c>
      <c r="H49" s="124">
        <f t="shared" si="2"/>
        <v>1078843.74</v>
      </c>
      <c r="I49" s="124"/>
    </row>
    <row r="50" spans="1:9" ht="12.75" thickTop="1" thickBot="1" x14ac:dyDescent="0.25">
      <c r="A50" s="38" t="s">
        <v>884</v>
      </c>
      <c r="B50" s="48"/>
      <c r="C50" s="41">
        <f>SUM(C34:C49)</f>
        <v>1425387.06</v>
      </c>
      <c r="D50" s="41">
        <f>SUM(D34:D49)</f>
        <v>-1.8189894035458565E-11</v>
      </c>
      <c r="E50" s="41">
        <f>SUM(E34:E49)</f>
        <v>183717.43</v>
      </c>
      <c r="F50" s="41">
        <f>SUM(F34:F49)</f>
        <v>0</v>
      </c>
      <c r="G50" s="41">
        <f>SUM(G34:G49)</f>
        <v>900185.33</v>
      </c>
      <c r="H50" s="41">
        <f t="shared" si="2"/>
        <v>2509289.8199999998</v>
      </c>
      <c r="I50" s="124"/>
    </row>
    <row r="51" spans="1:9" ht="12" thickTop="1" x14ac:dyDescent="0.2">
      <c r="A51" s="38" t="s">
        <v>885</v>
      </c>
      <c r="B51" s="2"/>
      <c r="C51" s="41">
        <f>C50+C31</f>
        <v>2134455.6800000002</v>
      </c>
      <c r="D51" s="41">
        <f>D50+D31</f>
        <v>87246.479999999981</v>
      </c>
      <c r="E51" s="41">
        <f>E50+E31</f>
        <v>274872.51</v>
      </c>
      <c r="F51" s="41">
        <f>F50+F31</f>
        <v>0</v>
      </c>
      <c r="G51" s="41">
        <f>G50+G31</f>
        <v>1114776.8199999998</v>
      </c>
      <c r="H51" s="41">
        <f t="shared" si="2"/>
        <v>3611351.4899999998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14850812</v>
      </c>
      <c r="D56" s="95">
        <f>'DOE25'!G60</f>
        <v>0</v>
      </c>
      <c r="E56" s="95">
        <f>'DOE25'!H60</f>
        <v>0</v>
      </c>
      <c r="F56" s="95">
        <f>'DOE25'!I60</f>
        <v>0</v>
      </c>
      <c r="G56" s="95">
        <f>'DOE25'!J60</f>
        <v>0</v>
      </c>
      <c r="H56" s="124">
        <f t="shared" ref="H56:H63" si="3">SUM(C56:G56)</f>
        <v>14850812</v>
      </c>
      <c r="I56"/>
    </row>
    <row r="57" spans="1:9" x14ac:dyDescent="0.2">
      <c r="A57" s="1" t="s">
        <v>164</v>
      </c>
      <c r="B57" s="6" t="s">
        <v>165</v>
      </c>
      <c r="C57" s="95">
        <f>'DOE25'!F79</f>
        <v>57935.89</v>
      </c>
      <c r="D57" s="24" t="s">
        <v>288</v>
      </c>
      <c r="E57" s="95">
        <f>'DOE25'!H79</f>
        <v>0</v>
      </c>
      <c r="F57" s="24" t="s">
        <v>288</v>
      </c>
      <c r="G57" s="24" t="s">
        <v>288</v>
      </c>
      <c r="H57" s="124">
        <f t="shared" si="3"/>
        <v>57935.89</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2558.64</v>
      </c>
      <c r="D59" s="95">
        <f>'DOE25'!G96</f>
        <v>0</v>
      </c>
      <c r="E59" s="95">
        <f>'DOE25'!H96</f>
        <v>96.2</v>
      </c>
      <c r="F59" s="95">
        <f>'DOE25'!I96</f>
        <v>0</v>
      </c>
      <c r="G59" s="95">
        <f>'DOE25'!J96</f>
        <v>-26975.95</v>
      </c>
      <c r="H59" s="124">
        <f t="shared" si="3"/>
        <v>-24321.11</v>
      </c>
      <c r="I59"/>
    </row>
    <row r="60" spans="1:9" x14ac:dyDescent="0.2">
      <c r="A60" s="1" t="s">
        <v>170</v>
      </c>
      <c r="B60" s="118" t="s">
        <v>171</v>
      </c>
      <c r="C60" s="24" t="s">
        <v>288</v>
      </c>
      <c r="D60" s="95">
        <f>'DOE25'!G97</f>
        <v>167193.15</v>
      </c>
      <c r="E60" s="24" t="s">
        <v>288</v>
      </c>
      <c r="F60" s="24" t="s">
        <v>288</v>
      </c>
      <c r="G60" s="24" t="s">
        <v>288</v>
      </c>
      <c r="H60" s="124">
        <f t="shared" si="3"/>
        <v>167193.15</v>
      </c>
      <c r="I60"/>
    </row>
    <row r="61" spans="1:9" ht="12" thickBot="1" x14ac:dyDescent="0.25">
      <c r="A61" s="1" t="s">
        <v>172</v>
      </c>
      <c r="B61" s="118" t="s">
        <v>173</v>
      </c>
      <c r="C61" s="95">
        <f>SUM('DOE25'!F98:F110)</f>
        <v>326494.18</v>
      </c>
      <c r="D61" s="95">
        <f>SUM('DOE25'!G98:G110)</f>
        <v>2592.19</v>
      </c>
      <c r="E61" s="95">
        <f>SUM('DOE25'!H98:H110)</f>
        <v>32462.720000000001</v>
      </c>
      <c r="F61" s="95">
        <f>SUM('DOE25'!I98:I110)</f>
        <v>0</v>
      </c>
      <c r="G61" s="95">
        <f>SUM('DOE25'!J98:J110)</f>
        <v>0</v>
      </c>
      <c r="H61" s="124">
        <f t="shared" si="3"/>
        <v>361549.08999999997</v>
      </c>
      <c r="I61"/>
    </row>
    <row r="62" spans="1:9" ht="12.75" thickTop="1" thickBot="1" x14ac:dyDescent="0.25">
      <c r="A62" s="29" t="s">
        <v>174</v>
      </c>
      <c r="B62" s="6"/>
      <c r="C62" s="130">
        <f>SUM(C57:C61)</f>
        <v>386988.70999999996</v>
      </c>
      <c r="D62" s="130">
        <f>SUM(D57:D61)</f>
        <v>169785.34</v>
      </c>
      <c r="E62" s="130">
        <f>SUM(E57:E61)</f>
        <v>32558.920000000002</v>
      </c>
      <c r="F62" s="130">
        <f>SUM(F57:F61)</f>
        <v>0</v>
      </c>
      <c r="G62" s="130">
        <f>SUM(G57:G61)</f>
        <v>-26975.95</v>
      </c>
      <c r="H62" s="124">
        <f t="shared" si="3"/>
        <v>562357.02</v>
      </c>
      <c r="I62"/>
    </row>
    <row r="63" spans="1:9" ht="12" thickTop="1" x14ac:dyDescent="0.2">
      <c r="A63" s="29" t="s">
        <v>175</v>
      </c>
      <c r="B63" s="6"/>
      <c r="C63" s="22">
        <f>C56+C62</f>
        <v>15237800.710000001</v>
      </c>
      <c r="D63" s="22">
        <f>D56+D62</f>
        <v>169785.34</v>
      </c>
      <c r="E63" s="22">
        <f>E56+E62</f>
        <v>32558.920000000002</v>
      </c>
      <c r="F63" s="22">
        <f>F56+F62</f>
        <v>0</v>
      </c>
      <c r="G63" s="22">
        <f>G56+G62</f>
        <v>-26975.95</v>
      </c>
      <c r="H63" s="124">
        <f t="shared" si="3"/>
        <v>15413169.020000001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1745889.44</v>
      </c>
      <c r="D66" s="24" t="s">
        <v>288</v>
      </c>
      <c r="E66" s="24" t="s">
        <v>288</v>
      </c>
      <c r="F66" s="24" t="s">
        <v>288</v>
      </c>
      <c r="G66" s="24" t="s">
        <v>288</v>
      </c>
      <c r="H66" s="124">
        <f t="shared" ref="H66:H81" si="4">SUM(C66:G66)</f>
        <v>1745889.44</v>
      </c>
      <c r="I66"/>
    </row>
    <row r="67" spans="1:9" x14ac:dyDescent="0.2">
      <c r="A67" s="1" t="s">
        <v>770</v>
      </c>
      <c r="B67" s="6">
        <v>3112</v>
      </c>
      <c r="C67" s="95">
        <f>'DOE25'!F118</f>
        <v>1391245</v>
      </c>
      <c r="D67" s="24"/>
      <c r="E67" s="24"/>
      <c r="F67" s="24"/>
      <c r="G67" s="24"/>
      <c r="H67" s="124">
        <f t="shared" si="4"/>
        <v>1391245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471.07</v>
      </c>
      <c r="D69" s="95">
        <f>'DOE25'!G120</f>
        <v>0</v>
      </c>
      <c r="E69" s="95">
        <f>'DOE25'!H120</f>
        <v>0</v>
      </c>
      <c r="F69" s="95">
        <f>'DOE25'!I120</f>
        <v>0</v>
      </c>
      <c r="G69" s="95">
        <f>'DOE25'!J120</f>
        <v>0</v>
      </c>
      <c r="H69" s="124">
        <f t="shared" si="4"/>
        <v>471.07</v>
      </c>
      <c r="I69"/>
    </row>
    <row r="70" spans="1:9" ht="12" thickTop="1" x14ac:dyDescent="0.2">
      <c r="A70" s="29" t="s">
        <v>252</v>
      </c>
      <c r="B70" s="2"/>
      <c r="C70" s="139">
        <f>SUM(C66:C69)</f>
        <v>3137605.51</v>
      </c>
      <c r="D70" s="139">
        <f>D69</f>
        <v>0</v>
      </c>
      <c r="E70" s="139">
        <f>E69</f>
        <v>0</v>
      </c>
      <c r="F70" s="139">
        <f>F69</f>
        <v>0</v>
      </c>
      <c r="G70" s="139">
        <f>G69</f>
        <v>0</v>
      </c>
      <c r="H70" s="124">
        <f t="shared" si="4"/>
        <v>3137605.51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490165.15</v>
      </c>
      <c r="D75" s="24" t="s">
        <v>288</v>
      </c>
      <c r="E75" s="24" t="s">
        <v>288</v>
      </c>
      <c r="F75" s="24" t="s">
        <v>288</v>
      </c>
      <c r="G75" s="24" t="s">
        <v>288</v>
      </c>
      <c r="H75" s="124">
        <f t="shared" si="4"/>
        <v>490165.15</v>
      </c>
      <c r="I75"/>
    </row>
    <row r="76" spans="1:9" x14ac:dyDescent="0.2">
      <c r="A76" s="1" t="s">
        <v>257</v>
      </c>
      <c r="B76" s="6" t="s">
        <v>179</v>
      </c>
      <c r="C76" s="95">
        <f>SUM('DOE25'!F127:F130)</f>
        <v>2650.6</v>
      </c>
      <c r="D76" s="24" t="s">
        <v>288</v>
      </c>
      <c r="E76" s="95">
        <f>SUM('DOE25'!H127:H130)</f>
        <v>0</v>
      </c>
      <c r="F76" s="95">
        <f>SUM('DOE25'!I127:I130)</f>
        <v>0</v>
      </c>
      <c r="G76" s="24" t="s">
        <v>288</v>
      </c>
      <c r="H76" s="124">
        <f t="shared" si="4"/>
        <v>2650.6</v>
      </c>
      <c r="I76"/>
    </row>
    <row r="77" spans="1:9" ht="12" thickBot="1" x14ac:dyDescent="0.25">
      <c r="A77" s="1" t="s">
        <v>258</v>
      </c>
      <c r="B77" s="6" t="s">
        <v>180</v>
      </c>
      <c r="C77" s="95">
        <f>SUM('DOE25'!F131:F135)</f>
        <v>0</v>
      </c>
      <c r="D77" s="95">
        <f>SUM('DOE25'!G131:G135)</f>
        <v>1884.73</v>
      </c>
      <c r="E77" s="95">
        <f>SUM('DOE25'!H131:H135)</f>
        <v>780</v>
      </c>
      <c r="F77" s="95">
        <f>SUM('DOE25'!I131:I135)</f>
        <v>0</v>
      </c>
      <c r="G77" s="95">
        <f>SUM('DOE25'!J131:J135)</f>
        <v>0</v>
      </c>
      <c r="H77" s="124">
        <f t="shared" si="4"/>
        <v>2664.73</v>
      </c>
      <c r="I77"/>
    </row>
    <row r="78" spans="1:9" ht="12.75" thickTop="1" thickBot="1" x14ac:dyDescent="0.25">
      <c r="A78" s="29" t="s">
        <v>259</v>
      </c>
      <c r="B78" s="6"/>
      <c r="C78" s="130">
        <f>SUM(C72:C77)</f>
        <v>492815.75</v>
      </c>
      <c r="D78" s="130">
        <f>SUM(D72:D77)</f>
        <v>1884.73</v>
      </c>
      <c r="E78" s="130">
        <f>SUM(E72:E77)</f>
        <v>780</v>
      </c>
      <c r="F78" s="130">
        <f>SUM(F72:F77)</f>
        <v>0</v>
      </c>
      <c r="G78" s="130">
        <f>SUM(G72:G77)</f>
        <v>0</v>
      </c>
      <c r="H78" s="124">
        <f t="shared" si="4"/>
        <v>495480.48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3630421.26</v>
      </c>
      <c r="D81" s="130">
        <f>SUM(D79:D80)+D78+D70</f>
        <v>1884.73</v>
      </c>
      <c r="E81" s="130">
        <f>SUM(E79:E80)+E78+E70</f>
        <v>780</v>
      </c>
      <c r="F81" s="130">
        <f>SUM(F79:F80)+F78+F70</f>
        <v>0</v>
      </c>
      <c r="G81" s="130">
        <f>SUM(G79:G80)+G78+G70</f>
        <v>0</v>
      </c>
      <c r="H81" s="130">
        <f t="shared" si="4"/>
        <v>3633085.9899999998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76675.89</v>
      </c>
      <c r="D88" s="326">
        <f>SUM('DOE25'!G153:G162)</f>
        <v>220478.19</v>
      </c>
      <c r="E88" s="326">
        <f>SUM('DOE25'!H153:H162)</f>
        <v>319229.13</v>
      </c>
      <c r="F88" s="326">
        <f>SUM('DOE25'!I153:I162)</f>
        <v>0</v>
      </c>
      <c r="G88" s="24" t="s">
        <v>288</v>
      </c>
      <c r="H88" s="124">
        <f t="shared" si="5"/>
        <v>616383.21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76675.89</v>
      </c>
      <c r="D91" s="131">
        <f>SUM(D85:D90)</f>
        <v>220478.19</v>
      </c>
      <c r="E91" s="131">
        <f>SUM(E85:E90)</f>
        <v>319229.13</v>
      </c>
      <c r="F91" s="131">
        <f>SUM(F85:F90)</f>
        <v>0</v>
      </c>
      <c r="G91" s="24" t="s">
        <v>288</v>
      </c>
      <c r="H91" s="124">
        <f t="shared" si="5"/>
        <v>616383.21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27240.31</v>
      </c>
      <c r="E96" s="95">
        <f>'DOE25'!H180</f>
        <v>85000</v>
      </c>
      <c r="F96" s="95">
        <f>'DOE25'!I180</f>
        <v>0</v>
      </c>
      <c r="G96" s="95">
        <f>'DOE25'!J180</f>
        <v>163000</v>
      </c>
      <c r="H96" s="124">
        <f t="shared" si="5"/>
        <v>275240.31</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27240.31</v>
      </c>
      <c r="E103" s="86">
        <f>SUM(E93:E102)</f>
        <v>85000</v>
      </c>
      <c r="F103" s="86">
        <f>SUM(F93:F102)</f>
        <v>0</v>
      </c>
      <c r="G103" s="86">
        <f>SUM(G93:G102)</f>
        <v>163000</v>
      </c>
      <c r="H103" s="86">
        <f t="shared" si="5"/>
        <v>275240.31</v>
      </c>
    </row>
    <row r="104" spans="1:8" ht="12.75" thickTop="1" thickBot="1" x14ac:dyDescent="0.25">
      <c r="A104" s="33" t="s">
        <v>761</v>
      </c>
      <c r="C104" s="86">
        <f>C63+C81+C91+C103</f>
        <v>18944897.859999999</v>
      </c>
      <c r="D104" s="86">
        <f>D63+D81+D91+D103</f>
        <v>419388.57</v>
      </c>
      <c r="E104" s="86">
        <f>E63+E81+E91+E103</f>
        <v>437568.05</v>
      </c>
      <c r="F104" s="86">
        <f>F63+F81+F91+F103</f>
        <v>0</v>
      </c>
      <c r="G104" s="86">
        <f>G63+G81+G103</f>
        <v>136024.04999999999</v>
      </c>
      <c r="H104" s="86">
        <f t="shared" si="5"/>
        <v>19937878.530000001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7661195.2499999991</v>
      </c>
      <c r="D109" s="24" t="s">
        <v>288</v>
      </c>
      <c r="E109" s="95">
        <f>('DOE25'!L277)+('DOE25'!L296)+('DOE25'!L315)</f>
        <v>18901.36</v>
      </c>
      <c r="F109" s="24" t="s">
        <v>288</v>
      </c>
      <c r="G109" s="24" t="s">
        <v>288</v>
      </c>
      <c r="H109" s="124">
        <f t="shared" ref="H109:H115" si="6">SUM(C109:G109)</f>
        <v>7680096.6099999994</v>
      </c>
    </row>
    <row r="110" spans="1:8" x14ac:dyDescent="0.2">
      <c r="A110" t="s">
        <v>198</v>
      </c>
      <c r="B110" s="32" t="s">
        <v>199</v>
      </c>
      <c r="C110" s="95">
        <f>('DOE25'!L199)+('DOE25'!L217)+('DOE25'!L235)</f>
        <v>3320508.31</v>
      </c>
      <c r="D110" s="24" t="s">
        <v>288</v>
      </c>
      <c r="E110" s="95">
        <f>('DOE25'!L278)+('DOE25'!L297)+('DOE25'!L316)</f>
        <v>207244.38</v>
      </c>
      <c r="F110" s="24" t="s">
        <v>288</v>
      </c>
      <c r="G110" s="24" t="s">
        <v>288</v>
      </c>
      <c r="H110" s="124">
        <f t="shared" si="6"/>
        <v>3527752.69</v>
      </c>
    </row>
    <row r="111" spans="1:8" x14ac:dyDescent="0.2">
      <c r="A111" t="s">
        <v>200</v>
      </c>
      <c r="B111" s="32" t="s">
        <v>165</v>
      </c>
      <c r="C111" s="95">
        <f>('DOE25'!L200)+('DOE25'!L218)+('DOE25'!L236)</f>
        <v>14448.26</v>
      </c>
      <c r="D111" s="24" t="s">
        <v>288</v>
      </c>
      <c r="E111" s="95">
        <f>('DOE25'!L279)+('DOE25'!L298)+('DOE25'!L317)</f>
        <v>0</v>
      </c>
      <c r="F111" s="24" t="s">
        <v>288</v>
      </c>
      <c r="G111" s="24" t="s">
        <v>288</v>
      </c>
      <c r="H111" s="124">
        <f t="shared" si="6"/>
        <v>14448.26</v>
      </c>
    </row>
    <row r="112" spans="1:8" x14ac:dyDescent="0.2">
      <c r="A112" t="s">
        <v>201</v>
      </c>
      <c r="B112" s="32" t="s">
        <v>167</v>
      </c>
      <c r="C112" s="95">
        <f>('DOE25'!L201)+('DOE25'!L219)+('DOE25'!L237)</f>
        <v>693776.35000000009</v>
      </c>
      <c r="D112" s="24" t="s">
        <v>288</v>
      </c>
      <c r="E112" s="95">
        <f>+('DOE25'!L280)+('DOE25'!L299)+('DOE25'!L318)</f>
        <v>13367.57</v>
      </c>
      <c r="F112" s="24" t="s">
        <v>288</v>
      </c>
      <c r="G112" s="24" t="s">
        <v>288</v>
      </c>
      <c r="H112" s="124">
        <f t="shared" si="6"/>
        <v>707143.92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11689928.169999998</v>
      </c>
      <c r="D115" s="86">
        <f>SUM(D109:D114)</f>
        <v>0</v>
      </c>
      <c r="E115" s="86">
        <f>SUM(E109:E114)</f>
        <v>239513.31</v>
      </c>
      <c r="F115" s="86">
        <f>SUM(F109:F114)</f>
        <v>0</v>
      </c>
      <c r="G115" s="86">
        <f>SUM(G109:G114)</f>
        <v>0</v>
      </c>
      <c r="H115" s="86">
        <f t="shared" si="6"/>
        <v>11929441.479999999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1810955.0699999998</v>
      </c>
      <c r="D118" s="24" t="s">
        <v>288</v>
      </c>
      <c r="E118" s="95">
        <f>+('DOE25'!L282)+('DOE25'!L301)+('DOE25'!L320)</f>
        <v>32793.82</v>
      </c>
      <c r="F118" s="24" t="s">
        <v>288</v>
      </c>
      <c r="G118" s="24" t="s">
        <v>288</v>
      </c>
      <c r="H118" s="124">
        <f t="shared" ref="H118:H145" si="7">SUM(C118:G118)</f>
        <v>1843748.89</v>
      </c>
    </row>
    <row r="119" spans="1:8" x14ac:dyDescent="0.2">
      <c r="A119" t="s">
        <v>208</v>
      </c>
      <c r="B119" s="32" t="s">
        <v>209</v>
      </c>
      <c r="C119" s="95">
        <f>('DOE25'!L204)+('DOE25'!L222)+('DOE25'!L240)</f>
        <v>514114.96</v>
      </c>
      <c r="D119" s="24" t="s">
        <v>288</v>
      </c>
      <c r="E119" s="95">
        <f>+('DOE25'!L283)+('DOE25'!L302)+('DOE25'!L321)</f>
        <v>18677.04</v>
      </c>
      <c r="F119" s="24" t="s">
        <v>288</v>
      </c>
      <c r="G119" s="24" t="s">
        <v>288</v>
      </c>
      <c r="H119" s="124">
        <f t="shared" si="7"/>
        <v>532792</v>
      </c>
    </row>
    <row r="120" spans="1:8" x14ac:dyDescent="0.2">
      <c r="A120" t="s">
        <v>210</v>
      </c>
      <c r="B120" s="32" t="s">
        <v>211</v>
      </c>
      <c r="C120" s="95">
        <f>('DOE25'!L205)+('DOE25'!L223)+('DOE25'!L241)</f>
        <v>1131071.6799999997</v>
      </c>
      <c r="D120" s="24" t="s">
        <v>288</v>
      </c>
      <c r="E120" s="95">
        <f>+('DOE25'!L284)+('DOE25'!L303)+('DOE25'!L322)</f>
        <v>0</v>
      </c>
      <c r="F120" s="24" t="s">
        <v>288</v>
      </c>
      <c r="G120" s="24" t="s">
        <v>288</v>
      </c>
      <c r="H120" s="124">
        <f t="shared" si="7"/>
        <v>1131071.6799999997</v>
      </c>
    </row>
    <row r="121" spans="1:8" x14ac:dyDescent="0.2">
      <c r="A121" t="s">
        <v>212</v>
      </c>
      <c r="B121" s="32" t="s">
        <v>213</v>
      </c>
      <c r="C121" s="95">
        <f>('DOE25'!L206)+('DOE25'!L224)+('DOE25'!L242)</f>
        <v>770657.75000000012</v>
      </c>
      <c r="D121" s="24" t="s">
        <v>288</v>
      </c>
      <c r="E121" s="95">
        <f>+('DOE25'!L285)+('DOE25'!L304)+('DOE25'!L323)</f>
        <v>2307.2399999999998</v>
      </c>
      <c r="F121" s="24" t="s">
        <v>288</v>
      </c>
      <c r="G121" s="24" t="s">
        <v>288</v>
      </c>
      <c r="H121" s="124">
        <f t="shared" si="7"/>
        <v>772964.99000000011</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1701860.05</v>
      </c>
      <c r="D123" s="24" t="s">
        <v>288</v>
      </c>
      <c r="E123" s="95">
        <f>+('DOE25'!L287)+('DOE25'!L306)+('DOE25'!L325)</f>
        <v>32433</v>
      </c>
      <c r="F123" s="24" t="s">
        <v>288</v>
      </c>
      <c r="G123" s="24" t="s">
        <v>288</v>
      </c>
      <c r="H123" s="124">
        <f t="shared" si="7"/>
        <v>1734293.05</v>
      </c>
    </row>
    <row r="124" spans="1:8" x14ac:dyDescent="0.2">
      <c r="A124" t="s">
        <v>218</v>
      </c>
      <c r="B124" s="32" t="s">
        <v>219</v>
      </c>
      <c r="C124" s="95">
        <f>('DOE25'!L209)+('DOE25'!L227)+('DOE25'!L245+'DOE25'!L255)</f>
        <v>589112.36</v>
      </c>
      <c r="D124" s="24" t="s">
        <v>288</v>
      </c>
      <c r="E124" s="95">
        <f>+('DOE25'!L288)+('DOE25'!L307)+('DOE25'!L326)</f>
        <v>0</v>
      </c>
      <c r="F124" s="24" t="s">
        <v>288</v>
      </c>
      <c r="G124" s="24" t="s">
        <v>288</v>
      </c>
      <c r="H124" s="124">
        <f t="shared" si="7"/>
        <v>589112.36</v>
      </c>
    </row>
    <row r="125" spans="1:8" x14ac:dyDescent="0.2">
      <c r="A125" t="s">
        <v>220</v>
      </c>
      <c r="B125" s="32" t="s">
        <v>221</v>
      </c>
      <c r="C125" s="95">
        <f>('DOE25'!L210)+('DOE25'!L228)+('DOE25'!L246)</f>
        <v>272657.63</v>
      </c>
      <c r="D125" s="24" t="s">
        <v>288</v>
      </c>
      <c r="E125" s="95">
        <f>+('DOE25'!L289)+('DOE25'!L308)+('DOE25'!L327)</f>
        <v>6349.39</v>
      </c>
      <c r="F125" s="24" t="s">
        <v>288</v>
      </c>
      <c r="G125" s="24" t="s">
        <v>288</v>
      </c>
      <c r="H125" s="124">
        <f t="shared" si="7"/>
        <v>279007.02</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419388.56999999995</v>
      </c>
      <c r="E127" s="24" t="s">
        <v>288</v>
      </c>
      <c r="F127" s="24" t="s">
        <v>288</v>
      </c>
      <c r="G127" s="24" t="s">
        <v>288</v>
      </c>
      <c r="H127" s="124">
        <f t="shared" si="7"/>
        <v>419388.56999999995</v>
      </c>
    </row>
    <row r="128" spans="1:8" ht="12.75" thickTop="1" thickBot="1" x14ac:dyDescent="0.25">
      <c r="A128" s="33" t="s">
        <v>226</v>
      </c>
      <c r="C128" s="86">
        <f>SUM(C118:C127)</f>
        <v>6790429.5</v>
      </c>
      <c r="D128" s="86">
        <f>SUM(D118:D127)</f>
        <v>419388.56999999995</v>
      </c>
      <c r="E128" s="86">
        <f>SUM(E118:E127)</f>
        <v>92560.49</v>
      </c>
      <c r="F128" s="86">
        <f>SUM(F118:F127)</f>
        <v>0</v>
      </c>
      <c r="G128" s="86">
        <f>SUM(G118:G127)</f>
        <v>0</v>
      </c>
      <c r="H128" s="86">
        <f t="shared" si="7"/>
        <v>7302378.5600000005</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220845.03</v>
      </c>
      <c r="D130" s="24" t="s">
        <v>288</v>
      </c>
      <c r="E130" s="129">
        <f>'DOE25'!L337</f>
        <v>0</v>
      </c>
      <c r="F130" s="129">
        <f>SUM('DOE25'!L375:'DOE25'!L381)</f>
        <v>0</v>
      </c>
      <c r="G130" s="24" t="s">
        <v>288</v>
      </c>
      <c r="H130" s="124">
        <f t="shared" si="7"/>
        <v>220845.03</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27240.31</v>
      </c>
      <c r="D135" s="24" t="s">
        <v>288</v>
      </c>
      <c r="E135" s="129">
        <f>'DOE25'!L346</f>
        <v>0</v>
      </c>
      <c r="F135" s="24" t="s">
        <v>288</v>
      </c>
      <c r="G135" s="24" t="s">
        <v>288</v>
      </c>
      <c r="H135" s="124">
        <f t="shared" si="7"/>
        <v>27240.31</v>
      </c>
    </row>
    <row r="136" spans="1:8" x14ac:dyDescent="0.2">
      <c r="A136" t="s">
        <v>235</v>
      </c>
      <c r="B136" s="32" t="s">
        <v>236</v>
      </c>
      <c r="C136" s="95">
        <f>'DOE25'!L265</f>
        <v>85000</v>
      </c>
      <c r="D136" s="24" t="s">
        <v>288</v>
      </c>
      <c r="E136" s="24" t="s">
        <v>288</v>
      </c>
      <c r="F136" s="24" t="s">
        <v>288</v>
      </c>
      <c r="G136" s="24" t="s">
        <v>288</v>
      </c>
      <c r="H136" s="124">
        <f t="shared" si="7"/>
        <v>85000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136024.05000000002</v>
      </c>
      <c r="D139" s="24" t="s">
        <v>288</v>
      </c>
      <c r="E139" s="24" t="s">
        <v>288</v>
      </c>
      <c r="F139" s="24" t="s">
        <v>288</v>
      </c>
      <c r="G139" s="24" t="s">
        <v>288</v>
      </c>
      <c r="H139" s="124">
        <f t="shared" si="7"/>
        <v>136024.05000000002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26975.949999999983</v>
      </c>
      <c r="D141" s="24" t="s">
        <v>288</v>
      </c>
      <c r="E141" s="24" t="s">
        <v>288</v>
      </c>
      <c r="F141" s="24" t="s">
        <v>288</v>
      </c>
      <c r="G141" s="24" t="s">
        <v>288</v>
      </c>
      <c r="H141" s="124">
        <f t="shared" si="7"/>
        <v>26975.949999999983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496085.33999999997</v>
      </c>
      <c r="D144" s="141">
        <f>SUM(D130:D143)</f>
        <v>0</v>
      </c>
      <c r="E144" s="141">
        <f>SUM(E130:E143)</f>
        <v>0</v>
      </c>
      <c r="F144" s="141">
        <f>SUM(F130:F143)</f>
        <v>0</v>
      </c>
      <c r="G144" s="141">
        <f>SUM(G130:G143)</f>
        <v>0</v>
      </c>
      <c r="H144" s="141">
        <f t="shared" si="7"/>
        <v>496085.33999999997</v>
      </c>
    </row>
    <row r="145" spans="1:9" ht="12.75" thickTop="1" thickBot="1" x14ac:dyDescent="0.25">
      <c r="A145" s="33" t="s">
        <v>244</v>
      </c>
      <c r="C145" s="86">
        <f>(C115+C128+C144)</f>
        <v>18976443.009999998</v>
      </c>
      <c r="D145" s="86">
        <f>(D115+D128+D144)</f>
        <v>419388.56999999995</v>
      </c>
      <c r="E145" s="86">
        <f>(E115+E128+E144)</f>
        <v>332073.8</v>
      </c>
      <c r="F145" s="86">
        <f>(F115+F128+F144)</f>
        <v>0</v>
      </c>
      <c r="G145" s="86">
        <f>(G115+G128+G144)</f>
        <v>0</v>
      </c>
      <c r="H145" s="86">
        <f t="shared" si="7"/>
        <v>19727905.379999999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&amp;A</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Souhegan Cooperative</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24977</v>
      </c>
    </row>
    <row r="7" spans="1:4" x14ac:dyDescent="0.2">
      <c r="B7" t="s">
        <v>701</v>
      </c>
      <c r="C7" s="178">
        <f>IF('DOE25'!I666+'DOE25'!I671=0,0,ROUND('DOE25'!I673,0))</f>
        <v>24977</v>
      </c>
    </row>
    <row r="9" spans="1:4" x14ac:dyDescent="0.2">
      <c r="A9" s="186" t="s">
        <v>94</v>
      </c>
      <c r="B9" s="187" t="s">
        <v>1800</v>
      </c>
      <c r="C9" s="180" t="s">
        <v>720</v>
      </c>
      <c r="D9" s="180" t="s">
        <v>721</v>
      </c>
    </row>
    <row r="10" spans="1:4" x14ac:dyDescent="0.2">
      <c r="A10">
        <v>1100</v>
      </c>
      <c r="B10" t="s">
        <v>702</v>
      </c>
      <c r="C10" s="178">
        <f>ROUND('DOE25'!L198+'DOE25'!L216+'DOE25'!L234+'DOE25'!L277+'DOE25'!L296+'DOE25'!L315,0)</f>
        <v>7680097</v>
      </c>
      <c r="D10" s="181">
        <f>ROUND((C10/$C$28)*100,1)</f>
        <v>40.299999999999997</v>
      </c>
    </row>
    <row r="11" spans="1:4" x14ac:dyDescent="0.2">
      <c r="A11">
        <v>1200</v>
      </c>
      <c r="B11" t="s">
        <v>703</v>
      </c>
      <c r="C11" s="178">
        <f>ROUND('DOE25'!L199+'DOE25'!L217+'DOE25'!L235+'DOE25'!L278+'DOE25'!L297+'DOE25'!L316,0)</f>
        <v>3527753</v>
      </c>
      <c r="D11" s="181">
        <f>ROUND((C11/$C$28)*100,1)</f>
        <v>18.5</v>
      </c>
    </row>
    <row r="12" spans="1:4" x14ac:dyDescent="0.2">
      <c r="A12">
        <v>1300</v>
      </c>
      <c r="B12" t="s">
        <v>704</v>
      </c>
      <c r="C12" s="178">
        <f>ROUND('DOE25'!L200+'DOE25'!L218+'DOE25'!L236+'DOE25'!L279+'DOE25'!L298+'DOE25'!L317,0)</f>
        <v>14448</v>
      </c>
      <c r="D12" s="181">
        <f>ROUND((C12/$C$28)*100,1)</f>
        <v>0.1</v>
      </c>
    </row>
    <row r="13" spans="1:4" x14ac:dyDescent="0.2">
      <c r="A13">
        <v>1400</v>
      </c>
      <c r="B13" t="s">
        <v>705</v>
      </c>
      <c r="C13" s="178">
        <f>ROUND('DOE25'!L201+'DOE25'!L219+'DOE25'!L237+'DOE25'!L280+'DOE25'!L299+'DOE25'!L318,0)</f>
        <v>707144</v>
      </c>
      <c r="D13" s="181">
        <f>ROUND((C13/$C$28)*100,1)</f>
        <v>3.7</v>
      </c>
    </row>
    <row r="14" spans="1:4" x14ac:dyDescent="0.2">
      <c r="D14" s="181"/>
    </row>
    <row r="15" spans="1:4" x14ac:dyDescent="0.2">
      <c r="A15">
        <v>2100</v>
      </c>
      <c r="B15" t="s">
        <v>706</v>
      </c>
      <c r="C15" s="178">
        <f>ROUND('DOE25'!L203+'DOE25'!L221+'DOE25'!L239+'DOE25'!L282+'DOE25'!L301+'DOE25'!L320,0)</f>
        <v>1843749</v>
      </c>
      <c r="D15" s="181">
        <f t="shared" ref="D15:D27" si="0">ROUND((C15/$C$28)*100,1)</f>
        <v>9.6999999999999993</v>
      </c>
    </row>
    <row r="16" spans="1:4" x14ac:dyDescent="0.2">
      <c r="A16">
        <v>2200</v>
      </c>
      <c r="B16" t="s">
        <v>707</v>
      </c>
      <c r="C16" s="178">
        <f>ROUND('DOE25'!L204+'DOE25'!L222+'DOE25'!L240+'DOE25'!L283+'DOE25'!L302+'DOE25'!L321,0)</f>
        <v>532792</v>
      </c>
      <c r="D16" s="181">
        <f t="shared" si="0"/>
        <v>2.8</v>
      </c>
    </row>
    <row r="17" spans="1:4" x14ac:dyDescent="0.2">
      <c r="A17" s="182" t="s">
        <v>723</v>
      </c>
      <c r="B17" t="s">
        <v>738</v>
      </c>
      <c r="C17" s="178">
        <f>ROUND('DOE25'!L205+'DOE25'!L210+'DOE25'!L223+'DOE25'!L228+'DOE25'!L241+'DOE25'!L246+'DOE25'!L284+'DOE25'!L289+'DOE25'!L303+'DOE25'!L308+'DOE25'!L322+'DOE25'!L327,0)</f>
        <v>1410079</v>
      </c>
      <c r="D17" s="181">
        <f t="shared" si="0"/>
        <v>7.4</v>
      </c>
    </row>
    <row r="18" spans="1:4" x14ac:dyDescent="0.2">
      <c r="A18">
        <v>2400</v>
      </c>
      <c r="B18" t="s">
        <v>711</v>
      </c>
      <c r="C18" s="178">
        <f>ROUND('DOE25'!L206+'DOE25'!L224+'DOE25'!L242+'DOE25'!L285+'DOE25'!L304+'DOE25'!L323,0)</f>
        <v>772965</v>
      </c>
      <c r="D18" s="181">
        <f t="shared" si="0"/>
        <v>4.0999999999999996</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1734293</v>
      </c>
      <c r="D20" s="181">
        <f t="shared" si="0"/>
        <v>9.1</v>
      </c>
    </row>
    <row r="21" spans="1:4" x14ac:dyDescent="0.2">
      <c r="A21">
        <v>2700</v>
      </c>
      <c r="B21" t="s">
        <v>710</v>
      </c>
      <c r="C21" s="178">
        <f>ROUND('DOE25'!L209+'DOE25'!L227+'DOE25'!L245+'DOE25'!L288+'DOE25'!L307+'DOE25'!L326,0)</f>
        <v>589112</v>
      </c>
      <c r="D21" s="181">
        <f t="shared" si="0"/>
        <v>3.1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249603.66</v>
      </c>
      <c r="D27" s="181">
        <f t="shared" si="0"/>
        <v>1.3</v>
      </c>
    </row>
    <row r="28" spans="1:4" x14ac:dyDescent="0.2">
      <c r="B28" s="186" t="s">
        <v>719</v>
      </c>
      <c r="C28" s="179">
        <f>SUM(C10:C27)</f>
        <v>19062035.66</v>
      </c>
      <c r="D28" s="183">
        <f>ROUND(SUM(D10:D27),0)</f>
        <v>100</v>
      </c>
    </row>
    <row r="29" spans="1:4" x14ac:dyDescent="0.2">
      <c r="A29">
        <v>4000</v>
      </c>
      <c r="B29" t="s">
        <v>724</v>
      </c>
      <c r="C29" s="178">
        <f>ROUND('DOE25'!L256+'DOE25'!L337+'DOE25'!L375+'DOE25'!L376+'DOE25'!L377+'DOE25'!L378+'DOE25'!L379+'DOE25'!L380+'DOE25'!L381,0)</f>
        <v>220845</v>
      </c>
    </row>
    <row r="30" spans="1:4" x14ac:dyDescent="0.2">
      <c r="B30" s="186" t="s">
        <v>725</v>
      </c>
      <c r="C30" s="179">
        <f>SUM(C28:C29)</f>
        <v>19282880.66</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14850812</v>
      </c>
      <c r="D35" s="181">
        <f t="shared" ref="D35:D40" si="1">ROUND((C35/$C$41)*100,1)</f>
        <v>76.2</v>
      </c>
    </row>
    <row r="36" spans="1:4" x14ac:dyDescent="0.2">
      <c r="B36" s="184" t="s">
        <v>739</v>
      </c>
      <c r="C36" s="178">
        <f>SUM('DOE25'!F112:J112)-SUM('DOE25'!G97:G110)+('DOE25'!F175+'DOE25'!F176+'DOE25'!I175+'DOE25'!I176)-C35</f>
        <v>392571.68000000156</v>
      </c>
      <c r="D36" s="181">
        <f t="shared" si="1"/>
        <v>2</v>
      </c>
    </row>
    <row r="37" spans="1:4" x14ac:dyDescent="0.2">
      <c r="A37" s="182" t="s">
        <v>835</v>
      </c>
      <c r="B37" s="184" t="s">
        <v>728</v>
      </c>
      <c r="C37" s="178">
        <f>ROUND('DOE25'!F117+'DOE25'!F118,0)</f>
        <v>3137134</v>
      </c>
      <c r="D37" s="181">
        <f t="shared" si="1"/>
        <v>16.100000000000001</v>
      </c>
    </row>
    <row r="38" spans="1:4" x14ac:dyDescent="0.2">
      <c r="A38" s="182" t="s">
        <v>734</v>
      </c>
      <c r="B38" s="184" t="s">
        <v>729</v>
      </c>
      <c r="C38" s="178">
        <f>ROUND(SUM('DOE25'!F140:J140)-SUM('DOE25'!F117:F119),0)</f>
        <v>495952</v>
      </c>
      <c r="D38" s="181">
        <f t="shared" si="1"/>
        <v>2.5</v>
      </c>
    </row>
    <row r="39" spans="1:4" x14ac:dyDescent="0.2">
      <c r="A39">
        <v>4000</v>
      </c>
      <c r="B39" s="184" t="s">
        <v>730</v>
      </c>
      <c r="C39" s="178">
        <f>ROUND('DOE25'!F170+'DOE25'!G170+'DOE25'!H170+'DOE25'!I170,0)</f>
        <v>616383</v>
      </c>
      <c r="D39" s="181">
        <f t="shared" si="1"/>
        <v>3.2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19492852.68</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&amp;A</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Souhegan Cooperative</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84</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f>IF('School Level Expenditures'!$B$2='School Tables'!W87,'School Tables'!AD87,"")</f>
        <v>84</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2022-08-26T15:04:11Z</cp:lastPrinted>
  <dcterms:created xsi:type="dcterms:W3CDTF">1997-12-04T19:04:30Z</dcterms:created>
  <dcterms:modified xsi:type="dcterms:W3CDTF">2022-12-20T16:38:11Z</dcterms:modified>
</cp:coreProperties>
</file>