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E8D2A32F-AB38-4BE7-B882-DD0CE918D21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97" i="1" l="1"/>
  <c r="H401" i="1"/>
  <c r="H400" i="1"/>
  <c r="H399" i="1"/>
  <c r="H398" i="1"/>
  <c r="I198" i="1" l="1"/>
  <c r="I522" i="1"/>
  <c r="H522" i="1"/>
  <c r="G532" i="1"/>
  <c r="G522" i="1"/>
  <c r="C21" i="12"/>
  <c r="C10" i="12"/>
  <c r="G204" i="1"/>
  <c r="G198" i="1"/>
  <c r="B21" i="12"/>
  <c r="B10" i="12"/>
  <c r="F532" i="1"/>
  <c r="F522" i="1"/>
  <c r="H605" i="1"/>
  <c r="J198" i="1"/>
  <c r="H198" i="1"/>
  <c r="F198" i="1"/>
  <c r="I204" i="1"/>
  <c r="H209" i="1"/>
  <c r="H208" i="1"/>
  <c r="H205" i="1"/>
  <c r="H204" i="1"/>
  <c r="F204" i="1"/>
  <c r="F203" i="1"/>
  <c r="F29" i="1"/>
  <c r="E13" i="17"/>
  <c r="H159" i="1"/>
  <c r="H155"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I409" i="1" l="1"/>
  <c r="H69" i="2"/>
  <c r="H30" i="2"/>
  <c r="H29" i="2"/>
  <c r="H28" i="2"/>
  <c r="H27" i="2"/>
  <c r="H24" i="2"/>
  <c r="H17" i="2"/>
  <c r="H8" i="2"/>
  <c r="J140" i="1"/>
  <c r="H140" i="1"/>
  <c r="G62" i="2"/>
  <c r="A40" i="12"/>
  <c r="C32" i="10"/>
  <c r="D18" i="13"/>
  <c r="C18" i="13" s="1"/>
  <c r="D15" i="13"/>
  <c r="C15" i="13" s="1"/>
  <c r="D6" i="13"/>
  <c r="C6" i="13" s="1"/>
  <c r="C12" i="10"/>
  <c r="E13" i="13"/>
  <c r="C13" i="13" s="1"/>
  <c r="D144" i="2"/>
  <c r="H58" i="2"/>
  <c r="H23" i="2"/>
  <c r="H59" i="2"/>
  <c r="H132" i="2"/>
  <c r="H36" i="2"/>
  <c r="H48" i="2"/>
  <c r="H97" i="2"/>
  <c r="H96" i="2"/>
  <c r="H93" i="2"/>
  <c r="H87" i="2"/>
  <c r="H80" i="2"/>
  <c r="H77" i="2"/>
  <c r="H61" i="2"/>
  <c r="H26" i="2"/>
  <c r="H22" i="2"/>
  <c r="H12" i="2"/>
  <c r="H113" i="2"/>
  <c r="E121" i="2"/>
  <c r="H112" i="2"/>
  <c r="H89" i="2"/>
  <c r="H72" i="2"/>
  <c r="H35" i="2"/>
  <c r="H34" i="2"/>
  <c r="H13" i="2"/>
  <c r="H9" i="2"/>
  <c r="E120" i="2"/>
  <c r="C119" i="2"/>
  <c r="C13" i="10"/>
  <c r="C125" i="2"/>
  <c r="H125" i="2" s="1"/>
  <c r="C120" i="2"/>
  <c r="H120" i="2" s="1"/>
  <c r="C121" i="2"/>
  <c r="H121" i="2" s="1"/>
  <c r="H47" i="2"/>
  <c r="H11" i="2"/>
  <c r="G477" i="1"/>
  <c r="B33" i="16" s="1"/>
  <c r="G662" i="1"/>
  <c r="E119" i="2"/>
  <c r="H119" i="2" s="1"/>
  <c r="H409" i="1"/>
  <c r="H645" i="1" s="1"/>
  <c r="J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4" i="2" l="1"/>
  <c r="L572" i="1"/>
  <c r="H57" i="2"/>
  <c r="H78" i="2"/>
  <c r="H42" i="2"/>
  <c r="H16" i="2"/>
  <c r="H134" i="2"/>
  <c r="H85" i="2"/>
  <c r="H103" i="2"/>
  <c r="H123" i="2"/>
  <c r="H21" i="2"/>
  <c r="H50" i="2"/>
  <c r="H31" i="2"/>
  <c r="C81" i="2"/>
  <c r="H81" i="2" s="1"/>
  <c r="F194" i="1"/>
  <c r="H18" i="2"/>
  <c r="E115" i="2"/>
  <c r="H109" i="2"/>
  <c r="F661" i="1"/>
  <c r="F665" i="1" s="1"/>
  <c r="F668" i="1" s="1"/>
  <c r="E128" i="2"/>
  <c r="H91" i="2"/>
  <c r="E51" i="2"/>
  <c r="H624" i="1"/>
  <c r="J624" i="1" s="1"/>
  <c r="D128" i="2"/>
  <c r="H127" i="2"/>
  <c r="D63" i="2"/>
  <c r="H62"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G4" i="14"/>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3" i="2" l="1"/>
  <c r="D104" i="2"/>
  <c r="D6" i="14"/>
  <c r="H673" i="1"/>
  <c r="C6" i="10" s="1"/>
  <c r="H115" i="2"/>
  <c r="H51" i="2"/>
  <c r="H104" i="2"/>
  <c r="C144" i="2"/>
  <c r="H144" i="2" s="1"/>
  <c r="H141" i="2"/>
  <c r="E145" i="2"/>
  <c r="D145"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D21" i="14" l="1"/>
  <c r="F6" i="14"/>
  <c r="F4" i="14" s="1"/>
  <c r="H4" i="14" s="1"/>
  <c r="I4" i="14" s="1"/>
  <c r="H657" i="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<sst xmlns="http://schemas.openxmlformats.org/spreadsheetml/2006/main" count="6531" uniqueCount="1803">
  <si>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</si>
  <si>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</si>
  <si>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</si>
  <si>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</si>
  <si>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</si>
  <si>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</si>
  <si>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</si>
  <si>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</si>
  <si>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</si>
  <si>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</si>
  <si>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</si>
  <si>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</si>
  <si>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</si>
  <si>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</si>
  <si>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</si>
  <si>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</si>
  <si>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</si>
  <si>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</si>
  <si>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</si>
  <si>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</si>
  <si>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</si>
  <si>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</si>
  <si>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</si>
  <si>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</si>
  <si>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</si>
  <si>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</si>
  <si>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</si>
  <si>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</si>
  <si>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</si>
  <si>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</si>
  <si>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</si>
  <si>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</si>
  <si>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</si>
  <si>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</si>
  <si>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</si>
  <si>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</si>
  <si>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</si>
  <si>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</si>
  <si>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</si>
  <si>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</si>
  <si>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</si>
  <si>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</si>
  <si>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</si>
  <si>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</si>
  <si>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</si>
  <si>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</si>
  <si>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</si>
  <si>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</si>
  <si>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</si>
  <si>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</si>
  <si>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</si>
  <si>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</si>
  <si>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</si>
  <si>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</si>
  <si>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</si>
  <si>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</si>
  <si>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</si>
  <si>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</si>
  <si>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</si>
  <si>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</si>
  <si>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</si>
  <si>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</si>
  <si>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</si>
  <si>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</si>
  <si>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</si>
  <si>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</si>
  <si>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</si>
  <si>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</si>
  <si>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</si>
  <si>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</si>
  <si>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</si>
  <si>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</si>
  <si>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</si>
  <si>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</si>
  <si>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</si>
  <si>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</si>
  <si>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</si>
  <si>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</si>
  <si>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</si>
  <si>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</si>
  <si>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</si>
  <si>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</si>
  <si>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</si>
  <si>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</si>
  <si>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</si>
  <si>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</si>
  <si>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</si>
  <si>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</si>
  <si>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</si>
  <si>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</si>
  <si>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</si>
  <si>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</si>
  <si>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</si>
  <si>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</si>
  <si>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</si>
  <si>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</si>
  <si>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</si>
  <si>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</si>
  <si>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</si>
  <si>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</si>
  <si>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</si>
  <si>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</si>
  <si>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</si>
  <si>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</si>
  <si>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</si>
  <si>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</si>
  <si>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</si>
  <si>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</si>
  <si>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</si>
  <si>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</si>
  <si>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</si>
  <si>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</si>
  <si>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</si>
  <si>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</si>
  <si>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</si>
  <si>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</si>
  <si>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</si>
  <si>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</si>
  <si>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</si>
  <si>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</si>
  <si>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</si>
  <si>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</si>
  <si>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</si>
  <si>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</si>
  <si>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</si>
  <si>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</si>
  <si>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</si>
  <si>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</si>
  <si>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</si>
  <si>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</si>
  <si>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</si>
  <si>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</si>
  <si>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</si>
  <si>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</si>
  <si>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</si>
  <si>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</si>
  <si>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</si>
  <si>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</si>
  <si>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</si>
  <si>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</si>
  <si>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</si>
  <si>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</si>
  <si>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</si>
  <si>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</si>
  <si>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</si>
  <si>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</si>
  <si>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</si>
  <si>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</si>
  <si>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</si>
  <si>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</si>
  <si>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</si>
  <si>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</si>
  <si>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</si>
  <si>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</si>
  <si>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</si>
  <si>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</si>
  <si>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</si>
  <si>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</si>
  <si>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</si>
  <si>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</si>
  <si>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</si>
  <si>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</si>
  <si>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</si>
  <si>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</si>
  <si>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</si>
  <si>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</si>
  <si>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</si>
  <si>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</si>
  <si>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</si>
  <si>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</si>
  <si>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</si>
  <si>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</si>
  <si>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</si>
  <si>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</si>
  <si>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</si>
  <si>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</si>
  <si>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</si>
  <si>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</si>
  <si>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</si>
  <si>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</si>
  <si>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</si>
  <si>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</si>
  <si>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</si>
  <si>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</si>
  <si>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</si>
  <si>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</si>
  <si>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</si>
  <si>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</si>
  <si>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</si>
  <si>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</si>
  <si>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</si>
  <si>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</si>
  <si>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</si>
  <si>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</si>
  <si>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</si>
  <si>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</si>
  <si>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</si>
  <si>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</si>
  <si>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</si>
  <si>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</si>
  <si>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</si>
  <si>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</si>
  <si>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</si>
  <si>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</si>
  <si>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</si>
  <si>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</si>
  <si>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</si>
  <si>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</si>
  <si>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</si>
  <si>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</si>
  <si>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</si>
  <si>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</si>
  <si>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</si>
  <si>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</si>
  <si>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</si>
  <si>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</si>
  <si>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</si>
  <si>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</si>
  <si>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</si>
  <si>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</si>
  <si>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</si>
  <si>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</si>
  <si>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</si>
  <si>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</si>
  <si>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</si>
  <si>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</si>
  <si>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</si>
  <si>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</si>
  <si>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</si>
  <si>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</si>
  <si>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</si>
  <si>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</si>
  <si>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</si>
  <si>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</si>
  <si>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</si>
  <si>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</si>
  <si>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</si>
  <si>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</si>
  <si>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</si>
  <si>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</si>
  <si>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</si>
  <si>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</si>
  <si>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</si>
  <si>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</si>
  <si>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</si>
  <si>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</si>
  <si>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</si>
  <si>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</si>
  <si>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</si>
  <si>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</si>
  <si>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</si>
  <si>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</si>
  <si>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</si>
  <si>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</si>
  <si>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</si>
  <si>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</si>
  <si>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</si>
  <si>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</si>
  <si>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</si>
  <si>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</si>
  <si>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</si>
  <si>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</si>
  <si>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</si>
  <si>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</si>
  <si>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</si>
  <si>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</si>
  <si>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</si>
  <si>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</si>
  <si>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</si>
  <si>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</si>
  <si>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</si>
  <si>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</si>
  <si>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</si>
  <si>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</si>
  <si>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</si>
  <si>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</si>
  <si>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</si>
  <si>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</si>
  <si>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</si>
  <si>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</si>
  <si>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</si>
  <si>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</si>
  <si>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</si>
  <si>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</si>
  <si>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</si>
  <si>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</si>
  <si>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</si>
  <si>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</si>
  <si>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</si>
  <si>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</si>
  <si>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</si>
  <si>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</si>
  <si>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</si>
  <si>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</si>
  <si>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</si>
  <si>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</si>
  <si>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</si>
  <si>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</si>
  <si>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</si>
  <si>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</si>
  <si>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</si>
  <si>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</si>
  <si>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</si>
  <si>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</si>
  <si>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</si>
  <si>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</si>
  <si>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</si>
  <si>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</si>
  <si>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</si>
  <si>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</si>
  <si>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</si>
  <si>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</si>
  <si>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</si>
  <si>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</si>
  <si>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</si>
  <si>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</si>
  <si>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</si>
  <si>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</si>
  <si>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</si>
  <si>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</si>
  <si>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</si>
  <si>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</si>
  <si>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</si>
  <si>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</si>
  <si>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</si>
  <si>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</si>
  <si>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</si>
  <si>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</si>
  <si>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</si>
  <si>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</si>
  <si>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</si>
  <si>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</si>
  <si>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</si>
  <si>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</si>
  <si>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</si>
  <si>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</si>
  <si>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</si>
  <si>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</si>
  <si>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</si>
  <si>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</si>
  <si>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</si>
  <si>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</si>
  <si>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</si>
  <si>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</si>
  <si>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</si>
  <si>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</si>
  <si>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</si>
  <si>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</si>
  <si>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</si>
  <si>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</si>
  <si>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</si>
  <si>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</si>
  <si>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</si>
  <si>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</si>
  <si>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</si>
  <si>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</si>
  <si>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</si>
  <si>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</si>
  <si>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</si>
  <si>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</si>
  <si>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</si>
  <si>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</si>
  <si>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</si>
  <si>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</si>
  <si>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</si>
  <si>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</si>
  <si>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</si>
  <si>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</si>
  <si>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</si>
  <si>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</si>
  <si>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</si>
  <si>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</si>
  <si>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</si>
  <si>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</si>
  <si>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</si>
  <si>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</si>
  <si>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</si>
  <si>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</si>
  <si>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</si>
  <si>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</si>
  <si>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</si>
  <si>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</si>
  <si>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</si>
  <si>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</si>
  <si>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</si>
  <si>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</si>
  <si>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</si>
  <si>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</si>
  <si>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</si>
  <si>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</si>
  <si>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</si>
  <si>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</si>
  <si>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</si>
  <si>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</si>
  <si>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</si>
  <si>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</si>
  <si>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</si>
  <si>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</si>
  <si>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</si>
  <si>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</si>
  <si>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</si>
  <si>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</si>
  <si>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</si>
  <si>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</si>
  <si>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</si>
  <si>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</si>
  <si>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</si>
  <si>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</si>
  <si>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</si>
  <si>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</si>
  <si>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</si>
  <si>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</si>
  <si>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</si>
  <si>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</si>
  <si>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</si>
  <si>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</si>
  <si>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</si>
  <si>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</si>
  <si>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</si>
  <si>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</si>
  <si>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</si>
  <si>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</si>
  <si>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</si>
  <si>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</si>
  <si>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</si>
  <si>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</si>
  <si>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</si>
  <si>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</si>
  <si>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</si>
  <si>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</si>
  <si>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</si>
  <si>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</si>
  <si>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</si>
  <si>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</si>
  <si>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</si>
  <si>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</si>
  <si>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</si>
  <si>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</si>
  <si>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</si>
  <si>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</si>
  <si>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</si>
  <si>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</si>
  <si>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</si>
  <si>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</si>
  <si>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</si>
  <si>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</si>
  <si>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</si>
  <si>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</si>
  <si>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</si>
  <si>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</si>
  <si>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</si>
  <si>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</si>
  <si>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</si>
  <si>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</si>
  <si>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</si>
  <si>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</si>
  <si>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</si>
  <si>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</si>
  <si>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</si>
  <si>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</si>
  <si>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</si>
  <si>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</si>
  <si>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</si>
  <si>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</si>
  <si>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</si>
  <si>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</si>
  <si>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</si>
  <si>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</si>
  <si>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</si>
  <si>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</si>
  <si>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</si>
  <si>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</si>
  <si>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</si>
  <si>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</si>
  <si>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</si>
  <si>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</si>
  <si>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</si>
  <si>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</si>
  <si>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</si>
  <si>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</si>
  <si>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</si>
  <si>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</si>
  <si>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</si>
  <si>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</si>
  <si>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</si>
  <si>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</si>
  <si>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</si>
  <si>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</si>
  <si>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</si>
  <si>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</si>
  <si>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</si>
  <si>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</si>
  <si>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</si>
  <si>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</si>
  <si>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</si>
  <si>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</si>
  <si>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</si>
  <si>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</si>
  <si>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</si>
  <si>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</si>
  <si>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</si>
  <si>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</si>
  <si>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</si>
  <si>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</si>
  <si>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</si>
  <si>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</si>
  <si>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</si>
  <si>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</si>
  <si>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</si>
  <si>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</si>
  <si>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</si>
  <si>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</si>
  <si>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</si>
  <si>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</si>
  <si>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</si>
  <si>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</si>
  <si>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</si>
  <si>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</si>
  <si>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</si>
  <si>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</si>
  <si>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</si>
  <si>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</si>
  <si>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</si>
  <si>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</si>
  <si>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</si>
  <si>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</si>
  <si>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</si>
  <si>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</si>
  <si>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</si>
  <si>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</si>
  <si>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</si>
  <si>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</si>
  <si>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</si>
  <si>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</si>
  <si>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</si>
  <si>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</si>
  <si>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</si>
  <si>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</si>
  <si>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</si>
  <si>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</si>
  <si>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</si>
  <si>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</si>
  <si>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</si>
  <si>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</si>
  <si>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</si>
  <si>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</si>
  <si>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</si>
  <si>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</si>
  <si>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</si>
  <si>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</si>
  <si>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</si>
  <si>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</si>
  <si>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</si>
  <si>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</si>
  <si>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</si>
  <si>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</si>
  <si>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</si>
  <si>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</si>
  <si>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</si>
  <si>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</si>
  <si>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</si>
  <si>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</si>
  <si>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</si>
  <si>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</si>
  <si>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</si>
  <si>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</si>
  <si>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</si>
  <si>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</si>
  <si>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</si>
  <si>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</si>
  <si>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</si>
  <si>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</si>
  <si>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</si>
  <si>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</si>
  <si>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</si>
  <si>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</si>
  <si>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</si>
  <si>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</si>
  <si>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</si>
  <si>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</si>
  <si>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</si>
  <si>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</si>
  <si>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</si>
  <si>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</si>
  <si>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</si>
  <si>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</si>
  <si>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</si>
  <si>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</si>
  <si>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</si>
  <si>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</si>
  <si>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</si>
  <si>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</si>
  <si>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</si>
  <si>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</si>
  <si>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</si>
  <si>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</si>
  <si>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</si>
  <si>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</si>
  <si>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</si>
  <si>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</si>
  <si>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</si>
  <si>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</si>
  <si>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</si>
  <si>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</si>
  <si>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</si>
  <si>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</si>
  <si>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</si>
  <si>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</si>
  <si>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</si>
  <si>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</si>
  <si>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</si>
  <si>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</si>
  <si>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</si>
  <si>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</si>
  <si>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</si>
  <si>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</si>
  <si>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</si>
  <si>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</si>
  <si>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</si>
  <si>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</si>
  <si>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</si>
  <si>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</si>
  <si>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</si>
  <si>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</si>
  <si>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</si>
  <si>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</si>
  <si>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</si>
  <si>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</si>
  <si>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</si>
  <si>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</si>
  <si>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</si>
  <si>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</si>
  <si>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</si>
  <si>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</si>
  <si>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</si>
  <si>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</si>
  <si>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</si>
  <si>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</si>
  <si>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</si>
  <si>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</si>
  <si>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</si>
  <si>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</si>
  <si>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</si>
  <si>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</si>
  <si>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</si>
  <si>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</si>
  <si>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</si>
  <si>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</si>
  <si>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</si>
  <si>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</si>
  <si>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</si>
  <si>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</si>
  <si>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</si>
  <si>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</si>
  <si>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</si>
  <si>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</si>
  <si>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</si>
  <si>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</si>
  <si>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</si>
  <si>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</si>
  <si>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</si>
  <si>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</si>
  <si>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</si>
  <si>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</si>
  <si>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</si>
  <si>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</si>
  <si>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</si>
  <si>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</si>
  <si>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</si>
  <si>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</si>
  <si>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</si>
  <si>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</si>
  <si>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</si>
  <si>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</si>
  <si>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</si>
  <si>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</si>
  <si>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</si>
  <si>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</si>
  <si>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</si>
  <si>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</si>
  <si>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</si>
  <si>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</si>
  <si>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</si>
  <si>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</si>
  <si>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</si>
  <si>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</si>
  <si>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</si>
  <si>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</si>
  <si>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</si>
  <si>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</si>
  <si>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</si>
  <si>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</si>
  <si>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</si>
  <si>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</si>
  <si>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</si>
  <si>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</si>
  <si>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</si>
  <si>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</si>
  <si>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</si>
  <si>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</si>
  <si>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</si>
  <si>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</si>
  <si>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</si>
  <si>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</si>
  <si>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</si>
  <si>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</si>
  <si>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</si>
  <si>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</si>
  <si>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</si>
  <si>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</si>
  <si>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</si>
  <si>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</si>
  <si>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</si>
  <si>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</si>
  <si>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</si>
  <si>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</si>
  <si>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</si>
  <si>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</si>
  <si>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</si>
  <si>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</si>
  <si>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</si>
  <si>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</si>
  <si>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</si>
  <si>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</si>
  <si>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</si>
  <si>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</si>
  <si>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</si>
  <si>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</si>
  <si>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</si>
  <si>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</si>
  <si>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</si>
  <si>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</si>
  <si>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</si>
  <si>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</si>
  <si>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</si>
  <si>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</si>
  <si>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</si>
  <si>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</si>
  <si>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</si>
  <si>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</si>
  <si>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</si>
  <si>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</si>
  <si>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</si>
  <si>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</si>
  <si>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</si>
  <si>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</si>
  <si>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</si>
  <si>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</si>
  <si>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</si>
  <si>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</si>
  <si>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</si>
  <si>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</si>
  <si>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</si>
  <si>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</si>
  <si>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</si>
  <si>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</si>
  <si>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</si>
  <si>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</si>
  <si>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</si>
  <si>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</si>
  <si>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</si>
  <si>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</si>
  <si>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</si>
  <si>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</si>
  <si>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</si>
  <si>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</si>
  <si>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</si>
  <si>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</si>
  <si>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</si>
  <si>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</si>
  <si>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</si>
  <si>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</si>
  <si>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</si>
  <si>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</si>
  <si>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</si>
  <si>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</si>
  <si>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</si>
  <si>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</si>
  <si>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</si>
  <si>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</si>
  <si>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</si>
  <si>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</si>
  <si>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</si>
  <si>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</si>
  <si>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</si>
  <si>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</si>
  <si>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</si>
  <si>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</si>
  <si>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</si>
  <si>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</si>
  <si>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</si>
  <si>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</si>
  <si>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</si>
  <si>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</si>
  <si>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</si>
  <si>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</si>
  <si>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</si>
  <si>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</si>
  <si>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</si>
  <si>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</si>
  <si>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</si>
  <si>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</si>
  <si>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</si>
  <si>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</si>
  <si>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</si>
  <si>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</si>
  <si>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</si>
  <si>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</si>
  <si>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</si>
  <si>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</si>
  <si>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</si>
  <si>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</si>
  <si>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</si>
  <si>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</si>
  <si>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</si>
  <si>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</si>
  <si>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</si>
  <si>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</si>
  <si>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</si>
  <si>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</si>
  <si>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</si>
  <si>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</si>
  <si>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</si>
  <si>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</si>
  <si>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</si>
  <si>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</si>
  <si>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</si>
  <si>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</si>
  <si>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</si>
  <si>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</si>
  <si>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</si>
  <si>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</si>
  <si>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</si>
  <si>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</si>
  <si>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</si>
  <si>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</si>
  <si>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</si>
  <si>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</si>
  <si>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</si>
  <si>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</si>
  <si>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</si>
  <si>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</si>
  <si>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</si>
  <si>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</si>
  <si>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</si>
  <si>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</si>
  <si>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</si>
  <si>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</si>
  <si>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</si>
  <si>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</si>
  <si>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</si>
  <si>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</si>
  <si>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</si>
  <si>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</si>
  <si>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</si>
  <si>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</si>
  <si>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</si>
  <si>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</si>
  <si>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</si>
  <si>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</si>
  <si>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</si>
  <si>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</si>
  <si>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</si>
  <si>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</si>
  <si>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</si>
  <si>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</si>
  <si>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</si>
  <si>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</si>
  <si>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</si>
  <si>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</si>
  <si>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</si>
  <si>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</si>
  <si>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</si>
  <si>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</si>
  <si>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</si>
  <si>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</si>
  <si>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</si>
  <si>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</si>
  <si>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</si>
  <si>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</si>
  <si>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</si>
  <si>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</si>
  <si>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</si>
  <si>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</si>
  <si>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</si>
  <si>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</si>
  <si>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</si>
  <si>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</si>
  <si>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</si>
  <si>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</si>
  <si>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</si>
  <si>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</si>
  <si>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</si>
  <si>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</si>
  <si>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</si>
  <si>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</si>
  <si>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</si>
  <si>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</si>
  <si>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</si>
  <si>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</si>
  <si>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</si>
  <si>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</si>
  <si>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</si>
  <si>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</si>
  <si>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</si>
  <si>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</si>
  <si>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</si>
  <si>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</si>
  <si>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</si>
  <si>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</si>
  <si>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</si>
  <si>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</si>
  <si>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</si>
  <si>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</si>
  <si>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</si>
  <si>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</si>
  <si>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</si>
  <si>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</si>
  <si>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</si>
  <si>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</si>
  <si>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</si>
  <si>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</si>
  <si>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</si>
  <si>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</si>
  <si>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</si>
  <si>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</si>
  <si>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</si>
  <si>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</si>
  <si>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</si>
  <si>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</si>
  <si>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</si>
  <si>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</si>
  <si>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</si>
  <si>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</si>
  <si>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</si>
  <si>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</si>
  <si>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</si>
  <si>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</si>
  <si>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</si>
  <si>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</si>
  <si>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</si>
  <si>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</si>
  <si>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</si>
  <si>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</si>
  <si>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</si>
  <si>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</si>
  <si>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</si>
  <si>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</si>
  <si>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</si>
  <si>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</si>
  <si>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</si>
  <si>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</si>
  <si>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</si>
  <si>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</si>
  <si>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</si>
  <si>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</si>
  <si>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</si>
  <si>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</si>
  <si>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</si>
  <si>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</si>
  <si>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</si>
  <si>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</si>
  <si>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</si>
  <si>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</si>
  <si>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</si>
  <si>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</si>
  <si>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</si>
  <si>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</si>
  <si>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</si>
  <si>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</si>
  <si>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</si>
  <si>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</si>
  <si>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</si>
  <si>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</si>
  <si>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</si>
  <si>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</si>
  <si>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</si>
  <si>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</si>
  <si>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</si>
  <si>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</si>
  <si>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</si>
  <si>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</si>
  <si>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</si>
  <si>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</si>
  <si>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</si>
  <si>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</si>
  <si>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</si>
  <si>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</si>
  <si>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</si>
  <si>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</si>
  <si>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</si>
  <si>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</si>
  <si>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</si>
  <si>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</si>
  <si>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</si>
  <si>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</si>
  <si>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</si>
  <si>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</si>
  <si>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</si>
  <si>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</si>
  <si>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</si>
  <si>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</si>
  <si>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</si>
  <si>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</si>
  <si>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</si>
  <si>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</si>
  <si>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</si>
  <si>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</si>
  <si>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</si>
  <si>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</si>
  <si>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</si>
  <si>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</si>
  <si>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</si>
  <si>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</si>
  <si>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</si>
  <si>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</si>
  <si>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</si>
  <si>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</si>
  <si>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</si>
  <si>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</si>
  <si>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</si>
  <si>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</si>
  <si>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</si>
  <si>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</si>
  <si>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</si>
  <si>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</si>
  <si>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</si>
  <si>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</si>
  <si>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</si>
  <si>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</si>
  <si>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</si>
  <si>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</si>
  <si>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</si>
  <si>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</si>
  <si>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</si>
  <si>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</si>
  <si>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</si>
  <si>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</si>
  <si>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</si>
  <si>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</si>
  <si>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</si>
  <si>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</si>
  <si>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</si>
  <si>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</si>
  <si>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</si>
  <si>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</si>
  <si>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</si>
  <si>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</si>
  <si>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</si>
  <si>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</si>
  <si>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</si>
  <si>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</si>
  <si>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</si>
  <si>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</si>
  <si>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</si>
  <si>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</si>
  <si>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</si>
  <si>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</si>
  <si>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</si>
  <si>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</si>
  <si>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</si>
  <si>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</si>
  <si>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</si>
  <si>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</si>
  <si>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</si>
  <si>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</si>
  <si>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</si>
  <si>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</si>
  <si>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</si>
  <si>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</si>
  <si>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</si>
  <si>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</si>
  <si>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</si>
  <si>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</si>
  <si>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</si>
  <si>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</si>
  <si>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</si>
  <si>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</si>
  <si>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</si>
  <si>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</si>
  <si>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</si>
  <si>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</si>
  <si>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</si>
  <si>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</si>
  <si>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</si>
  <si>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</si>
  <si>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</si>
  <si>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</si>
  <si>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</si>
  <si>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</si>
  <si>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</si>
  <si>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</si>
  <si>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</si>
  <si>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</si>
  <si>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</si>
  <si>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</si>
  <si>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</si>
  <si>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</si>
  <si>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</si>
  <si>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</si>
  <si>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</si>
  <si>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</si>
  <si>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</si>
  <si>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</si>
  <si>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</si>
  <si>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</si>
  <si>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</si>
  <si>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</si>
  <si>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</si>
  <si>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</si>
  <si>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</si>
  <si>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</si>
  <si>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</si>
  <si>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</si>
  <si>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</si>
  <si>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</si>
  <si>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</si>
  <si>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</si>
  <si>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</si>
  <si>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</si>
  <si>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</si>
  <si>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</si>
  <si>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</si>
  <si>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</si>
  <si>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</si>
  <si>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</si>
  <si>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</si>
  <si>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</si>
  <si>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</si>
  <si>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</si>
  <si>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</si>
  <si>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</si>
  <si>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</si>
  <si>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</si>
  <si>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</si>
  <si>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</si>
  <si>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</si>
  <si>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</si>
  <si>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</si>
  <si>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</si>
  <si>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</si>
  <si>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</si>
  <si>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</si>
  <si>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</si>
  <si>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</si>
  <si>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</si>
  <si>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</si>
  <si>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</si>
  <si>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</si>
  <si>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</si>
  <si>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</si>
  <si>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</si>
  <si>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</si>
  <si>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</si>
  <si>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</si>
  <si>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</si>
  <si>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</si>
  <si>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</si>
  <si>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</si>
  <si>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</si>
  <si>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</si>
  <si>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</si>
  <si>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</si>
  <si>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</si>
  <si>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</si>
  <si>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</si>
  <si>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</si>
  <si>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</si>
  <si>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</si>
  <si>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</si>
  <si>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</si>
  <si>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</si>
  <si>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</si>
  <si>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</si>
  <si>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</si>
  <si>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</si>
  <si>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</si>
  <si>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</si>
  <si>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</si>
  <si>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</si>
  <si>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</si>
  <si>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</si>
  <si>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</si>
  <si>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</si>
  <si>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</si>
  <si>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</si>
  <si>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</si>
  <si>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</si>
  <si>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</si>
  <si>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</si>
  <si>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</si>
  <si>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</si>
  <si>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</si>
  <si>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</si>
  <si>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</si>
  <si>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</si>
  <si>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</si>
  <si>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</si>
  <si>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</si>
  <si>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</si>
  <si>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</si>
  <si>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</si>
  <si>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</si>
  <si>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</si>
  <si>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</si>
  <si>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</si>
  <si>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</si>
  <si>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</si>
  <si>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</si>
  <si>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</si>
  <si>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</si>
  <si>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</si>
  <si>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</si>
  <si>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</si>
  <si>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</si>
  <si>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</si>
  <si>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</si>
  <si>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</si>
  <si>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</si>
  <si>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</si>
  <si>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</si>
  <si>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</si>
  <si>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</si>
  <si>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</si>
  <si>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</si>
  <si>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</si>
  <si>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</si>
  <si>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</si>
  <si>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</si>
  <si>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</si>
  <si>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</si>
  <si>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</si>
  <si>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</si>
  <si>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</si>
  <si>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</si>
  <si>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</si>
  <si>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</si>
  <si>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</si>
  <si>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</si>
  <si>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</si>
  <si>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</si>
  <si>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</si>
  <si>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</si>
  <si>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</si>
  <si>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</si>
  <si>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</si>
  <si>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</si>
  <si>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</si>
  <si>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</si>
  <si>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</si>
  <si>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</si>
  <si>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</si>
  <si>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</si>
  <si>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</si>
  <si>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</si>
  <si>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</si>
  <si>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</si>
  <si>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</si>
  <si>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</si>
  <si>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</si>
  <si>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</si>
  <si>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</si>
  <si>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</si>
  <si>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</si>
  <si>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</si>
  <si>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</si>
  <si>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</si>
  <si>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</si>
  <si>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</si>
  <si>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</si>
  <si>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</si>
  <si>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</si>
  <si>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</si>
  <si>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</si>
  <si>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</si>
  <si>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</si>
  <si>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</si>
  <si>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</si>
  <si>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</si>
  <si>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</si>
  <si>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</si>
  <si>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</si>
  <si>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</si>
  <si>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</si>
  <si>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</si>
  <si>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</si>
  <si>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</si>
  <si>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</si>
  <si>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</si>
  <si>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</si>
  <si>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</si>
  <si>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</si>
  <si>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</si>
  <si>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</si>
  <si>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</si>
  <si>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</si>
  <si>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</si>
  <si>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</si>
  <si>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</si>
  <si>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</si>
  <si>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</si>
  <si>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</si>
  <si>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</si>
  <si>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</si>
  <si>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</si>
  <si>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</si>
  <si>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</si>
  <si>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</si>
  <si>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</si>
  <si>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</si>
  <si>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</si>
  <si>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</si>
  <si>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</si>
  <si>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</si>
  <si>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</si>
  <si>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</si>
  <si>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</si>
  <si>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</si>
  <si>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</si>
  <si>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</si>
  <si>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</si>
  <si>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</si>
  <si>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</si>
  <si>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</si>
  <si>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</si>
  <si>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</si>
  <si>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</si>
  <si>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</si>
  <si>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</si>
  <si>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</si>
  <si>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</si>
  <si>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</si>
  <si>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</si>
  <si>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</si>
  <si>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</si>
  <si>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</si>
  <si>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</si>
  <si>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</si>
  <si>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</si>
  <si>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</si>
  <si>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</si>
  <si>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</si>
  <si>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</si>
  <si>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</si>
  <si>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</si>
  <si>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</si>
  <si>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</si>
  <si>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</si>
  <si>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</si>
  <si>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</si>
  <si>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</si>
  <si>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</si>
  <si>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</si>
  <si>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</si>
  <si>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</si>
  <si>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</si>
  <si>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</si>
  <si>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</si>
  <si>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</si>
  <si>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</si>
  <si>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</si>
  <si>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</si>
  <si>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</si>
  <si>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</si>
  <si>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</si>
  <si>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</si>
  <si>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</si>
  <si>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</si>
  <si>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</si>
  <si>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</si>
  <si>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</si>
  <si>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</si>
  <si>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</si>
  <si>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</si>
  <si>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</si>
  <si>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</si>
  <si>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</si>
  <si>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</si>
  <si>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</si>
  <si>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</si>
  <si>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</si>
  <si>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</si>
  <si>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</si>
  <si>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</si>
  <si>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</si>
  <si>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</si>
  <si>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</si>
  <si>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</si>
  <si>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</si>
  <si>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</si>
  <si>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</si>
  <si>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</si>
  <si>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</si>
  <si>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</si>
  <si>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</si>
  <si>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</si>
  <si>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</si>
  <si>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</si>
  <si>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</si>
  <si>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</si>
  <si>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</si>
  <si>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</si>
  <si>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</si>
  <si>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</si>
  <si>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</si>
  <si>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</si>
  <si>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</si>
  <si>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</si>
  <si>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</si>
  <si>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</si>
  <si>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</si>
  <si>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</si>
  <si>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</si>
  <si>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</si>
  <si>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</si>
  <si>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</si>
  <si>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</si>
  <si>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</si>
  <si>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</si>
  <si>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</si>
  <si>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</si>
  <si>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</si>
  <si>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</si>
  <si>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</si>
  <si>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</si>
  <si>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</si>
  <si>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</si>
  <si>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</si>
  <si>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</si>
  <si>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</si>
  <si>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</si>
  <si>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</si>
  <si>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</si>
  <si>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</si>
  <si>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</si>
  <si>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</si>
  <si>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</si>
  <si>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</si>
  <si>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</si>
  <si>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</si>
  <si>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</si>
  <si>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</si>
  <si>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</si>
  <si>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</si>
  <si>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</si>
  <si>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</si>
  <si>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</si>
  <si>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</si>
  <si>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</si>
  <si>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</si>
  <si>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</si>
  <si>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</si>
  <si>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</si>
  <si>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</si>
  <si>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</si>
  <si>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</si>
  <si>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</si>
  <si>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</si>
  <si>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</si>
  <si>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</si>
  <si>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</si>
  <si>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</si>
  <si>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</si>
  <si>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</si>
  <si>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</si>
  <si>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</si>
  <si>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</si>
  <si>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</si>
  <si>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</si>
  <si>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</si>
  <si>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</si>
  <si>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</si>
  <si>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</si>
  <si>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</si>
  <si>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</si>
  <si>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</si>
  <si>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</si>
  <si>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</si>
  <si>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</si>
  <si>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</si>
  <si>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</si>
  <si>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</si>
  <si>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</si>
  <si>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</si>
  <si>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</si>
  <si>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</si>
  <si>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</si>
  <si>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</si>
  <si>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</si>
  <si>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</si>
  <si>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</si>
  <si>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</si>
  <si>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</si>
  <si>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</si>
  <si>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</si>
  <si>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</si>
  <si>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</si>
  <si>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</si>
  <si>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</si>
  <si>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</si>
  <si>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</si>
  <si>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</si>
  <si>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</si>
  <si>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</si>
  <si>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</si>
  <si>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</si>
  <si>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</si>
  <si>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</si>
  <si>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</si>
  <si>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</si>
  <si>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</si>
  <si>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</si>
  <si>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</si>
  <si>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</si>
  <si>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</si>
  <si>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</si>
  <si>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</si>
  <si>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</si>
  <si>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</si>
  <si>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</si>
  <si>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</si>
  <si>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</si>
  <si>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</si>
  <si>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</si>
  <si>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</si>
  <si>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</si>
  <si>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</si>
  <si>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</si>
  <si>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</si>
  <si>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</si>
  <si>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</si>
  <si>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</si>
  <si>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</si>
  <si>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</si>
  <si>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</si>
  <si>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</si>
  <si>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</si>
  <si>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</si>
  <si>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</si>
  <si>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</si>
  <si>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</si>
  <si>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</si>
  <si>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</si>
  <si>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</si>
  <si>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</si>
  <si>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</si>
  <si>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</si>
  <si>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</si>
  <si>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</si>
  <si>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</si>
  <si>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</si>
  <si>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</si>
  <si>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</si>
  <si>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</si>
  <si>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</si>
  <si>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</si>
  <si>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</si>
  <si>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</si>
  <si>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</si>
  <si>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</si>
  <si>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</si>
  <si>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</si>
  <si>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</si>
  <si>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</si>
  <si>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</si>
  <si>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</si>
  <si>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</si>
  <si>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</si>
  <si>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</si>
  <si>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</si>
  <si>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</si>
  <si>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</si>
  <si>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</si>
  <si>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</si>
  <si>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</si>
  <si>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</si>
  <si>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</si>
  <si>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</si>
  <si>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</si>
  <si>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</si>
  <si>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</si>
  <si>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</si>
  <si>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</si>
  <si>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</si>
  <si>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</si>
  <si>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</si>
  <si>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</si>
  <si>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</si>
  <si>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</si>
  <si>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</si>
  <si>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</si>
  <si>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</si>
  <si>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</si>
  <si>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</si>
  <si>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</si>
  <si>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</si>
  <si>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</si>
  <si>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</si>
  <si>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</si>
  <si>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</si>
  <si>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</si>
  <si>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</si>
  <si>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</si>
  <si>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</si>
  <si>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</si>
  <si>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</si>
  <si>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</si>
  <si>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</si>
  <si>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</si>
  <si>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</si>
  <si>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</si>
  <si>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</si>
  <si>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</si>
  <si>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</si>
  <si>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</si>
  <si>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</si>
  <si>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</si>
  <si>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</si>
  <si>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</si>
  <si>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</si>
  <si>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</si>
  <si>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</si>
  <si>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</si>
  <si>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</si>
  <si>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</si>
  <si>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</si>
  <si>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</si>
  <si>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</si>
  <si>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</si>
  <si>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</si>
  <si>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</si>
  <si>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</si>
  <si>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</si>
  <si>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</si>
  <si>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</si>
  <si>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</si>
  <si>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</si>
  <si>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</si>
  <si>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</si>
  <si>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</si>
  <si>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</si>
  <si>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</si>
  <si>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</si>
  <si>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</si>
  <si>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</si>
  <si>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</si>
  <si>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</si>
  <si>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</si>
  <si>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</si>
  <si>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</si>
  <si>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</si>
  <si>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</si>
  <si>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</si>
  <si>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</si>
  <si>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</si>
  <si>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</si>
  <si>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</si>
  <si>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</si>
  <si>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</si>
  <si>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</si>
  <si>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</si>
  <si>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</si>
  <si>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</si>
  <si>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</si>
  <si>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</si>
  <si>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</si>
  <si>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</si>
  <si>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</si>
  <si>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</si>
  <si>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</si>
  <si>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</si>
  <si>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</si>
  <si>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</si>
  <si>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</si>
  <si>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</si>
  <si>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</si>
  <si>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</si>
  <si>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</si>
  <si>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</si>
  <si>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</si>
  <si>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</si>
  <si>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</si>
  <si>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</si>
  <si>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</si>
  <si>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</si>
  <si>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</si>
  <si>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</si>
  <si>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</si>
  <si>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</si>
  <si>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</si>
  <si>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</si>
  <si>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</si>
  <si>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</si>
  <si>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</si>
  <si>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</si>
  <si>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</si>
  <si>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</si>
  <si>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</si>
  <si>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</si>
  <si>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</si>
  <si>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</si>
  <si>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</si>
  <si>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</si>
  <si>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</si>
  <si>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</si>
  <si>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</si>
  <si>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</si>
  <si>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</si>
  <si>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</si>
  <si>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</si>
  <si>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</si>
  <si>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</si>
  <si>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</si>
  <si>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</si>
  <si>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</si>
  <si>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</si>
  <si>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</si>
  <si>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</si>
  <si>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</si>
  <si>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</si>
  <si>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</si>
  <si>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</si>
  <si>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</si>
  <si>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</si>
  <si>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</si>
  <si>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</si>
  <si>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</si>
  <si>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</si>
  <si>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</si>
  <si>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</si>
  <si>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</si>
  <si>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</si>
  <si>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</si>
  <si>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</si>
  <si>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</si>
  <si>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</si>
  <si>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</si>
  <si>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</si>
  <si>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</si>
  <si>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</si>
  <si>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</si>
  <si>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</si>
  <si>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</si>
  <si>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</si>
  <si>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</si>
  <si>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</si>
  <si>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</si>
  <si>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</si>
  <si>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</si>
  <si>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</si>
  <si>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</si>
  <si>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</si>
  <si>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</si>
  <si>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</si>
  <si>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</si>
  <si>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</si>
  <si>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</si>
  <si>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</si>
  <si>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</si>
  <si>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</si>
  <si>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</si>
  <si>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</si>
  <si>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</si>
  <si>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</si>
  <si>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</si>
  <si>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</si>
  <si>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</si>
  <si>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</si>
  <si>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</si>
  <si>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</si>
  <si>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</si>
  <si>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</si>
  <si>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</si>
  <si>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</si>
  <si>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</si>
  <si>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</si>
  <si>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</si>
  <si>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</si>
  <si>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</si>
  <si>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</si>
  <si>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</si>
  <si>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</si>
  <si>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</si>
  <si>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</si>
  <si>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</si>
  <si>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</si>
  <si>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</si>
  <si>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</si>
  <si>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</si>
  <si>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</si>
  <si>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</si>
  <si>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</si>
  <si>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</si>
  <si>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</si>
  <si>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</si>
  <si>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</si>
  <si>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</si>
  <si>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</si>
  <si>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</si>
  <si>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</si>
  <si>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</si>
  <si>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</si>
  <si>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capital gains unrealized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</si>
</sst>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5" zoomScaleNormal="125" workbookViewId="0">
      <selection activeCell="F667" sqref="F66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353" t="s">
        <v>1422</v>
      </c>
      <c r="B2" s="126">
        <f>INDEX('School Tables'!$AH$3:$AH$208,MATCH('DOE25'!A2,'School Tables'!$AJ$3:$AJ$208,0))</f>
        <v>495</v>
      </c>
      <c r="C2" s="126">
        <f>INDEX('School Tables'!$AI$3:$AI$208,MATCH('DOE25'!A2,'School Tables'!$AJ$3:$AJ$208,0))</f>
        <v>495</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165288.44</v>
      </c>
      <c r="G9" s="18"/>
      <c r="H9" s="18"/>
      <c r="I9" s="18"/>
      <c r="J9" s="67">
        <f>SUM(I440)</f>
        <v>0</v>
      </c>
      <c r="K9" s="24" t="s">
        <v>288</v>
      </c>
      <c r="L9" s="24" t="s">
        <v>288</v>
      </c>
      <c r="M9" s="8"/>
      <c r="N9" s="265"/>
    </row>
    <row r="10" spans="1:14" s="3" customFormat="1" ht="12.4" customHeight="1" x14ac:dyDescent="0.15">
      <c r="A10" s="1" t="s">
        <v>562</v>
      </c>
      <c r="B10" s="2" t="s">
        <v>289</v>
      </c>
      <c r="C10" s="6">
        <v>2</v>
      </c>
      <c r="D10" s="2" t="s">
        <v>428</v>
      </c>
      <c r="E10" s="6">
        <v>110</v>
      </c>
      <c r="F10" s="18"/>
      <c r="G10" s="18"/>
      <c r="H10" s="18"/>
      <c r="I10" s="18"/>
      <c r="J10" s="67">
        <f>SUM(I441)</f>
        <v>217391.74</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v>2200.29</v>
      </c>
      <c r="G12" s="18">
        <v>3786.91</v>
      </c>
      <c r="H12" s="18"/>
      <c r="I12" s="18"/>
      <c r="J12" s="67">
        <f>SUM(I442)</f>
        <v>0</v>
      </c>
      <c r="K12" s="24" t="s">
        <v>288</v>
      </c>
      <c r="L12" s="24" t="s">
        <v>288</v>
      </c>
      <c r="M12" s="8"/>
      <c r="N12" s="265"/>
    </row>
    <row r="13" spans="1:14" s="3" customFormat="1" ht="12.4" customHeight="1" x14ac:dyDescent="0.15">
      <c r="A13" s="1" t="s">
        <v>604</v>
      </c>
      <c r="B13" s="2" t="s">
        <v>289</v>
      </c>
      <c r="C13" s="6">
        <v>5</v>
      </c>
      <c r="D13" s="2" t="s">
        <v>428</v>
      </c>
      <c r="E13" s="6">
        <v>140</v>
      </c>
      <c r="F13" s="18">
        <v>2123.71</v>
      </c>
      <c r="G13" s="18"/>
      <c r="H13" s="18">
        <v>5986.96</v>
      </c>
      <c r="I13" s="18"/>
      <c r="J13" s="67">
        <f>SUM(I443)</f>
        <v>0</v>
      </c>
      <c r="K13" s="24" t="s">
        <v>288</v>
      </c>
      <c r="L13" s="24" t="s">
        <v>288</v>
      </c>
      <c r="M13" s="8"/>
      <c r="N13" s="265"/>
    </row>
    <row r="14" spans="1:14" s="3" customFormat="1" ht="12.4" customHeight="1" x14ac:dyDescent="0.15">
      <c r="A14" s="1" t="s">
        <v>565</v>
      </c>
      <c r="B14" s="2" t="s">
        <v>289</v>
      </c>
      <c r="C14" s="6">
        <v>6</v>
      </c>
      <c r="D14" s="2" t="s">
        <v>428</v>
      </c>
      <c r="E14" s="6">
        <v>150</v>
      </c>
      <c r="F14" s="18">
        <v>2583.7800000000002</v>
      </c>
      <c r="G14" s="18"/>
      <c r="H14" s="18"/>
      <c r="I14" s="18"/>
      <c r="J14" s="67">
        <f>SUM(I444)</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4" customHeight="1" thickTop="1" x14ac:dyDescent="0.15">
      <c r="A19" s="38" t="s">
        <v>404</v>
      </c>
      <c r="B19" s="39" t="s">
        <v>289</v>
      </c>
      <c r="C19" s="40">
        <v>11</v>
      </c>
      <c r="D19" s="39" t="s">
        <v>428</v>
      </c>
      <c r="E19" s="39"/>
      <c r="F19" s="41">
        <f>SUM(F9:F18)</f>
        <v>172196.22</v>
      </c>
      <c r="G19" s="41">
        <f>SUM(G9:G18)</f>
        <v>3786.91</v>
      </c>
      <c r="H19" s="41">
        <f>SUM(H9:H18)</f>
        <v>5986.96</v>
      </c>
      <c r="I19" s="41">
        <f>SUM(I9:I18)</f>
        <v>0</v>
      </c>
      <c r="J19" s="41">
        <f>SUM(J9:J18)</f>
        <v>217391.74</v>
      </c>
      <c r="K19" s="45" t="s">
        <v>288</v>
      </c>
      <c r="L19" s="45" t="s">
        <v>288</v>
      </c>
      <c r="M19" s="8"/>
      <c r="N19" s="265"/>
    </row>
    <row r="20" spans="1:14" s="3" customFormat="1" ht="12.4" customHeight="1" x14ac:dyDescent="0.15">
      <c r="A20" s="1" t="s">
        <v>454</v>
      </c>
      <c r="C20" s="159"/>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c r="G22" s="18"/>
      <c r="H22" s="18">
        <v>5986.96</v>
      </c>
      <c r="I22" s="18"/>
      <c r="J22" s="67">
        <f>SUM(I449)</f>
        <v>0</v>
      </c>
      <c r="K22" s="24" t="s">
        <v>288</v>
      </c>
      <c r="L22" s="24" t="s">
        <v>288</v>
      </c>
      <c r="M22" s="8"/>
      <c r="N22" s="265"/>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4" customHeight="1" x14ac:dyDescent="0.15">
      <c r="A24" s="1" t="s">
        <v>570</v>
      </c>
      <c r="B24" s="2" t="s">
        <v>289</v>
      </c>
      <c r="C24" s="6">
        <v>14</v>
      </c>
      <c r="D24" s="2" t="s">
        <v>429</v>
      </c>
      <c r="E24" s="6">
        <v>420</v>
      </c>
      <c r="F24" s="18">
        <v>108659.02</v>
      </c>
      <c r="G24" s="18"/>
      <c r="H24" s="18"/>
      <c r="I24" s="18"/>
      <c r="J24" s="67">
        <f>SUM(I451)</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3228.17</v>
      </c>
      <c r="G28" s="18"/>
      <c r="H28" s="18"/>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f>246.97+278.13</f>
        <v>525.1</v>
      </c>
      <c r="G29" s="18"/>
      <c r="H29" s="18"/>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4" customHeight="1" thickTop="1" x14ac:dyDescent="0.15">
      <c r="A32" s="38" t="s">
        <v>406</v>
      </c>
      <c r="B32" s="39" t="s">
        <v>289</v>
      </c>
      <c r="C32" s="40">
        <v>22</v>
      </c>
      <c r="D32" s="39" t="s">
        <v>429</v>
      </c>
      <c r="E32" s="39"/>
      <c r="F32" s="41">
        <f>SUM(F22:F31)</f>
        <v>112412.29000000001</v>
      </c>
      <c r="G32" s="41">
        <f>SUM(G22:G31)</f>
        <v>0</v>
      </c>
      <c r="H32" s="41">
        <f>SUM(H22:H31)</f>
        <v>5986.96</v>
      </c>
      <c r="I32" s="41">
        <f>SUM(I22:I31)</f>
        <v>0</v>
      </c>
      <c r="J32" s="41">
        <f>SUM(J22:J31)</f>
        <v>0</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4" customHeight="1" x14ac:dyDescent="0.15">
      <c r="A40" s="1" t="s">
        <v>860</v>
      </c>
      <c r="B40" s="6">
        <v>1</v>
      </c>
      <c r="C40" s="6">
        <v>27</v>
      </c>
      <c r="D40" s="2"/>
      <c r="E40" s="6"/>
      <c r="F40" s="24" t="s">
        <v>288</v>
      </c>
      <c r="G40" s="18">
        <v>3786.91</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4" customHeight="1" x14ac:dyDescent="0.15">
      <c r="A44" s="1" t="s">
        <v>837</v>
      </c>
      <c r="B44" s="6">
        <v>1</v>
      </c>
      <c r="C44" s="6">
        <v>30</v>
      </c>
      <c r="D44" s="2" t="s">
        <v>653</v>
      </c>
      <c r="E44" s="6">
        <v>755</v>
      </c>
      <c r="F44" s="18">
        <v>35504</v>
      </c>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v>14415.56</v>
      </c>
      <c r="G48" s="18"/>
      <c r="H48" s="18"/>
      <c r="I48" s="18"/>
      <c r="J48" s="13">
        <f>SUM(I460)</f>
        <v>217391.74</v>
      </c>
      <c r="K48" s="24" t="s">
        <v>288</v>
      </c>
      <c r="L48" s="24" t="s">
        <v>288</v>
      </c>
      <c r="M48" s="8"/>
      <c r="N48" s="265"/>
    </row>
    <row r="49" spans="1:14" s="3" customFormat="1" ht="12.4" customHeight="1" x14ac:dyDescent="0.15">
      <c r="A49" s="1" t="s">
        <v>859</v>
      </c>
      <c r="B49" s="2" t="s">
        <v>289</v>
      </c>
      <c r="C49" s="6">
        <v>34</v>
      </c>
      <c r="D49" s="2"/>
      <c r="E49" s="6">
        <v>753</v>
      </c>
      <c r="F49" s="18">
        <v>9864.3700000000008</v>
      </c>
      <c r="G49" s="18"/>
      <c r="H49" s="18"/>
      <c r="I49" s="18"/>
      <c r="J49" s="13">
        <f>I455</f>
        <v>0</v>
      </c>
      <c r="K49" s="24"/>
      <c r="L49" s="24"/>
      <c r="M49" s="8"/>
      <c r="N49" s="265"/>
    </row>
    <row r="50" spans="1:14" s="3" customFormat="1" ht="12.4"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59783.93</v>
      </c>
      <c r="G51" s="41">
        <f>SUM(G35:G50)</f>
        <v>3786.91</v>
      </c>
      <c r="H51" s="41">
        <f>SUM(H35:H50)</f>
        <v>0</v>
      </c>
      <c r="I51" s="41">
        <f>SUM(I35:I50)</f>
        <v>0</v>
      </c>
      <c r="J51" s="41">
        <f>SUM(J35:J50)</f>
        <v>217391.74</v>
      </c>
      <c r="K51" s="45" t="s">
        <v>288</v>
      </c>
      <c r="L51" s="45" t="s">
        <v>288</v>
      </c>
      <c r="N51" s="263"/>
    </row>
    <row r="52" spans="1:14" s="3" customFormat="1" ht="12.4" customHeight="1" thickTop="1" x14ac:dyDescent="0.15">
      <c r="A52" s="38" t="s">
        <v>455</v>
      </c>
      <c r="B52" s="39" t="s">
        <v>289</v>
      </c>
      <c r="C52" s="6">
        <v>37</v>
      </c>
      <c r="D52" s="39" t="s">
        <v>653</v>
      </c>
      <c r="E52" s="39"/>
      <c r="F52" s="41">
        <f>F51+F32</f>
        <v>172196.22</v>
      </c>
      <c r="G52" s="41">
        <f>G51+G32</f>
        <v>3786.91</v>
      </c>
      <c r="H52" s="41">
        <f>H51+H32</f>
        <v>5986.96</v>
      </c>
      <c r="I52" s="41">
        <f>I51+I32</f>
        <v>0</v>
      </c>
      <c r="J52" s="41">
        <f>J51+J32</f>
        <v>217391.74</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2216127</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2216127</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70"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v>480.19</v>
      </c>
      <c r="G96" s="18"/>
      <c r="H96" s="18"/>
      <c r="I96" s="18"/>
      <c r="J96" s="18">
        <v>19220.91</v>
      </c>
      <c r="K96" s="24" t="s">
        <v>288</v>
      </c>
      <c r="L96" s="24" t="s">
        <v>288</v>
      </c>
      <c r="M96" s="8"/>
      <c r="N96" s="265"/>
    </row>
    <row r="97" spans="1:14" s="3" customFormat="1" ht="12.4" customHeight="1" x14ac:dyDescent="0.15">
      <c r="A97" s="1" t="s">
        <v>503</v>
      </c>
      <c r="B97" s="2" t="s">
        <v>315</v>
      </c>
      <c r="C97" s="6">
        <v>12</v>
      </c>
      <c r="D97" s="2" t="s">
        <v>430</v>
      </c>
      <c r="E97" s="6">
        <v>1600</v>
      </c>
      <c r="F97" s="24" t="s">
        <v>288</v>
      </c>
      <c r="G97" s="18">
        <v>1323.75</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v>25750</v>
      </c>
      <c r="G102" s="18"/>
      <c r="H102" s="18"/>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v>14814.16</v>
      </c>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41044.35</v>
      </c>
      <c r="G111" s="41">
        <f>SUM(G96:G110)</f>
        <v>1323.75</v>
      </c>
      <c r="H111" s="41">
        <f>SUM(H96:H110)</f>
        <v>0</v>
      </c>
      <c r="I111" s="41">
        <f>SUM(I96:I110)</f>
        <v>0</v>
      </c>
      <c r="J111" s="41">
        <f>SUM(J96:J110)</f>
        <v>19220.91</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2257171.35</v>
      </c>
      <c r="G112" s="41">
        <f>G60+G111</f>
        <v>1323.75</v>
      </c>
      <c r="H112" s="41">
        <f>H60+H79+H94+H111</f>
        <v>0</v>
      </c>
      <c r="I112" s="41">
        <f>I60+I111</f>
        <v>0</v>
      </c>
      <c r="J112" s="41">
        <f>J60+J111</f>
        <v>19220.91</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186177.1</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308155</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494332.1</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903</v>
      </c>
      <c r="B125" s="2" t="s">
        <v>321</v>
      </c>
      <c r="C125" s="6">
        <v>8</v>
      </c>
      <c r="D125" s="2" t="s">
        <v>430</v>
      </c>
      <c r="E125" s="6">
        <v>3220</v>
      </c>
      <c r="F125" s="18">
        <v>22719.96</v>
      </c>
      <c r="G125" s="24" t="s">
        <v>288</v>
      </c>
      <c r="H125" s="24" t="s">
        <v>288</v>
      </c>
      <c r="I125" s="24" t="s">
        <v>288</v>
      </c>
      <c r="J125" s="24" t="s">
        <v>288</v>
      </c>
      <c r="K125" s="24" t="s">
        <v>288</v>
      </c>
      <c r="L125" s="24" t="s">
        <v>288</v>
      </c>
      <c r="M125" s="8"/>
      <c r="N125" s="265"/>
    </row>
    <row r="126" spans="1:14" s="3" customFormat="1" ht="12.4" customHeight="1" x14ac:dyDescent="0.15">
      <c r="A126" s="1" t="s">
        <v>901</v>
      </c>
      <c r="B126" s="2" t="s">
        <v>321</v>
      </c>
      <c r="C126" s="6">
        <v>9</v>
      </c>
      <c r="D126" s="2" t="s">
        <v>430</v>
      </c>
      <c r="E126" s="6">
        <v>3230</v>
      </c>
      <c r="F126" s="18">
        <v>16973.78</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39693.74</v>
      </c>
      <c r="G136" s="41">
        <f>SUM(G123:G135)</f>
        <v>0</v>
      </c>
      <c r="H136" s="41">
        <f>SUM(H123:H135)</f>
        <v>0</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534025.84</v>
      </c>
      <c r="G140" s="41">
        <f>G121+SUM(G136:G137)</f>
        <v>0</v>
      </c>
      <c r="H140" s="41">
        <f>H121+SUM(H136:H139)</f>
        <v>0</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v>7813.24</v>
      </c>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f>2000.59+1532.53+261.88+930.38+10000+5672.87+175.94</f>
        <v>20574.189999999999</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v>2890.55</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24" t="s">
        <v>288</v>
      </c>
      <c r="G159" s="24" t="s">
        <v>288</v>
      </c>
      <c r="H159" s="18">
        <f>-863.86+9354.36+5377.3+1088.31+0.02</f>
        <v>14956.13</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14620.2</v>
      </c>
      <c r="G160" s="24" t="s">
        <v>288</v>
      </c>
      <c r="H160" s="18"/>
      <c r="I160" s="24" t="s">
        <v>288</v>
      </c>
      <c r="J160" s="24" t="s">
        <v>288</v>
      </c>
      <c r="K160" s="24" t="s">
        <v>288</v>
      </c>
      <c r="L160" s="24" t="s">
        <v>288</v>
      </c>
      <c r="M160" s="8"/>
      <c r="N160" s="265"/>
    </row>
    <row r="161" spans="1:14" s="3" customFormat="1" ht="12.4" customHeight="1" x14ac:dyDescent="0.15">
      <c r="A161" s="1" t="s">
        <v>492</v>
      </c>
      <c r="B161" s="2" t="s">
        <v>324</v>
      </c>
      <c r="C161" s="6">
        <v>14</v>
      </c>
      <c r="D161" s="2" t="s">
        <v>430</v>
      </c>
      <c r="E161" s="6">
        <v>4590</v>
      </c>
      <c r="F161" s="18"/>
      <c r="G161" s="18">
        <v>164.72</v>
      </c>
      <c r="H161" s="18"/>
      <c r="I161" s="18"/>
      <c r="J161" s="24" t="s">
        <v>288</v>
      </c>
      <c r="K161" s="24" t="s">
        <v>288</v>
      </c>
      <c r="L161" s="24" t="s">
        <v>288</v>
      </c>
      <c r="M161" s="8"/>
      <c r="N161" s="265"/>
    </row>
    <row r="162" spans="1:14" s="3" customFormat="1" ht="12.4"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4" customHeight="1" thickTop="1" x14ac:dyDescent="0.15">
      <c r="A163" s="38" t="s">
        <v>436</v>
      </c>
      <c r="B163" s="39" t="s">
        <v>324</v>
      </c>
      <c r="C163" s="40">
        <v>16</v>
      </c>
      <c r="D163" s="39" t="s">
        <v>430</v>
      </c>
      <c r="E163" s="40"/>
      <c r="F163" s="41">
        <f>SUM(F150:F162)</f>
        <v>22433.440000000002</v>
      </c>
      <c r="G163" s="41">
        <f>SUM(G150:G162)</f>
        <v>3055.27</v>
      </c>
      <c r="H163" s="41">
        <f>SUM(H150:H162)</f>
        <v>35530.32</v>
      </c>
      <c r="I163" s="41">
        <f>SUM(I150:I162)</f>
        <v>0</v>
      </c>
      <c r="J163" s="45" t="s">
        <v>288</v>
      </c>
      <c r="K163" s="45" t="s">
        <v>288</v>
      </c>
      <c r="L163" s="45" t="s">
        <v>288</v>
      </c>
      <c r="M163" s="8"/>
      <c r="N163" s="265"/>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4" customHeight="1" thickTop="1" x14ac:dyDescent="0.15">
      <c r="A170" s="38" t="s">
        <v>458</v>
      </c>
      <c r="B170" s="39" t="s">
        <v>324</v>
      </c>
      <c r="C170" s="40">
        <v>21</v>
      </c>
      <c r="D170" s="39" t="s">
        <v>430</v>
      </c>
      <c r="E170" s="44">
        <v>4000</v>
      </c>
      <c r="F170" s="41">
        <f>F147+F163+SUM(F164:F169)</f>
        <v>22433.440000000002</v>
      </c>
      <c r="G170" s="41">
        <f>G147+G163+SUM(G164:G169)</f>
        <v>3055.27</v>
      </c>
      <c r="H170" s="41">
        <f>H147+H163+SUM(H164:H169)</f>
        <v>35530.32</v>
      </c>
      <c r="I170" s="41">
        <f>I147+I163+SUM(I164:I169)</f>
        <v>0</v>
      </c>
      <c r="J170" s="45" t="s">
        <v>288</v>
      </c>
      <c r="K170" s="45" t="s">
        <v>288</v>
      </c>
      <c r="L170" s="45" t="s">
        <v>288</v>
      </c>
      <c r="M170" s="8"/>
      <c r="N170" s="265"/>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4" customHeight="1" x14ac:dyDescent="0.2">
      <c r="A172" s="29" t="s">
        <v>680</v>
      </c>
      <c r="F172" s="23"/>
      <c r="G172" s="23"/>
      <c r="H172" s="16" t="s">
        <v>282</v>
      </c>
      <c r="I172" s="23"/>
      <c r="J172" s="23"/>
      <c r="K172" s="20"/>
      <c r="L172" s="20"/>
      <c r="M172" s="8"/>
      <c r="N172" s="265"/>
    </row>
    <row r="173" spans="1:14" s="3" customFormat="1" ht="12.4"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4"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4" customHeight="1" x14ac:dyDescent="0.2">
      <c r="A187" s="1" t="s">
        <v>529</v>
      </c>
      <c r="B187" s="2" t="s">
        <v>330</v>
      </c>
      <c r="C187" s="6">
        <v>12</v>
      </c>
      <c r="D187" s="2" t="s">
        <v>430</v>
      </c>
      <c r="E187" s="6">
        <v>5252</v>
      </c>
      <c r="F187" s="18">
        <v>105832</v>
      </c>
      <c r="G187" s="18"/>
      <c r="H187" s="18"/>
      <c r="I187" s="18"/>
      <c r="J187" s="24" t="s">
        <v>288</v>
      </c>
      <c r="K187" s="24" t="s">
        <v>288</v>
      </c>
      <c r="L187" s="24" t="s">
        <v>288</v>
      </c>
      <c r="N187" s="263"/>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4" customHeight="1" thickTop="1" x14ac:dyDescent="0.15">
      <c r="A189" s="38" t="s">
        <v>417</v>
      </c>
      <c r="B189" s="39" t="s">
        <v>330</v>
      </c>
      <c r="C189" s="40">
        <v>14</v>
      </c>
      <c r="D189" s="39" t="s">
        <v>430</v>
      </c>
      <c r="E189" s="44">
        <v>5250</v>
      </c>
      <c r="F189" s="41">
        <f>SUM(F186:F188)</f>
        <v>105832</v>
      </c>
      <c r="G189" s="41">
        <f>SUM(G186:G188)</f>
        <v>0</v>
      </c>
      <c r="H189" s="41">
        <f>SUM(H186:H188)</f>
        <v>0</v>
      </c>
      <c r="I189" s="41">
        <f>SUM(I186:I188)</f>
        <v>0</v>
      </c>
      <c r="J189" s="45" t="s">
        <v>288</v>
      </c>
      <c r="K189" s="45" t="s">
        <v>288</v>
      </c>
      <c r="L189" s="45" t="s">
        <v>288</v>
      </c>
      <c r="M189" s="8"/>
      <c r="N189" s="265"/>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4" customHeight="1" thickTop="1" thickBot="1" x14ac:dyDescent="0.25">
      <c r="A193" s="38" t="s">
        <v>418</v>
      </c>
      <c r="B193" s="39" t="s">
        <v>330</v>
      </c>
      <c r="C193" s="40">
        <v>18</v>
      </c>
      <c r="D193" s="156" t="s">
        <v>430</v>
      </c>
      <c r="E193" s="51">
        <v>5000</v>
      </c>
      <c r="F193" s="41">
        <f>F178+F184+SUM(F189:F192)</f>
        <v>105832</v>
      </c>
      <c r="G193" s="41">
        <f>G184+SUM(G189:G192)</f>
        <v>0</v>
      </c>
      <c r="H193" s="41">
        <f>+H184+SUM(H189:H192)</f>
        <v>0</v>
      </c>
      <c r="I193" s="41">
        <f>I178+I184+SUM(I189:I192)</f>
        <v>0</v>
      </c>
      <c r="J193" s="41">
        <f>J184</f>
        <v>0</v>
      </c>
      <c r="K193" s="45" t="s">
        <v>288</v>
      </c>
      <c r="L193" s="45" t="s">
        <v>288</v>
      </c>
      <c r="M193" s="8"/>
      <c r="N193" s="265"/>
    </row>
    <row r="194" spans="1:14" s="3" customFormat="1" ht="12.4" customHeight="1" thickTop="1" x14ac:dyDescent="0.2">
      <c r="A194" s="46" t="s">
        <v>457</v>
      </c>
      <c r="B194" s="39" t="s">
        <v>330</v>
      </c>
      <c r="C194" s="40">
        <v>19</v>
      </c>
      <c r="D194" s="157" t="s">
        <v>430</v>
      </c>
      <c r="E194" s="44"/>
      <c r="F194" s="47">
        <f>F112+F140+F170+F193</f>
        <v>2919462.63</v>
      </c>
      <c r="G194" s="47">
        <f>G112+G140+G170+G193</f>
        <v>4379.0200000000004</v>
      </c>
      <c r="H194" s="47">
        <f>H112+H140+H170+H193</f>
        <v>35530.32</v>
      </c>
      <c r="I194" s="47">
        <f>I112+I140+I170+I193</f>
        <v>0</v>
      </c>
      <c r="J194" s="47">
        <f>J112+J140+J193</f>
        <v>19220.91</v>
      </c>
      <c r="K194" s="45" t="s">
        <v>288</v>
      </c>
      <c r="L194" s="45" t="s">
        <v>288</v>
      </c>
      <c r="M194" s="8"/>
      <c r="N194" s="265"/>
    </row>
    <row r="195" spans="1:14" s="3" customFormat="1" ht="12.4"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4" customHeight="1" x14ac:dyDescent="0.15">
      <c r="A198" s="1" t="s">
        <v>438</v>
      </c>
      <c r="B198" s="2" t="s">
        <v>341</v>
      </c>
      <c r="C198" s="2" t="s">
        <v>290</v>
      </c>
      <c r="D198" s="2" t="s">
        <v>431</v>
      </c>
      <c r="E198" s="6">
        <v>1100</v>
      </c>
      <c r="F198" s="18">
        <f>607213.7+450+150</f>
        <v>607813.69999999995</v>
      </c>
      <c r="G198" s="18">
        <f>34.44+11.48+272030.26</f>
        <v>272076.18</v>
      </c>
      <c r="H198" s="18">
        <f>9637.35+3475</f>
        <v>13112.35</v>
      </c>
      <c r="I198" s="18">
        <f>16579.76+2469.84+900+127.96+1.16</f>
        <v>20078.719999999998</v>
      </c>
      <c r="J198" s="18">
        <f>63.92+1360</f>
        <v>1423.92</v>
      </c>
      <c r="K198" s="18"/>
      <c r="L198" s="19">
        <f>SUM(F198:K198)</f>
        <v>914504.86999999988</v>
      </c>
      <c r="M198" s="8"/>
      <c r="N198" s="265"/>
    </row>
    <row r="199" spans="1:14" s="3" customFormat="1" ht="12.4" customHeight="1" x14ac:dyDescent="0.15">
      <c r="A199" s="1" t="s">
        <v>439</v>
      </c>
      <c r="B199" s="2" t="s">
        <v>341</v>
      </c>
      <c r="C199" s="2" t="s">
        <v>291</v>
      </c>
      <c r="D199" s="2" t="s">
        <v>431</v>
      </c>
      <c r="E199" s="6">
        <v>1200</v>
      </c>
      <c r="F199" s="18">
        <v>307491.14</v>
      </c>
      <c r="G199" s="18">
        <v>94794.55</v>
      </c>
      <c r="H199" s="18">
        <v>231653</v>
      </c>
      <c r="I199" s="18">
        <v>990.31</v>
      </c>
      <c r="J199" s="18"/>
      <c r="K199" s="18">
        <v>975</v>
      </c>
      <c r="L199" s="19">
        <f>SUM(F199:K199)</f>
        <v>635904</v>
      </c>
      <c r="M199" s="8"/>
      <c r="N199" s="265"/>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4" customHeight="1" x14ac:dyDescent="0.15">
      <c r="A201" s="1" t="s">
        <v>441</v>
      </c>
      <c r="B201" s="2" t="s">
        <v>341</v>
      </c>
      <c r="C201" s="2" t="s">
        <v>293</v>
      </c>
      <c r="D201" s="2" t="s">
        <v>431</v>
      </c>
      <c r="E201" s="6">
        <v>1400</v>
      </c>
      <c r="F201" s="18">
        <v>10168.5</v>
      </c>
      <c r="G201" s="18">
        <v>803.31</v>
      </c>
      <c r="H201" s="18">
        <v>1980</v>
      </c>
      <c r="I201" s="18">
        <v>758.13</v>
      </c>
      <c r="J201" s="18"/>
      <c r="K201" s="18"/>
      <c r="L201" s="19">
        <f>SUM(F201:K201)</f>
        <v>13709.939999999999</v>
      </c>
      <c r="M201" s="8"/>
      <c r="N201" s="265"/>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4" customHeight="1" x14ac:dyDescent="0.15">
      <c r="A203" s="1" t="s">
        <v>442</v>
      </c>
      <c r="B203" s="2" t="s">
        <v>341</v>
      </c>
      <c r="C203" s="2" t="s">
        <v>294</v>
      </c>
      <c r="D203" s="2" t="s">
        <v>431</v>
      </c>
      <c r="E203" s="6">
        <v>2100</v>
      </c>
      <c r="F203" s="18">
        <f>71205+71710.69</f>
        <v>142915.69</v>
      </c>
      <c r="G203" s="18">
        <v>71117.7</v>
      </c>
      <c r="H203" s="18"/>
      <c r="I203" s="18">
        <v>240.26</v>
      </c>
      <c r="J203" s="18">
        <v>523</v>
      </c>
      <c r="K203" s="18"/>
      <c r="L203" s="19">
        <f t="shared" ref="L203:L209" si="0">SUM(F203:K203)</f>
        <v>214796.65000000002</v>
      </c>
      <c r="M203" s="8"/>
      <c r="N203" s="265"/>
    </row>
    <row r="204" spans="1:14" s="3" customFormat="1" ht="12.4" customHeight="1" x14ac:dyDescent="0.15">
      <c r="A204" s="1" t="s">
        <v>443</v>
      </c>
      <c r="B204" s="2" t="s">
        <v>341</v>
      </c>
      <c r="C204" s="2" t="s">
        <v>295</v>
      </c>
      <c r="D204" s="2" t="s">
        <v>431</v>
      </c>
      <c r="E204" s="6">
        <v>2200</v>
      </c>
      <c r="F204" s="18">
        <f>181.44+18458.16</f>
        <v>18639.599999999999</v>
      </c>
      <c r="G204" s="18">
        <f>8961+1510.53</f>
        <v>10471.530000000001</v>
      </c>
      <c r="H204" s="18">
        <f>1547.49+128.82</f>
        <v>1676.31</v>
      </c>
      <c r="I204" s="18">
        <f>34.95+20843.56+200</f>
        <v>21078.510000000002</v>
      </c>
      <c r="J204" s="18">
        <v>1881.44</v>
      </c>
      <c r="K204" s="18"/>
      <c r="L204" s="19">
        <f t="shared" si="0"/>
        <v>53747.39</v>
      </c>
      <c r="M204" s="8"/>
      <c r="N204" s="265"/>
    </row>
    <row r="205" spans="1:14" s="3" customFormat="1" ht="12.4" customHeight="1" x14ac:dyDescent="0.15">
      <c r="A205" s="1" t="s">
        <v>444</v>
      </c>
      <c r="B205" s="2" t="s">
        <v>341</v>
      </c>
      <c r="C205" s="2" t="s">
        <v>296</v>
      </c>
      <c r="D205" s="2" t="s">
        <v>431</v>
      </c>
      <c r="E205" s="6">
        <v>2300</v>
      </c>
      <c r="F205" s="18">
        <v>6515</v>
      </c>
      <c r="G205" s="18">
        <v>501.66</v>
      </c>
      <c r="H205" s="18">
        <f>15814.81+61519</f>
        <v>77333.81</v>
      </c>
      <c r="I205" s="18"/>
      <c r="J205" s="18"/>
      <c r="K205" s="18">
        <v>3298.06</v>
      </c>
      <c r="L205" s="19">
        <f t="shared" si="0"/>
        <v>87648.53</v>
      </c>
      <c r="M205" s="8"/>
      <c r="N205" s="265"/>
    </row>
    <row r="206" spans="1:14" s="3" customFormat="1" ht="12.4" customHeight="1" x14ac:dyDescent="0.15">
      <c r="A206" s="1" t="s">
        <v>445</v>
      </c>
      <c r="B206" s="2" t="s">
        <v>341</v>
      </c>
      <c r="C206" s="2" t="s">
        <v>297</v>
      </c>
      <c r="D206" s="2" t="s">
        <v>431</v>
      </c>
      <c r="E206" s="6">
        <v>2400</v>
      </c>
      <c r="F206" s="18">
        <v>135203.99</v>
      </c>
      <c r="G206" s="18">
        <v>63878.2</v>
      </c>
      <c r="H206" s="18">
        <v>236.9</v>
      </c>
      <c r="I206" s="18">
        <v>188.19</v>
      </c>
      <c r="J206" s="18"/>
      <c r="K206" s="18">
        <v>924</v>
      </c>
      <c r="L206" s="19">
        <f t="shared" si="0"/>
        <v>200431.28</v>
      </c>
      <c r="M206" s="8"/>
      <c r="N206" s="265"/>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4" customHeight="1" x14ac:dyDescent="0.15">
      <c r="A208" s="1" t="s">
        <v>447</v>
      </c>
      <c r="B208" s="2" t="s">
        <v>341</v>
      </c>
      <c r="C208" s="2" t="s">
        <v>299</v>
      </c>
      <c r="D208" s="2" t="s">
        <v>431</v>
      </c>
      <c r="E208" s="6">
        <v>2600</v>
      </c>
      <c r="F208" s="18">
        <v>19608.91</v>
      </c>
      <c r="G208" s="18">
        <v>1549.1</v>
      </c>
      <c r="H208" s="18">
        <f>124818.38+10077.7</f>
        <v>134896.08000000002</v>
      </c>
      <c r="I208" s="18">
        <v>34014.6</v>
      </c>
      <c r="J208" s="18">
        <v>2476.31</v>
      </c>
      <c r="K208" s="18"/>
      <c r="L208" s="19">
        <f t="shared" si="0"/>
        <v>192545.00000000003</v>
      </c>
      <c r="M208" s="8"/>
      <c r="N208" s="265"/>
    </row>
    <row r="209" spans="1:14" s="3" customFormat="1" ht="12.4" customHeight="1" x14ac:dyDescent="0.15">
      <c r="A209" s="1" t="s">
        <v>448</v>
      </c>
      <c r="B209" s="2" t="s">
        <v>341</v>
      </c>
      <c r="C209" s="2" t="s">
        <v>300</v>
      </c>
      <c r="D209" s="2" t="s">
        <v>431</v>
      </c>
      <c r="E209" s="6">
        <v>2700</v>
      </c>
      <c r="F209" s="18"/>
      <c r="G209" s="18"/>
      <c r="H209" s="18">
        <f>63290.5+1890.51+206</f>
        <v>65387.01</v>
      </c>
      <c r="I209" s="18"/>
      <c r="J209" s="18"/>
      <c r="K209" s="18"/>
      <c r="L209" s="19">
        <f t="shared" si="0"/>
        <v>65387.01</v>
      </c>
      <c r="M209" s="8"/>
      <c r="N209" s="265"/>
    </row>
    <row r="210" spans="1:14" s="3" customFormat="1" ht="12.4" customHeight="1" x14ac:dyDescent="0.15">
      <c r="A210" s="1" t="s">
        <v>449</v>
      </c>
      <c r="B210" s="2" t="s">
        <v>341</v>
      </c>
      <c r="C210" s="2" t="s">
        <v>343</v>
      </c>
      <c r="D210" s="2" t="s">
        <v>431</v>
      </c>
      <c r="E210" s="6">
        <v>2800</v>
      </c>
      <c r="F210" s="18"/>
      <c r="G210" s="18">
        <v>1999.92</v>
      </c>
      <c r="H210" s="18"/>
      <c r="I210" s="18"/>
      <c r="J210" s="18"/>
      <c r="K210" s="18">
        <v>234.34</v>
      </c>
      <c r="L210" s="19">
        <f>SUM(F210:K210)</f>
        <v>2234.2600000000002</v>
      </c>
      <c r="M210" s="8"/>
      <c r="N210" s="265"/>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4" customHeight="1" thickTop="1" x14ac:dyDescent="0.15">
      <c r="A212" s="38" t="s">
        <v>419</v>
      </c>
      <c r="B212" s="39" t="s">
        <v>341</v>
      </c>
      <c r="C212" s="39" t="s">
        <v>345</v>
      </c>
      <c r="D212" s="39" t="s">
        <v>431</v>
      </c>
      <c r="E212" s="39"/>
      <c r="F212" s="41">
        <f t="shared" ref="F212:L212" si="1">SUM(F198:F211)</f>
        <v>1248356.53</v>
      </c>
      <c r="G212" s="41">
        <f t="shared" si="1"/>
        <v>517192.14999999997</v>
      </c>
      <c r="H212" s="41">
        <f t="shared" si="1"/>
        <v>526275.46</v>
      </c>
      <c r="I212" s="41">
        <f t="shared" si="1"/>
        <v>77348.72</v>
      </c>
      <c r="J212" s="41">
        <f t="shared" si="1"/>
        <v>6304.67</v>
      </c>
      <c r="K212" s="41">
        <f t="shared" si="1"/>
        <v>5431.4</v>
      </c>
      <c r="L212" s="41">
        <f t="shared" si="1"/>
        <v>2380908.9299999992</v>
      </c>
      <c r="M212" s="8"/>
      <c r="N212" s="265"/>
    </row>
    <row r="213" spans="1:14" s="3" customFormat="1" ht="12.4"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4"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4" customHeight="1" x14ac:dyDescent="0.15">
      <c r="A234" s="1" t="s">
        <v>438</v>
      </c>
      <c r="B234" s="2" t="s">
        <v>350</v>
      </c>
      <c r="C234" s="2" t="s">
        <v>290</v>
      </c>
      <c r="D234" s="2" t="s">
        <v>431</v>
      </c>
      <c r="E234" s="6">
        <v>1100</v>
      </c>
      <c r="F234" s="18"/>
      <c r="G234" s="18"/>
      <c r="H234" s="18">
        <v>473777.6</v>
      </c>
      <c r="I234" s="18"/>
      <c r="J234" s="18"/>
      <c r="K234" s="18"/>
      <c r="L234" s="19">
        <f>SUM(F234:K234)</f>
        <v>473777.6</v>
      </c>
      <c r="M234" s="8"/>
      <c r="N234" s="265"/>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473777.6</v>
      </c>
      <c r="I248" s="41">
        <f t="shared" si="5"/>
        <v>0</v>
      </c>
      <c r="J248" s="41">
        <f t="shared" si="5"/>
        <v>0</v>
      </c>
      <c r="K248" s="41">
        <f t="shared" si="5"/>
        <v>0</v>
      </c>
      <c r="L248" s="41">
        <f t="shared" si="5"/>
        <v>473777.6</v>
      </c>
      <c r="M248" s="8"/>
      <c r="N248" s="265"/>
    </row>
    <row r="249" spans="1:14" s="3" customFormat="1" ht="12.4"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4" customHeight="1" thickBot="1" x14ac:dyDescent="0.2">
      <c r="A256" s="1" t="s">
        <v>584</v>
      </c>
      <c r="B256" s="2" t="s">
        <v>352</v>
      </c>
      <c r="C256" s="6">
        <v>6</v>
      </c>
      <c r="D256" s="2" t="s">
        <v>431</v>
      </c>
      <c r="E256" s="6">
        <v>4000</v>
      </c>
      <c r="F256" s="18"/>
      <c r="G256" s="18"/>
      <c r="H256" s="18">
        <v>99406.5</v>
      </c>
      <c r="I256" s="18"/>
      <c r="J256" s="18"/>
      <c r="K256" s="18"/>
      <c r="L256" s="19">
        <f t="shared" si="6"/>
        <v>99406.5</v>
      </c>
      <c r="M256" s="8"/>
      <c r="N256" s="265"/>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99406.5</v>
      </c>
      <c r="I257" s="41">
        <f t="shared" si="7"/>
        <v>0</v>
      </c>
      <c r="J257" s="41">
        <f t="shared" si="7"/>
        <v>0</v>
      </c>
      <c r="K257" s="41">
        <f t="shared" si="7"/>
        <v>0</v>
      </c>
      <c r="L257" s="41">
        <f>SUM(F257:K257)</f>
        <v>99406.5</v>
      </c>
      <c r="M257" s="8"/>
      <c r="N257" s="265"/>
    </row>
    <row r="258" spans="1:14" s="3" customFormat="1" ht="12.4" customHeight="1" thickTop="1" x14ac:dyDescent="0.15">
      <c r="A258" s="38" t="s">
        <v>462</v>
      </c>
      <c r="B258" s="40">
        <v>10</v>
      </c>
      <c r="C258" s="40">
        <v>8</v>
      </c>
      <c r="D258" s="39" t="s">
        <v>431</v>
      </c>
      <c r="E258" s="40"/>
      <c r="F258" s="41">
        <f t="shared" ref="F258:L258" si="8">F212+F230+F248+F257</f>
        <v>1248356.53</v>
      </c>
      <c r="G258" s="41">
        <f t="shared" si="8"/>
        <v>517192.14999999997</v>
      </c>
      <c r="H258" s="41">
        <f t="shared" si="8"/>
        <v>1099459.56</v>
      </c>
      <c r="I258" s="41">
        <f t="shared" si="8"/>
        <v>77348.72</v>
      </c>
      <c r="J258" s="41">
        <f t="shared" si="8"/>
        <v>6304.67</v>
      </c>
      <c r="K258" s="41">
        <f t="shared" si="8"/>
        <v>5431.4</v>
      </c>
      <c r="L258" s="41">
        <f t="shared" si="8"/>
        <v>2954093.0299999993</v>
      </c>
      <c r="M258" s="8"/>
      <c r="N258" s="265"/>
    </row>
    <row r="259" spans="1:14" s="3" customFormat="1" ht="12.4" customHeight="1" x14ac:dyDescent="0.15">
      <c r="A259" s="34" t="s">
        <v>354</v>
      </c>
      <c r="F259" s="13"/>
      <c r="G259" s="13"/>
      <c r="H259" s="13"/>
      <c r="I259" s="13"/>
      <c r="J259" s="13"/>
      <c r="K259" s="14" t="s">
        <v>286</v>
      </c>
      <c r="L259" s="14" t="s">
        <v>355</v>
      </c>
      <c r="M259" s="8"/>
      <c r="N259" s="265"/>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4" customHeight="1" thickTop="1" x14ac:dyDescent="0.2">
      <c r="A272" s="43" t="s">
        <v>464</v>
      </c>
      <c r="B272" s="40">
        <v>10</v>
      </c>
      <c r="C272" s="40">
        <v>18</v>
      </c>
      <c r="D272" s="39" t="s">
        <v>431</v>
      </c>
      <c r="E272" s="40"/>
      <c r="F272" s="42">
        <f t="shared" ref="F272:L272" si="11">F258+F271</f>
        <v>1248356.53</v>
      </c>
      <c r="G272" s="42">
        <f t="shared" si="11"/>
        <v>517192.14999999997</v>
      </c>
      <c r="H272" s="42">
        <f t="shared" si="11"/>
        <v>1099459.56</v>
      </c>
      <c r="I272" s="42">
        <f t="shared" si="11"/>
        <v>77348.72</v>
      </c>
      <c r="J272" s="42">
        <f t="shared" si="11"/>
        <v>6304.67</v>
      </c>
      <c r="K272" s="42">
        <f t="shared" si="11"/>
        <v>5431.4</v>
      </c>
      <c r="L272" s="42">
        <f t="shared" si="11"/>
        <v>2954093.0299999993</v>
      </c>
      <c r="M272" s="35"/>
      <c r="N272" s="265"/>
    </row>
    <row r="273" spans="1:14" s="3" customFormat="1" ht="12.4" customHeight="1" x14ac:dyDescent="0.2">
      <c r="A273" s="33"/>
      <c r="B273" s="6"/>
      <c r="C273" s="6"/>
      <c r="D273" s="6"/>
      <c r="E273" s="6"/>
      <c r="F273" s="20"/>
      <c r="G273" s="20"/>
      <c r="H273" s="20"/>
      <c r="I273" s="20"/>
      <c r="J273" s="20"/>
      <c r="K273" s="20"/>
      <c r="L273" s="20"/>
      <c r="M273" s="8"/>
      <c r="N273" s="265"/>
    </row>
    <row r="274" spans="1:14" s="3" customFormat="1" ht="12.4" customHeight="1" x14ac:dyDescent="0.15">
      <c r="A274" s="29" t="s">
        <v>466</v>
      </c>
      <c r="F274" s="176" t="s">
        <v>689</v>
      </c>
      <c r="G274" s="176" t="s">
        <v>690</v>
      </c>
      <c r="H274" s="176" t="s">
        <v>691</v>
      </c>
      <c r="I274" s="176" t="s">
        <v>692</v>
      </c>
      <c r="J274" s="176" t="s">
        <v>693</v>
      </c>
      <c r="K274" s="176" t="s">
        <v>694</v>
      </c>
      <c r="M274" s="8"/>
      <c r="N274" s="265"/>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4" customHeight="1" x14ac:dyDescent="0.15">
      <c r="A277" s="1" t="s">
        <v>438</v>
      </c>
      <c r="B277" s="2" t="s">
        <v>357</v>
      </c>
      <c r="C277" s="2" t="s">
        <v>290</v>
      </c>
      <c r="D277" s="2" t="s">
        <v>431</v>
      </c>
      <c r="E277" s="6">
        <v>1100</v>
      </c>
      <c r="F277" s="18"/>
      <c r="G277" s="18"/>
      <c r="H277" s="18">
        <v>6300</v>
      </c>
      <c r="I277" s="18">
        <v>6312.71</v>
      </c>
      <c r="J277" s="18"/>
      <c r="K277" s="18"/>
      <c r="L277" s="19">
        <f>SUM(F277:K277)</f>
        <v>12612.71</v>
      </c>
      <c r="M277" s="8"/>
      <c r="N277" s="265"/>
    </row>
    <row r="278" spans="1:14" s="3" customFormat="1" ht="12.4" customHeight="1" x14ac:dyDescent="0.15">
      <c r="A278" s="1" t="s">
        <v>439</v>
      </c>
      <c r="B278" s="2" t="s">
        <v>357</v>
      </c>
      <c r="C278" s="2" t="s">
        <v>291</v>
      </c>
      <c r="D278" s="2" t="s">
        <v>431</v>
      </c>
      <c r="E278" s="6">
        <v>1200</v>
      </c>
      <c r="F278" s="18"/>
      <c r="G278" s="18"/>
      <c r="H278" s="18">
        <v>10697.36</v>
      </c>
      <c r="I278" s="18">
        <v>3765.67</v>
      </c>
      <c r="J278" s="18">
        <v>179.98</v>
      </c>
      <c r="K278" s="18"/>
      <c r="L278" s="19">
        <f>SUM(F278:K278)</f>
        <v>14643.01</v>
      </c>
      <c r="M278" s="8"/>
      <c r="N278" s="265"/>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4" customHeight="1" x14ac:dyDescent="0.15">
      <c r="A283" s="1" t="s">
        <v>443</v>
      </c>
      <c r="B283" s="2" t="s">
        <v>357</v>
      </c>
      <c r="C283" s="2" t="s">
        <v>295</v>
      </c>
      <c r="D283" s="2" t="s">
        <v>431</v>
      </c>
      <c r="E283" s="6">
        <v>2200</v>
      </c>
      <c r="F283" s="18">
        <v>1075</v>
      </c>
      <c r="G283" s="18">
        <v>308.20999999999998</v>
      </c>
      <c r="H283" s="18">
        <v>3000</v>
      </c>
      <c r="I283" s="18">
        <v>3303.8</v>
      </c>
      <c r="J283" s="18"/>
      <c r="K283" s="18"/>
      <c r="L283" s="19">
        <f t="shared" si="12"/>
        <v>7687.01</v>
      </c>
      <c r="M283" s="8"/>
      <c r="N283" s="265"/>
    </row>
    <row r="284" spans="1:14" s="3" customFormat="1" ht="12.4" customHeight="1" x14ac:dyDescent="0.15">
      <c r="A284" s="1" t="s">
        <v>444</v>
      </c>
      <c r="B284" s="2" t="s">
        <v>357</v>
      </c>
      <c r="C284" s="2" t="s">
        <v>296</v>
      </c>
      <c r="D284" s="2" t="s">
        <v>431</v>
      </c>
      <c r="E284" s="6">
        <v>2300</v>
      </c>
      <c r="F284" s="18"/>
      <c r="G284" s="18"/>
      <c r="H284" s="18"/>
      <c r="I284" s="18"/>
      <c r="J284" s="18"/>
      <c r="K284" s="18">
        <v>587.59</v>
      </c>
      <c r="L284" s="19">
        <f t="shared" si="12"/>
        <v>587.59</v>
      </c>
      <c r="M284" s="8"/>
      <c r="N284" s="265"/>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4" customHeight="1" thickTop="1" x14ac:dyDescent="0.2">
      <c r="A291" s="38" t="s">
        <v>419</v>
      </c>
      <c r="B291" s="39" t="s">
        <v>357</v>
      </c>
      <c r="C291" s="39" t="s">
        <v>345</v>
      </c>
      <c r="D291" s="39" t="s">
        <v>431</v>
      </c>
      <c r="E291" s="39"/>
      <c r="F291" s="42">
        <f t="shared" ref="F291:L291" si="13">SUM(F277:F290)</f>
        <v>1075</v>
      </c>
      <c r="G291" s="42">
        <f t="shared" si="13"/>
        <v>308.20999999999998</v>
      </c>
      <c r="H291" s="42">
        <f t="shared" si="13"/>
        <v>19997.36</v>
      </c>
      <c r="I291" s="42">
        <f t="shared" si="13"/>
        <v>13382.18</v>
      </c>
      <c r="J291" s="42">
        <f t="shared" si="13"/>
        <v>179.98</v>
      </c>
      <c r="K291" s="42">
        <f t="shared" si="13"/>
        <v>587.59</v>
      </c>
      <c r="L291" s="41">
        <f t="shared" si="13"/>
        <v>35530.32</v>
      </c>
      <c r="M291" s="8"/>
      <c r="N291" s="265"/>
    </row>
    <row r="292" spans="1:14" s="3" customFormat="1" ht="12.4" customHeight="1" x14ac:dyDescent="0.2">
      <c r="A292" s="70"/>
      <c r="B292" s="36"/>
      <c r="C292" s="36"/>
      <c r="D292" s="36"/>
      <c r="E292" s="36"/>
      <c r="F292" s="53"/>
      <c r="G292" s="53"/>
      <c r="H292" s="53"/>
      <c r="I292" s="53"/>
      <c r="J292" s="53"/>
      <c r="K292" s="53"/>
      <c r="L292" s="67"/>
      <c r="M292" s="8"/>
      <c r="N292" s="265"/>
    </row>
    <row r="293" spans="1:14" s="3" customFormat="1" ht="12.4"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4" customHeight="1" x14ac:dyDescent="0.2">
      <c r="A311" s="70"/>
      <c r="B311" s="36"/>
      <c r="C311" s="37"/>
      <c r="D311" s="37"/>
      <c r="E311" s="37"/>
      <c r="F311" s="53"/>
      <c r="G311" s="53"/>
      <c r="H311" s="53"/>
      <c r="I311" s="53"/>
      <c r="J311" s="53"/>
      <c r="K311" s="53"/>
      <c r="L311" s="67"/>
      <c r="M311" s="8"/>
      <c r="N311" s="265"/>
    </row>
    <row r="312" spans="1:14" s="3" customFormat="1" ht="12.4"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4" customHeight="1" x14ac:dyDescent="0.2">
      <c r="A330" s="70"/>
      <c r="B330" s="36"/>
      <c r="C330" s="37"/>
      <c r="D330" s="37"/>
      <c r="E330" s="37"/>
      <c r="F330" s="53"/>
      <c r="G330" s="53"/>
      <c r="H330" s="53"/>
      <c r="I330" s="53"/>
      <c r="J330" s="53"/>
      <c r="K330" s="53"/>
      <c r="L330" s="67"/>
      <c r="M330" s="8"/>
      <c r="N330" s="265"/>
    </row>
    <row r="331" spans="1:14" s="3" customFormat="1" ht="12.4"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4" customHeight="1" thickTop="1" x14ac:dyDescent="0.15">
      <c r="A339" s="38" t="s">
        <v>468</v>
      </c>
      <c r="B339" s="40">
        <v>14</v>
      </c>
      <c r="C339" s="40">
        <v>7</v>
      </c>
      <c r="D339" s="39" t="s">
        <v>431</v>
      </c>
      <c r="E339" s="40"/>
      <c r="F339" s="41">
        <f t="shared" ref="F339:L339" si="20">F291+F310+F329+F338</f>
        <v>1075</v>
      </c>
      <c r="G339" s="41">
        <f t="shared" si="20"/>
        <v>308.20999999999998</v>
      </c>
      <c r="H339" s="41">
        <f t="shared" si="20"/>
        <v>19997.36</v>
      </c>
      <c r="I339" s="41">
        <f t="shared" si="20"/>
        <v>13382.18</v>
      </c>
      <c r="J339" s="41">
        <f t="shared" si="20"/>
        <v>179.98</v>
      </c>
      <c r="K339" s="41">
        <f t="shared" si="20"/>
        <v>587.59</v>
      </c>
      <c r="L339" s="41">
        <f t="shared" si="20"/>
        <v>35530.32</v>
      </c>
      <c r="M339" s="8"/>
      <c r="N339" s="265"/>
    </row>
    <row r="340" spans="1:43" s="3" customFormat="1" ht="12.4" customHeight="1" x14ac:dyDescent="0.15">
      <c r="A340" s="29" t="s">
        <v>354</v>
      </c>
      <c r="F340" s="18"/>
      <c r="G340" s="18"/>
      <c r="H340" s="18"/>
      <c r="I340" s="18"/>
      <c r="J340" s="18"/>
      <c r="K340" s="18"/>
      <c r="L340" s="19"/>
      <c r="M340" s="8"/>
      <c r="N340" s="265"/>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1075</v>
      </c>
      <c r="G353" s="41">
        <f>G339</f>
        <v>308.20999999999998</v>
      </c>
      <c r="H353" s="41">
        <f>H339</f>
        <v>19997.36</v>
      </c>
      <c r="I353" s="41">
        <f>I339</f>
        <v>13382.18</v>
      </c>
      <c r="J353" s="41">
        <f>J339</f>
        <v>179.98</v>
      </c>
      <c r="K353" s="47">
        <f>K339+K352</f>
        <v>587.59</v>
      </c>
      <c r="L353" s="41">
        <f>L339+L352</f>
        <v>35530.32</v>
      </c>
      <c r="M353" s="8"/>
      <c r="N353" s="265"/>
    </row>
    <row r="354" spans="1:22" s="3" customFormat="1" ht="12.4" customHeight="1" x14ac:dyDescent="0.15">
      <c r="A354" s="70"/>
      <c r="B354" s="37"/>
      <c r="C354" s="23"/>
      <c r="D354" s="23"/>
      <c r="E354" s="23"/>
      <c r="F354" s="67"/>
      <c r="G354" s="67"/>
      <c r="H354" s="67"/>
      <c r="I354" s="67"/>
      <c r="J354" s="67"/>
      <c r="K354" s="56"/>
      <c r="L354" s="67"/>
      <c r="M354" s="8"/>
      <c r="N354" s="265"/>
    </row>
    <row r="355" spans="1:22" s="3" customFormat="1" ht="12.4"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4" customHeight="1" x14ac:dyDescent="0.15">
      <c r="A359" s="3" t="s">
        <v>541</v>
      </c>
      <c r="B359" s="2" t="s">
        <v>366</v>
      </c>
      <c r="C359" s="6">
        <v>1</v>
      </c>
      <c r="D359" s="2" t="s">
        <v>431</v>
      </c>
      <c r="E359" s="6"/>
      <c r="F359" s="18">
        <v>555</v>
      </c>
      <c r="G359" s="18"/>
      <c r="H359" s="18"/>
      <c r="I359" s="18">
        <v>1384.36</v>
      </c>
      <c r="J359" s="18"/>
      <c r="K359" s="18"/>
      <c r="L359" s="13">
        <f>SUM(F359:K359)</f>
        <v>1939.36</v>
      </c>
      <c r="M359" s="8"/>
      <c r="N359" s="265"/>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4" customHeight="1" thickTop="1" x14ac:dyDescent="0.15">
      <c r="A363" s="46" t="s">
        <v>469</v>
      </c>
      <c r="B363" s="39" t="s">
        <v>366</v>
      </c>
      <c r="C363" s="40">
        <v>5</v>
      </c>
      <c r="D363" s="39" t="s">
        <v>431</v>
      </c>
      <c r="E363" s="40"/>
      <c r="F363" s="47">
        <f t="shared" ref="F363:L363" si="22">SUM(F359:F362)</f>
        <v>555</v>
      </c>
      <c r="G363" s="47">
        <f t="shared" si="22"/>
        <v>0</v>
      </c>
      <c r="H363" s="47">
        <f t="shared" si="22"/>
        <v>0</v>
      </c>
      <c r="I363" s="47">
        <f t="shared" si="22"/>
        <v>1384.36</v>
      </c>
      <c r="J363" s="47">
        <f t="shared" si="22"/>
        <v>0</v>
      </c>
      <c r="K363" s="47">
        <f t="shared" si="22"/>
        <v>0</v>
      </c>
      <c r="L363" s="47">
        <f t="shared" si="22"/>
        <v>1939.36</v>
      </c>
      <c r="M363" s="8"/>
      <c r="N363" s="265"/>
    </row>
    <row r="364" spans="1:22" s="3" customFormat="1" ht="12.4" customHeight="1" x14ac:dyDescent="0.15">
      <c r="A364" s="55"/>
      <c r="B364" s="36"/>
      <c r="C364" s="37"/>
      <c r="D364" s="37"/>
      <c r="E364" s="37"/>
      <c r="F364" s="56"/>
      <c r="G364" s="56"/>
      <c r="H364" s="56"/>
      <c r="I364" s="56"/>
      <c r="J364" s="56"/>
      <c r="K364" s="56"/>
      <c r="L364" s="56"/>
      <c r="M364" s="8"/>
      <c r="N364" s="265"/>
    </row>
    <row r="365" spans="1:22" s="3" customFormat="1" ht="12.4" customHeight="1" x14ac:dyDescent="0.15">
      <c r="A365" s="55" t="s">
        <v>369</v>
      </c>
      <c r="B365" s="36"/>
      <c r="C365" s="37"/>
      <c r="D365" s="37"/>
      <c r="E365" s="37"/>
      <c r="F365" s="56"/>
      <c r="G365" s="56"/>
      <c r="H365" s="56"/>
      <c r="I365" s="56"/>
      <c r="J365" s="56"/>
      <c r="K365" s="56"/>
      <c r="L365" s="56"/>
      <c r="M365" s="8"/>
      <c r="N365" s="265"/>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4" customHeight="1" x14ac:dyDescent="0.15">
      <c r="A368" s="58" t="s">
        <v>371</v>
      </c>
      <c r="B368" s="2" t="s">
        <v>366</v>
      </c>
      <c r="C368" s="2" t="s">
        <v>295</v>
      </c>
      <c r="D368" s="2" t="s">
        <v>432</v>
      </c>
      <c r="E368" s="2"/>
      <c r="F368" s="18">
        <v>1384.36</v>
      </c>
      <c r="G368" s="18"/>
      <c r="H368" s="18"/>
      <c r="I368" s="56">
        <f>SUM(F368:H368)</f>
        <v>1384.36</v>
      </c>
      <c r="J368" s="24" t="s">
        <v>288</v>
      </c>
      <c r="K368" s="24" t="s">
        <v>288</v>
      </c>
      <c r="L368" s="24" t="s">
        <v>288</v>
      </c>
      <c r="M368" s="8"/>
      <c r="N368" s="265"/>
    </row>
    <row r="369" spans="1:14" s="3" customFormat="1" ht="12.4"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4" customHeight="1" thickTop="1" x14ac:dyDescent="0.15">
      <c r="A370" s="34" t="s">
        <v>340</v>
      </c>
      <c r="B370" s="2" t="s">
        <v>366</v>
      </c>
      <c r="C370" s="2" t="s">
        <v>297</v>
      </c>
      <c r="D370" s="39" t="s">
        <v>432</v>
      </c>
      <c r="E370" s="2"/>
      <c r="F370" s="47">
        <f>SUM(F368:F369)</f>
        <v>1384.36</v>
      </c>
      <c r="G370" s="47">
        <f>SUM(G368:G369)</f>
        <v>0</v>
      </c>
      <c r="H370" s="47">
        <f>SUM(H368:H369)</f>
        <v>0</v>
      </c>
      <c r="I370" s="47">
        <f>SUM(I368:I369)</f>
        <v>1384.36</v>
      </c>
      <c r="J370" s="24" t="s">
        <v>288</v>
      </c>
      <c r="K370" s="24" t="s">
        <v>288</v>
      </c>
      <c r="L370" s="24" t="s">
        <v>288</v>
      </c>
      <c r="M370" s="8"/>
      <c r="N370" s="265"/>
    </row>
    <row r="371" spans="1:14" s="3" customFormat="1" ht="12.4" customHeight="1" x14ac:dyDescent="0.15">
      <c r="A371" s="34"/>
      <c r="B371" s="2"/>
      <c r="C371" s="2"/>
      <c r="D371" s="2"/>
      <c r="E371" s="2"/>
      <c r="F371" s="64"/>
      <c r="G371" s="64"/>
      <c r="H371" s="64"/>
      <c r="I371" s="56"/>
      <c r="J371" s="56"/>
      <c r="K371" s="56"/>
      <c r="L371" s="56"/>
      <c r="M371" s="8"/>
      <c r="N371" s="265"/>
    </row>
    <row r="372" spans="1:14" s="3" customFormat="1" ht="12.4"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4" customHeight="1" x14ac:dyDescent="0.15">
      <c r="A384" s="29"/>
      <c r="B384" s="2"/>
      <c r="C384" s="2"/>
      <c r="D384" s="2"/>
      <c r="E384" s="2"/>
      <c r="F384" s="66"/>
      <c r="G384" s="66"/>
      <c r="H384" s="66"/>
      <c r="I384" s="67"/>
      <c r="J384" s="56"/>
      <c r="K384" s="56"/>
      <c r="L384" s="56"/>
      <c r="M384" s="8"/>
      <c r="N384" s="265"/>
    </row>
    <row r="385" spans="1:14" s="3" customFormat="1" ht="12.4" customHeight="1" x14ac:dyDescent="0.15">
      <c r="A385" s="26" t="s">
        <v>482</v>
      </c>
      <c r="B385" s="76"/>
      <c r="C385" s="76"/>
      <c r="D385" s="76"/>
      <c r="E385" s="76"/>
      <c r="F385" s="66"/>
      <c r="G385" s="66"/>
      <c r="H385" s="66"/>
      <c r="I385" s="67"/>
      <c r="J385" s="56"/>
      <c r="K385" s="56"/>
      <c r="L385" s="56"/>
      <c r="M385" s="8"/>
      <c r="N385" s="265"/>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4" customHeight="1" x14ac:dyDescent="0.15">
      <c r="A397" s="79" t="s">
        <v>557</v>
      </c>
      <c r="B397" s="2" t="s">
        <v>381</v>
      </c>
      <c r="C397" s="6">
        <v>9</v>
      </c>
      <c r="D397" s="2" t="s">
        <v>432</v>
      </c>
      <c r="E397" s="6"/>
      <c r="F397" s="18"/>
      <c r="G397" s="18"/>
      <c r="H397" s="18">
        <f>377.67+45.15+3484.23+396.91</f>
        <v>4303.96</v>
      </c>
      <c r="I397" s="18"/>
      <c r="J397" s="24" t="s">
        <v>288</v>
      </c>
      <c r="K397" s="24" t="s">
        <v>288</v>
      </c>
      <c r="L397" s="56">
        <f t="shared" si="26"/>
        <v>4303.96</v>
      </c>
      <c r="M397" s="8"/>
      <c r="N397" s="265"/>
    </row>
    <row r="398" spans="1:14" s="3" customFormat="1" ht="12.4" customHeight="1" x14ac:dyDescent="0.15">
      <c r="A398" s="79" t="s">
        <v>515</v>
      </c>
      <c r="B398" s="2" t="s">
        <v>381</v>
      </c>
      <c r="C398" s="6">
        <v>10</v>
      </c>
      <c r="D398" s="2" t="s">
        <v>432</v>
      </c>
      <c r="E398" s="6"/>
      <c r="F398" s="18"/>
      <c r="G398" s="18"/>
      <c r="H398" s="18">
        <f>8176.36+977.98</f>
        <v>9154.34</v>
      </c>
      <c r="I398" s="18"/>
      <c r="J398" s="24" t="s">
        <v>288</v>
      </c>
      <c r="K398" s="24" t="s">
        <v>288</v>
      </c>
      <c r="L398" s="56">
        <f t="shared" si="26"/>
        <v>9154.34</v>
      </c>
      <c r="M398" s="8"/>
      <c r="N398" s="265"/>
    </row>
    <row r="399" spans="1:14" s="3" customFormat="1" ht="12.4" customHeight="1" x14ac:dyDescent="0.15">
      <c r="A399" s="79" t="s">
        <v>558</v>
      </c>
      <c r="B399" s="2" t="s">
        <v>381</v>
      </c>
      <c r="C399" s="6">
        <v>11</v>
      </c>
      <c r="D399" s="2" t="s">
        <v>432</v>
      </c>
      <c r="E399" s="6"/>
      <c r="F399" s="18"/>
      <c r="G399" s="18"/>
      <c r="H399" s="18">
        <f>3189.05+381.45</f>
        <v>3570.5</v>
      </c>
      <c r="I399" s="18"/>
      <c r="J399" s="24" t="s">
        <v>288</v>
      </c>
      <c r="K399" s="24" t="s">
        <v>288</v>
      </c>
      <c r="L399" s="56">
        <f t="shared" si="26"/>
        <v>3570.5</v>
      </c>
      <c r="M399" s="8"/>
      <c r="N399" s="265"/>
    </row>
    <row r="400" spans="1:14" s="3" customFormat="1" ht="12.4" customHeight="1" x14ac:dyDescent="0.15">
      <c r="A400" s="79" t="s">
        <v>559</v>
      </c>
      <c r="B400" s="2" t="s">
        <v>381</v>
      </c>
      <c r="C400" s="6">
        <v>12</v>
      </c>
      <c r="D400" s="2" t="s">
        <v>432</v>
      </c>
      <c r="E400" s="6"/>
      <c r="F400" s="18"/>
      <c r="G400" s="18"/>
      <c r="H400" s="18">
        <f>382.71+45.77</f>
        <v>428.47999999999996</v>
      </c>
      <c r="I400" s="18"/>
      <c r="J400" s="24" t="s">
        <v>288</v>
      </c>
      <c r="K400" s="24" t="s">
        <v>288</v>
      </c>
      <c r="L400" s="56">
        <f t="shared" si="26"/>
        <v>428.47999999999996</v>
      </c>
      <c r="M400" s="8"/>
      <c r="N400" s="265"/>
    </row>
    <row r="401" spans="1:21" s="3" customFormat="1" ht="12.4" customHeight="1" thickBot="1" x14ac:dyDescent="0.2">
      <c r="A401" s="79" t="s">
        <v>510</v>
      </c>
      <c r="B401" s="2" t="s">
        <v>381</v>
      </c>
      <c r="C401" s="6">
        <v>13</v>
      </c>
      <c r="D401" s="2" t="s">
        <v>432</v>
      </c>
      <c r="E401" s="6"/>
      <c r="F401" s="18"/>
      <c r="G401" s="18"/>
      <c r="H401" s="18">
        <f>1575.07+188.56</f>
        <v>1763.6299999999999</v>
      </c>
      <c r="I401" s="18"/>
      <c r="J401" s="24" t="s">
        <v>288</v>
      </c>
      <c r="K401" s="24" t="s">
        <v>288</v>
      </c>
      <c r="L401" s="56">
        <f t="shared" si="26"/>
        <v>1763.6299999999999</v>
      </c>
      <c r="M401" s="8"/>
      <c r="N401" s="265"/>
    </row>
    <row r="402" spans="1:21" s="3" customFormat="1" ht="12.4" customHeight="1" thickTop="1" x14ac:dyDescent="0.15">
      <c r="A402" s="160" t="s">
        <v>470</v>
      </c>
      <c r="B402" s="2" t="s">
        <v>381</v>
      </c>
      <c r="C402" s="6">
        <v>14</v>
      </c>
      <c r="D402" s="2" t="s">
        <v>432</v>
      </c>
      <c r="E402" s="40">
        <v>5252</v>
      </c>
      <c r="F402" s="47">
        <f>SUM(F396:F401)</f>
        <v>0</v>
      </c>
      <c r="G402" s="47">
        <f>SUM(G396:G401)</f>
        <v>0</v>
      </c>
      <c r="H402" s="47">
        <f>SUM(H396:H401)</f>
        <v>19220.91</v>
      </c>
      <c r="I402" s="47">
        <f>SUM(I396:I401)</f>
        <v>0</v>
      </c>
      <c r="J402" s="45" t="s">
        <v>288</v>
      </c>
      <c r="K402" s="45" t="s">
        <v>288</v>
      </c>
      <c r="L402" s="47">
        <f>SUM(L396:L401)</f>
        <v>19220.91</v>
      </c>
      <c r="M402" s="8"/>
      <c r="N402" s="265"/>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4" customHeight="1" thickTop="1" x14ac:dyDescent="0.15">
      <c r="A409" s="78" t="s">
        <v>421</v>
      </c>
      <c r="B409" s="2" t="s">
        <v>381</v>
      </c>
      <c r="C409" s="6">
        <v>20</v>
      </c>
      <c r="D409" s="6"/>
      <c r="E409" s="40"/>
      <c r="F409" s="47">
        <f>F394+F402+F408</f>
        <v>0</v>
      </c>
      <c r="G409" s="47">
        <f>G394+G402+G408</f>
        <v>0</v>
      </c>
      <c r="H409" s="47">
        <f>H394+H402+H408</f>
        <v>19220.91</v>
      </c>
      <c r="I409" s="47">
        <f>I394+I402+I408</f>
        <v>0</v>
      </c>
      <c r="J409" s="24" t="s">
        <v>288</v>
      </c>
      <c r="K409" s="24" t="s">
        <v>288</v>
      </c>
      <c r="L409" s="47">
        <f>L394+L402+L408</f>
        <v>19220.91</v>
      </c>
      <c r="M409" s="8"/>
      <c r="N409" s="265"/>
    </row>
    <row r="410" spans="1:21" s="3" customFormat="1" ht="12.4"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4" customHeight="1" x14ac:dyDescent="0.15">
      <c r="A411" s="26" t="s">
        <v>482</v>
      </c>
      <c r="B411" s="76"/>
      <c r="C411" s="76"/>
      <c r="D411" s="76"/>
      <c r="E411" s="76"/>
      <c r="F411" s="66"/>
      <c r="G411" s="16" t="s">
        <v>384</v>
      </c>
      <c r="H411" s="16" t="s">
        <v>385</v>
      </c>
      <c r="I411" s="67"/>
      <c r="J411" s="56"/>
      <c r="K411" s="56"/>
      <c r="L411" s="56"/>
      <c r="M411" s="8"/>
      <c r="N411" s="265"/>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4" customHeight="1" x14ac:dyDescent="0.15">
      <c r="A423" s="79" t="s">
        <v>557</v>
      </c>
      <c r="B423" s="6">
        <v>17</v>
      </c>
      <c r="C423" s="6">
        <v>9</v>
      </c>
      <c r="D423" s="2" t="s">
        <v>432</v>
      </c>
      <c r="E423" s="6"/>
      <c r="F423" s="18"/>
      <c r="G423" s="18"/>
      <c r="H423" s="18">
        <v>43586</v>
      </c>
      <c r="I423" s="18"/>
      <c r="J423" s="18"/>
      <c r="K423" s="18"/>
      <c r="L423" s="56">
        <f t="shared" si="29"/>
        <v>43586</v>
      </c>
      <c r="M423" s="8"/>
      <c r="N423" s="265"/>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4" customHeight="1" thickBot="1" x14ac:dyDescent="0.2">
      <c r="A427" s="79" t="s">
        <v>510</v>
      </c>
      <c r="B427" s="6">
        <v>17</v>
      </c>
      <c r="C427" s="6">
        <v>13</v>
      </c>
      <c r="D427" s="2" t="s">
        <v>432</v>
      </c>
      <c r="E427" s="6"/>
      <c r="F427" s="18"/>
      <c r="G427" s="18"/>
      <c r="H427" s="18">
        <v>62246</v>
      </c>
      <c r="I427" s="18"/>
      <c r="J427" s="18"/>
      <c r="K427" s="18"/>
      <c r="L427" s="56">
        <f t="shared" si="29"/>
        <v>62246</v>
      </c>
      <c r="M427" s="8"/>
      <c r="N427" s="265"/>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105832</v>
      </c>
      <c r="I428" s="47">
        <f t="shared" si="30"/>
        <v>0</v>
      </c>
      <c r="J428" s="47">
        <f t="shared" si="30"/>
        <v>0</v>
      </c>
      <c r="K428" s="47">
        <f t="shared" si="30"/>
        <v>0</v>
      </c>
      <c r="L428" s="47">
        <f t="shared" si="30"/>
        <v>105832</v>
      </c>
      <c r="M428" s="68"/>
      <c r="N428" s="226"/>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6"/>
    </row>
    <row r="431" spans="1:21" ht="12.4" customHeight="1" x14ac:dyDescent="0.2">
      <c r="A431" s="110"/>
      <c r="B431" s="6">
        <v>17</v>
      </c>
      <c r="C431" s="6">
        <v>16</v>
      </c>
      <c r="D431" s="2" t="s">
        <v>432</v>
      </c>
      <c r="E431" s="6"/>
      <c r="F431" s="18"/>
      <c r="G431" s="18"/>
      <c r="H431" s="18"/>
      <c r="I431" s="18"/>
      <c r="J431" s="18"/>
      <c r="K431" s="18"/>
      <c r="L431" s="56">
        <f>SUM(F431:K431)</f>
        <v>0</v>
      </c>
      <c r="N431" s="263"/>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105832</v>
      </c>
      <c r="I435" s="47">
        <f t="shared" si="32"/>
        <v>0</v>
      </c>
      <c r="J435" s="47">
        <f t="shared" si="32"/>
        <v>0</v>
      </c>
      <c r="K435" s="47">
        <f t="shared" si="32"/>
        <v>0</v>
      </c>
      <c r="L435" s="47">
        <f t="shared" si="32"/>
        <v>105832</v>
      </c>
      <c r="M435" s="8"/>
      <c r="N435" s="265"/>
    </row>
    <row r="436" spans="1:14" s="3" customFormat="1" ht="12.4" customHeight="1" x14ac:dyDescent="0.15">
      <c r="A436" s="78"/>
      <c r="B436" s="6"/>
      <c r="C436" s="6"/>
      <c r="D436" s="6"/>
      <c r="E436" s="6"/>
      <c r="F436" s="56"/>
      <c r="G436" s="56"/>
      <c r="H436" s="56"/>
      <c r="I436" s="56"/>
      <c r="J436" s="56"/>
      <c r="K436" s="56"/>
      <c r="L436" s="56"/>
      <c r="M436" s="8"/>
      <c r="N436" s="265"/>
    </row>
    <row r="437" spans="1:14" s="3" customFormat="1" ht="12.4" customHeight="1" x14ac:dyDescent="0.15">
      <c r="A437" s="34" t="s">
        <v>0</v>
      </c>
      <c r="K437" s="56"/>
      <c r="L437" s="13"/>
      <c r="M437" s="8"/>
      <c r="N437" s="265"/>
    </row>
    <row r="438" spans="1:14" s="3" customFormat="1" ht="12.4" customHeight="1" x14ac:dyDescent="0.15">
      <c r="A438" s="34" t="s">
        <v>1</v>
      </c>
      <c r="F438" s="23" t="s">
        <v>2</v>
      </c>
      <c r="G438" s="23" t="s">
        <v>3</v>
      </c>
      <c r="H438" s="23" t="s">
        <v>4</v>
      </c>
      <c r="I438" s="23" t="s">
        <v>5</v>
      </c>
      <c r="M438" s="8"/>
      <c r="N438" s="265"/>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4" customHeight="1" x14ac:dyDescent="0.15">
      <c r="A441" s="69" t="s">
        <v>562</v>
      </c>
      <c r="B441" s="23">
        <v>18</v>
      </c>
      <c r="C441" s="6">
        <v>2</v>
      </c>
      <c r="D441" s="2" t="s">
        <v>432</v>
      </c>
      <c r="E441" s="6">
        <v>110</v>
      </c>
      <c r="F441" s="18"/>
      <c r="G441" s="18">
        <v>217391.74</v>
      </c>
      <c r="H441" s="18"/>
      <c r="I441" s="56">
        <f t="shared" si="33"/>
        <v>217391.74</v>
      </c>
      <c r="J441" s="24" t="s">
        <v>288</v>
      </c>
      <c r="K441" s="24" t="s">
        <v>288</v>
      </c>
      <c r="L441" s="24" t="s">
        <v>288</v>
      </c>
      <c r="M441" s="8"/>
      <c r="N441" s="265"/>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4" customHeight="1" thickBot="1" x14ac:dyDescent="0.2">
      <c r="A447" s="70" t="s">
        <v>404</v>
      </c>
      <c r="B447" s="23">
        <v>18</v>
      </c>
      <c r="C447" s="37">
        <v>8</v>
      </c>
      <c r="D447" s="2" t="s">
        <v>432</v>
      </c>
      <c r="E447" s="37"/>
      <c r="F447" s="13">
        <f>SUM(F440:F446)</f>
        <v>0</v>
      </c>
      <c r="G447" s="13">
        <f>SUM(G440:G446)</f>
        <v>217391.74</v>
      </c>
      <c r="H447" s="13">
        <f>SUM(H440:H446)</f>
        <v>0</v>
      </c>
      <c r="I447" s="13">
        <f>SUM(I440:I446)</f>
        <v>217391.74</v>
      </c>
      <c r="J447" s="24" t="s">
        <v>288</v>
      </c>
      <c r="K447" s="24" t="s">
        <v>288</v>
      </c>
      <c r="L447" s="24" t="s">
        <v>288</v>
      </c>
      <c r="M447" s="8"/>
      <c r="N447" s="265"/>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217391.74</v>
      </c>
      <c r="H460" s="18"/>
      <c r="I460" s="56">
        <f t="shared" si="34"/>
        <v>217391.74</v>
      </c>
      <c r="J460" s="24" t="s">
        <v>288</v>
      </c>
      <c r="K460" s="24" t="s">
        <v>288</v>
      </c>
      <c r="L460" s="24" t="s">
        <v>288</v>
      </c>
      <c r="N460" s="264"/>
    </row>
    <row r="461" spans="1:86" s="52" customFormat="1" ht="12.4" customHeight="1" thickTop="1" thickBot="1" x14ac:dyDescent="0.25">
      <c r="A461" s="50" t="s">
        <v>407</v>
      </c>
      <c r="B461" s="81">
        <v>18</v>
      </c>
      <c r="C461" s="51">
        <v>20</v>
      </c>
      <c r="D461" s="48" t="s">
        <v>432</v>
      </c>
      <c r="E461" s="51"/>
      <c r="F461" s="83">
        <f>SUM(F455:F460)</f>
        <v>0</v>
      </c>
      <c r="G461" s="83">
        <f>SUM(G455:G460)</f>
        <v>217391.74</v>
      </c>
      <c r="H461" s="83">
        <f>SUM(H455:H460)</f>
        <v>0</v>
      </c>
      <c r="I461" s="83">
        <f>SUM(I455:I460)</f>
        <v>217391.74</v>
      </c>
      <c r="J461" s="24" t="s">
        <v>288</v>
      </c>
      <c r="K461" s="24" t="s">
        <v>288</v>
      </c>
      <c r="L461" s="24" t="s">
        <v>288</v>
      </c>
      <c r="N461" s="264"/>
    </row>
    <row r="462" spans="1:86" s="52" customFormat="1" ht="12.4" customHeight="1" thickTop="1" x14ac:dyDescent="0.2">
      <c r="A462" s="91" t="s">
        <v>424</v>
      </c>
      <c r="B462" s="44">
        <v>18</v>
      </c>
      <c r="C462" s="82">
        <v>21</v>
      </c>
      <c r="D462" s="157" t="s">
        <v>432</v>
      </c>
      <c r="E462" s="82"/>
      <c r="F462" s="42">
        <f>F453+F461</f>
        <v>0</v>
      </c>
      <c r="G462" s="42">
        <f>G453+G461</f>
        <v>217391.74</v>
      </c>
      <c r="H462" s="42">
        <f>H453+H461</f>
        <v>0</v>
      </c>
      <c r="I462" s="42">
        <f>I453+I461</f>
        <v>217391.74</v>
      </c>
      <c r="J462" s="24" t="s">
        <v>288</v>
      </c>
      <c r="K462" s="24" t="s">
        <v>288</v>
      </c>
      <c r="L462" s="24" t="s">
        <v>288</v>
      </c>
      <c r="N462" s="264"/>
    </row>
    <row r="463" spans="1:86" s="52" customFormat="1" ht="12.4" customHeight="1" x14ac:dyDescent="0.2">
      <c r="A463" s="92"/>
      <c r="B463" s="75"/>
      <c r="C463" s="80"/>
      <c r="D463" s="80"/>
      <c r="E463" s="80"/>
      <c r="F463" s="53"/>
      <c r="G463" s="53"/>
      <c r="H463" s="53"/>
      <c r="I463" s="53"/>
      <c r="J463" s="53"/>
      <c r="K463" s="53"/>
      <c r="L463" s="53"/>
      <c r="N463" s="264"/>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4" customHeight="1" x14ac:dyDescent="0.2">
      <c r="A466" s="188" t="s">
        <v>1629</v>
      </c>
      <c r="B466" s="105">
        <v>19</v>
      </c>
      <c r="C466" s="111">
        <v>1</v>
      </c>
      <c r="D466" s="2" t="s">
        <v>432</v>
      </c>
      <c r="E466" s="111"/>
      <c r="F466" s="18">
        <v>94414.33</v>
      </c>
      <c r="G466" s="18">
        <v>1347.25</v>
      </c>
      <c r="H466" s="18">
        <v>0</v>
      </c>
      <c r="I466" s="18"/>
      <c r="J466" s="18">
        <v>346202.55</v>
      </c>
      <c r="K466" s="24" t="s">
        <v>288</v>
      </c>
      <c r="L466" s="24" t="s">
        <v>288</v>
      </c>
      <c r="N466" s="264"/>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4" customHeight="1" x14ac:dyDescent="0.2">
      <c r="A469" s="93" t="s">
        <v>610</v>
      </c>
      <c r="B469" s="75">
        <v>19</v>
      </c>
      <c r="C469" s="80">
        <v>2</v>
      </c>
      <c r="D469" s="2" t="s">
        <v>432</v>
      </c>
      <c r="E469" s="80"/>
      <c r="F469" s="18">
        <v>2919462.63</v>
      </c>
      <c r="G469" s="18">
        <v>4379.0200000000004</v>
      </c>
      <c r="H469" s="18">
        <v>35530.32</v>
      </c>
      <c r="I469" s="18"/>
      <c r="J469" s="18">
        <v>19220.91</v>
      </c>
      <c r="K469" s="24" t="s">
        <v>288</v>
      </c>
      <c r="L469" s="24" t="s">
        <v>288</v>
      </c>
      <c r="N469" s="264"/>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4" customHeight="1" x14ac:dyDescent="0.2">
      <c r="A471" s="92" t="s">
        <v>425</v>
      </c>
      <c r="B471" s="75">
        <v>19</v>
      </c>
      <c r="C471" s="80">
        <v>4</v>
      </c>
      <c r="D471" s="2" t="s">
        <v>432</v>
      </c>
      <c r="E471" s="80"/>
      <c r="F471" s="53">
        <f>SUM(F469:F470)</f>
        <v>2919462.63</v>
      </c>
      <c r="G471" s="53">
        <f>SUM(G469:G470)</f>
        <v>4379.0200000000004</v>
      </c>
      <c r="H471" s="53">
        <f>SUM(H469:H470)</f>
        <v>35530.32</v>
      </c>
      <c r="I471" s="53">
        <f>SUM(I469:I470)</f>
        <v>0</v>
      </c>
      <c r="J471" s="53">
        <f>SUM(J469:J470)</f>
        <v>19220.91</v>
      </c>
      <c r="K471" s="24" t="s">
        <v>288</v>
      </c>
      <c r="L471" s="24" t="s">
        <v>288</v>
      </c>
      <c r="N471" s="264"/>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4" customHeight="1" x14ac:dyDescent="0.2">
      <c r="A473" s="93" t="s">
        <v>612</v>
      </c>
      <c r="B473" s="75">
        <v>19</v>
      </c>
      <c r="C473" s="80">
        <v>5</v>
      </c>
      <c r="D473" s="2" t="s">
        <v>432</v>
      </c>
      <c r="E473" s="80"/>
      <c r="F473" s="18">
        <v>2954093.03</v>
      </c>
      <c r="G473" s="18">
        <v>1939.36</v>
      </c>
      <c r="H473" s="18">
        <v>35530.32</v>
      </c>
      <c r="I473" s="18"/>
      <c r="J473" s="18">
        <v>105832</v>
      </c>
      <c r="K473" s="24" t="s">
        <v>288</v>
      </c>
      <c r="L473" s="24" t="s">
        <v>288</v>
      </c>
      <c r="N473" s="264"/>
    </row>
    <row r="474" spans="1:14" s="52" customFormat="1" ht="12.4" customHeight="1" x14ac:dyDescent="0.2">
      <c r="A474" s="93" t="s">
        <v>613</v>
      </c>
      <c r="B474" s="75">
        <v>19</v>
      </c>
      <c r="C474" s="80">
        <v>6</v>
      </c>
      <c r="D474" s="2" t="s">
        <v>432</v>
      </c>
      <c r="E474" s="80"/>
      <c r="F474" s="18"/>
      <c r="G474" s="18"/>
      <c r="H474" s="18"/>
      <c r="I474" s="18"/>
      <c r="J474" s="18">
        <v>42199.72</v>
      </c>
      <c r="K474" s="24" t="s">
        <v>288</v>
      </c>
      <c r="L474" s="24" t="s">
        <v>288</v>
      </c>
      <c r="N474" s="264"/>
    </row>
    <row r="475" spans="1:14" s="52" customFormat="1" ht="12.4" customHeight="1" x14ac:dyDescent="0.2">
      <c r="A475" s="92" t="s">
        <v>426</v>
      </c>
      <c r="B475" s="75">
        <v>19</v>
      </c>
      <c r="C475" s="80">
        <v>7</v>
      </c>
      <c r="D475" s="2" t="s">
        <v>432</v>
      </c>
      <c r="E475" s="80"/>
      <c r="F475" s="53">
        <f>SUM(F473:F474)</f>
        <v>2954093.03</v>
      </c>
      <c r="G475" s="53">
        <f>SUM(G473:G474)</f>
        <v>1939.36</v>
      </c>
      <c r="H475" s="53">
        <f>SUM(H473:H474)</f>
        <v>35530.32</v>
      </c>
      <c r="I475" s="53">
        <f>SUM(I473:I474)</f>
        <v>0</v>
      </c>
      <c r="J475" s="53">
        <f>SUM(J473:J474)</f>
        <v>148031.72</v>
      </c>
      <c r="K475" s="24" t="s">
        <v>288</v>
      </c>
      <c r="L475" s="24" t="s">
        <v>288</v>
      </c>
      <c r="N475" s="264"/>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4" customHeight="1" x14ac:dyDescent="0.2">
      <c r="A477" s="189" t="s">
        <v>1630</v>
      </c>
      <c r="B477" s="75">
        <v>19</v>
      </c>
      <c r="C477" s="115">
        <v>8</v>
      </c>
      <c r="D477" s="2" t="s">
        <v>432</v>
      </c>
      <c r="E477" s="115"/>
      <c r="F477" s="53">
        <f>(F466+F471)- F475</f>
        <v>59783.930000000168</v>
      </c>
      <c r="G477" s="53">
        <f>(G466+G471)- G475</f>
        <v>3786.9100000000008</v>
      </c>
      <c r="H477" s="53">
        <f>(H466+H471)- H475</f>
        <v>0</v>
      </c>
      <c r="I477" s="53">
        <f>(I466+I471)- I475</f>
        <v>0</v>
      </c>
      <c r="J477" s="53">
        <f>(J466+J471)- J475</f>
        <v>217391.73999999996</v>
      </c>
      <c r="K477" s="24" t="s">
        <v>288</v>
      </c>
      <c r="L477" s="24" t="s">
        <v>288</v>
      </c>
      <c r="N477" s="264"/>
    </row>
    <row r="478" spans="1:14" s="52" customFormat="1" ht="12.4" customHeight="1" x14ac:dyDescent="0.2">
      <c r="A478" s="95"/>
      <c r="B478" s="95"/>
      <c r="C478" s="95"/>
      <c r="D478" s="95"/>
      <c r="E478" s="95"/>
      <c r="F478" s="95"/>
      <c r="G478" s="95"/>
      <c r="H478" s="95"/>
      <c r="I478" s="95"/>
      <c r="J478" s="95"/>
      <c r="K478" s="95"/>
      <c r="L478" s="95"/>
      <c r="N478" s="264"/>
    </row>
    <row r="479" spans="1:14" s="52" customFormat="1" ht="12.4" customHeight="1" x14ac:dyDescent="0.2">
      <c r="A479" s="95" t="s">
        <v>657</v>
      </c>
      <c r="B479" s="95"/>
      <c r="C479" s="95"/>
      <c r="D479" s="95"/>
      <c r="E479" s="95"/>
      <c r="F479" s="95"/>
      <c r="G479" s="95"/>
      <c r="H479" s="95"/>
      <c r="I479" s="95"/>
      <c r="J479" s="95"/>
      <c r="K479" s="95"/>
      <c r="L479" s="95"/>
      <c r="N479" s="264"/>
    </row>
    <row r="480" spans="1:14" s="52" customFormat="1" ht="12.4" customHeight="1" x14ac:dyDescent="0.2">
      <c r="A480" s="95" t="s">
        <v>695</v>
      </c>
      <c r="B480" s="112"/>
      <c r="C480" s="112"/>
      <c r="D480" s="112"/>
      <c r="E480" s="112"/>
      <c r="F480" s="112"/>
      <c r="G480" s="112"/>
      <c r="H480" s="112"/>
      <c r="I480" s="112" t="s">
        <v>17</v>
      </c>
      <c r="J480" s="112"/>
      <c r="K480" s="95"/>
      <c r="L480" s="95"/>
      <c r="N480" s="264"/>
    </row>
    <row r="481" spans="1:14" s="52" customFormat="1" ht="12.4" customHeight="1" x14ac:dyDescent="0.2">
      <c r="A481" s="18"/>
      <c r="B481" s="112"/>
      <c r="C481" s="112"/>
      <c r="D481" s="112"/>
      <c r="E481" s="112"/>
      <c r="F481" s="112"/>
      <c r="G481" s="112"/>
      <c r="H481" s="112"/>
      <c r="I481" s="112" t="s">
        <v>401</v>
      </c>
      <c r="J481" s="112"/>
      <c r="K481" s="95"/>
      <c r="L481" s="95"/>
      <c r="N481" s="264"/>
    </row>
    <row r="482" spans="1:14" s="52" customFormat="1" ht="12.4" customHeight="1" x14ac:dyDescent="0.2">
      <c r="A482" s="175"/>
      <c r="B482" s="112"/>
      <c r="C482" s="112"/>
      <c r="D482" s="112"/>
      <c r="E482" s="112"/>
      <c r="F482" s="112"/>
      <c r="G482" s="112"/>
      <c r="H482" s="112"/>
      <c r="I482" s="112" t="s">
        <v>650</v>
      </c>
      <c r="J482" s="112"/>
      <c r="K482" s="95"/>
      <c r="L482" s="95"/>
      <c r="N482" s="264"/>
    </row>
    <row r="483" spans="1:14" s="52" customFormat="1" ht="12.4" customHeight="1" x14ac:dyDescent="0.2">
      <c r="A483" s="95" t="s">
        <v>696</v>
      </c>
      <c r="B483" s="112"/>
      <c r="C483" s="112"/>
      <c r="D483" s="112"/>
      <c r="E483" s="112"/>
      <c r="F483" s="112"/>
      <c r="G483" s="112"/>
      <c r="H483" s="112"/>
      <c r="I483" s="112" t="s">
        <v>473</v>
      </c>
      <c r="J483" s="112"/>
      <c r="K483" s="95"/>
      <c r="L483" s="95"/>
      <c r="N483" s="264"/>
    </row>
    <row r="484" spans="1:14" s="52" customFormat="1" ht="12.4" customHeight="1" x14ac:dyDescent="0.2">
      <c r="A484" s="174" t="s">
        <v>1802</v>
      </c>
      <c r="B484" s="112"/>
      <c r="C484" s="112"/>
      <c r="D484" s="112"/>
      <c r="E484" s="112"/>
      <c r="F484" s="112"/>
      <c r="G484" s="112"/>
      <c r="H484" s="112"/>
      <c r="I484" s="112" t="s">
        <v>18</v>
      </c>
      <c r="J484" s="112"/>
      <c r="K484" s="95"/>
      <c r="L484" s="95"/>
      <c r="N484" s="264"/>
    </row>
    <row r="485" spans="1:14" s="52" customFormat="1" ht="12.4" customHeight="1" x14ac:dyDescent="0.2">
      <c r="A485" s="174"/>
      <c r="B485" s="112"/>
      <c r="C485" s="112"/>
      <c r="D485" s="112"/>
      <c r="E485" s="112"/>
      <c r="F485" s="112"/>
      <c r="G485" s="112"/>
      <c r="H485" s="112"/>
      <c r="I485" s="112" t="s">
        <v>474</v>
      </c>
      <c r="J485" s="112"/>
      <c r="K485" s="95"/>
      <c r="L485" s="95"/>
      <c r="N485" s="264"/>
    </row>
    <row r="486" spans="1:14" s="52" customFormat="1" ht="12.4" customHeight="1" x14ac:dyDescent="0.2">
      <c r="A486" s="174"/>
      <c r="B486" s="112"/>
      <c r="C486" s="112"/>
      <c r="D486" s="112"/>
      <c r="E486" s="112"/>
      <c r="F486" s="112"/>
      <c r="G486" s="112"/>
      <c r="H486" s="112"/>
      <c r="I486" s="112" t="s">
        <v>475</v>
      </c>
      <c r="J486" s="112"/>
      <c r="K486" s="95"/>
      <c r="L486" s="95"/>
      <c r="N486" s="264"/>
    </row>
    <row r="487" spans="1:14" s="52" customFormat="1" ht="12.4" customHeight="1" x14ac:dyDescent="0.2">
      <c r="A487" s="22"/>
      <c r="B487" s="112"/>
      <c r="C487" s="112"/>
      <c r="D487" s="112"/>
      <c r="E487" s="112"/>
      <c r="F487" s="112"/>
      <c r="G487" s="112"/>
      <c r="H487" s="112"/>
      <c r="I487" s="112"/>
      <c r="J487" s="112"/>
      <c r="K487" s="95"/>
      <c r="L487" s="95"/>
      <c r="N487" s="264"/>
    </row>
    <row r="488" spans="1:14" s="52" customFormat="1" ht="12.4" customHeight="1" x14ac:dyDescent="0.2">
      <c r="A488" s="96" t="s">
        <v>19</v>
      </c>
      <c r="B488" s="105"/>
      <c r="C488" s="115"/>
      <c r="D488" s="115"/>
      <c r="E488" s="115"/>
      <c r="F488" s="116"/>
      <c r="G488" s="116"/>
      <c r="H488" s="116"/>
      <c r="I488" s="116"/>
      <c r="J488" s="116"/>
      <c r="K488" s="116"/>
      <c r="L488" s="116"/>
      <c r="N488" s="264"/>
    </row>
    <row r="489" spans="1:14" s="52" customFormat="1" ht="12.4"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4"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4"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4"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4"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4"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4"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4"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4"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4"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4"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4"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4"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4"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4"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4" customHeight="1" x14ac:dyDescent="0.2">
      <c r="A505" s="96"/>
      <c r="B505" s="105"/>
      <c r="C505" s="115"/>
      <c r="D505" s="115"/>
      <c r="E505" s="115"/>
      <c r="F505" s="103"/>
      <c r="G505" s="103"/>
      <c r="H505" s="106"/>
      <c r="I505" s="106"/>
      <c r="J505" s="106"/>
      <c r="K505" s="106"/>
      <c r="L505" s="106"/>
      <c r="N505" s="264"/>
    </row>
    <row r="506" spans="1:14" s="52" customFormat="1" ht="12.4" customHeight="1" x14ac:dyDescent="0.2">
      <c r="C506" s="115"/>
      <c r="D506" s="115"/>
      <c r="E506" s="115"/>
      <c r="F506" s="103"/>
      <c r="G506" s="103"/>
      <c r="H506" s="106"/>
      <c r="I506" s="106"/>
      <c r="J506" s="106"/>
      <c r="K506" s="106"/>
      <c r="L506" s="106"/>
      <c r="N506" s="264"/>
    </row>
    <row r="507" spans="1:14" s="52" customFormat="1" ht="12.4" customHeight="1" x14ac:dyDescent="0.2">
      <c r="B507" s="105"/>
      <c r="F507" s="52" t="s">
        <v>41</v>
      </c>
      <c r="G507" s="103" t="s">
        <v>42</v>
      </c>
      <c r="H507" s="103" t="s">
        <v>43</v>
      </c>
      <c r="I507" s="106" t="s">
        <v>44</v>
      </c>
      <c r="J507" s="24" t="s">
        <v>288</v>
      </c>
      <c r="K507" s="24" t="s">
        <v>288</v>
      </c>
      <c r="L507" s="24" t="s">
        <v>288</v>
      </c>
      <c r="N507" s="264"/>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4" customHeight="1" x14ac:dyDescent="0.2">
      <c r="A509" s="96" t="s">
        <v>45</v>
      </c>
      <c r="B509" s="22"/>
      <c r="C509" s="22"/>
      <c r="D509" s="22"/>
      <c r="E509" s="22"/>
      <c r="F509" s="22"/>
      <c r="G509" s="22"/>
      <c r="H509" s="22"/>
      <c r="I509" s="22"/>
      <c r="J509" s="53"/>
      <c r="K509" s="53"/>
      <c r="L509" s="53"/>
      <c r="N509" s="264"/>
    </row>
    <row r="510" spans="1:14" s="52" customFormat="1" ht="12.4" customHeight="1" x14ac:dyDescent="0.2">
      <c r="A510" s="337" t="s">
        <v>1632</v>
      </c>
      <c r="B510" s="22"/>
      <c r="C510" s="22"/>
      <c r="D510" s="22"/>
      <c r="E510" s="22"/>
      <c r="F510" s="122" t="s">
        <v>46</v>
      </c>
      <c r="G510" s="122"/>
      <c r="H510" s="123" t="s">
        <v>47</v>
      </c>
      <c r="I510" s="123"/>
      <c r="J510" s="53"/>
      <c r="K510" s="53"/>
      <c r="L510" s="53"/>
      <c r="N510" s="264"/>
    </row>
    <row r="511" spans="1:14" s="52" customFormat="1" ht="12.4" customHeight="1" x14ac:dyDescent="0.2">
      <c r="A511" s="96"/>
      <c r="B511" s="22"/>
      <c r="C511" s="22"/>
      <c r="D511" s="22"/>
      <c r="E511" s="22"/>
      <c r="F511" s="113" t="s">
        <v>48</v>
      </c>
      <c r="G511" s="113" t="s">
        <v>49</v>
      </c>
      <c r="H511" s="114" t="s">
        <v>48</v>
      </c>
      <c r="I511" s="114" t="s">
        <v>49</v>
      </c>
      <c r="J511" s="53"/>
      <c r="K511" s="53"/>
      <c r="L511" s="53"/>
      <c r="N511" s="264"/>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4"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4"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4" customHeight="1" x14ac:dyDescent="0.2">
      <c r="A522" s="22" t="s">
        <v>633</v>
      </c>
      <c r="B522" s="105">
        <v>21</v>
      </c>
      <c r="C522" s="115">
        <v>1</v>
      </c>
      <c r="D522" s="2" t="s">
        <v>432</v>
      </c>
      <c r="E522" s="115"/>
      <c r="F522" s="18">
        <f>102046.13+112803.01</f>
        <v>214849.14</v>
      </c>
      <c r="G522" s="18">
        <f>56531.52+9454.09</f>
        <v>65985.61</v>
      </c>
      <c r="H522" s="18">
        <f>231653-344.5+10697.36</f>
        <v>242005.86</v>
      </c>
      <c r="I522" s="18">
        <f>990.31+3765.67</f>
        <v>4755.9799999999996</v>
      </c>
      <c r="J522" s="18">
        <v>179.98</v>
      </c>
      <c r="K522" s="18"/>
      <c r="L522" s="88">
        <f>SUM(F522:K522)</f>
        <v>527776.56999999995</v>
      </c>
      <c r="N522" s="264"/>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4" customHeight="1" thickTop="1" x14ac:dyDescent="0.2">
      <c r="A525" s="139" t="s">
        <v>63</v>
      </c>
      <c r="B525" s="107">
        <v>21</v>
      </c>
      <c r="C525" s="194">
        <v>4</v>
      </c>
      <c r="D525" s="195" t="s">
        <v>432</v>
      </c>
      <c r="E525" s="194"/>
      <c r="F525" s="108">
        <f>SUM(F522:F524)</f>
        <v>214849.14</v>
      </c>
      <c r="G525" s="108">
        <f t="shared" ref="G525:L525" si="36">SUM(G522:G524)</f>
        <v>65985.61</v>
      </c>
      <c r="H525" s="108">
        <f t="shared" si="36"/>
        <v>242005.86</v>
      </c>
      <c r="I525" s="108">
        <f t="shared" si="36"/>
        <v>4755.9799999999996</v>
      </c>
      <c r="J525" s="108">
        <f t="shared" si="36"/>
        <v>179.98</v>
      </c>
      <c r="K525" s="108">
        <f t="shared" si="36"/>
        <v>0</v>
      </c>
      <c r="L525" s="89">
        <f t="shared" si="36"/>
        <v>527776.56999999995</v>
      </c>
      <c r="N525" s="264"/>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4"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4"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5"/>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4" customHeight="1" x14ac:dyDescent="0.15">
      <c r="A532" s="22" t="s">
        <v>633</v>
      </c>
      <c r="B532" s="105">
        <v>21</v>
      </c>
      <c r="C532" s="105">
        <v>9</v>
      </c>
      <c r="D532" s="2" t="s">
        <v>432</v>
      </c>
      <c r="E532" s="105"/>
      <c r="F532" s="18">
        <f>87078+5564</f>
        <v>92642</v>
      </c>
      <c r="G532" s="18">
        <f>27357.85+1451.09</f>
        <v>28808.94</v>
      </c>
      <c r="H532" s="18"/>
      <c r="I532" s="18"/>
      <c r="J532" s="18"/>
      <c r="K532" s="18">
        <v>975</v>
      </c>
      <c r="L532" s="88">
        <f>SUM(F532:K532)</f>
        <v>122425.94</v>
      </c>
      <c r="M532" s="8"/>
      <c r="N532" s="265"/>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4" customHeight="1" thickTop="1" x14ac:dyDescent="0.15">
      <c r="A535" s="139" t="s">
        <v>67</v>
      </c>
      <c r="B535" s="107">
        <v>21</v>
      </c>
      <c r="C535" s="107">
        <v>12</v>
      </c>
      <c r="D535" s="158" t="s">
        <v>432</v>
      </c>
      <c r="E535" s="107"/>
      <c r="F535" s="89">
        <f>SUM(F532:F534)</f>
        <v>92642</v>
      </c>
      <c r="G535" s="89">
        <f t="shared" ref="G535:L535" si="38">SUM(G532:G534)</f>
        <v>28808.94</v>
      </c>
      <c r="H535" s="89">
        <f t="shared" si="38"/>
        <v>0</v>
      </c>
      <c r="I535" s="89">
        <f t="shared" si="38"/>
        <v>0</v>
      </c>
      <c r="J535" s="89">
        <f t="shared" si="38"/>
        <v>0</v>
      </c>
      <c r="K535" s="89">
        <f t="shared" si="38"/>
        <v>975</v>
      </c>
      <c r="L535" s="89">
        <f t="shared" si="38"/>
        <v>122425.94</v>
      </c>
      <c r="M535" s="8"/>
      <c r="N535" s="265"/>
    </row>
    <row r="536" spans="1:14" s="3" customFormat="1" ht="12.4"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4" customHeight="1" x14ac:dyDescent="0.15">
      <c r="A537" s="22" t="s">
        <v>633</v>
      </c>
      <c r="B537" s="105">
        <v>21</v>
      </c>
      <c r="C537" s="105">
        <v>13</v>
      </c>
      <c r="D537" s="2" t="s">
        <v>432</v>
      </c>
      <c r="E537" s="105"/>
      <c r="F537" s="18"/>
      <c r="G537" s="18"/>
      <c r="H537" s="18">
        <v>344.5</v>
      </c>
      <c r="I537" s="18"/>
      <c r="J537" s="18"/>
      <c r="K537" s="18"/>
      <c r="L537" s="88">
        <f>SUM(F537:K537)</f>
        <v>344.5</v>
      </c>
      <c r="M537" s="8"/>
      <c r="N537" s="265"/>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344.5</v>
      </c>
      <c r="I540" s="89">
        <f t="shared" si="39"/>
        <v>0</v>
      </c>
      <c r="J540" s="89">
        <f t="shared" si="39"/>
        <v>0</v>
      </c>
      <c r="K540" s="89">
        <f t="shared" si="39"/>
        <v>0</v>
      </c>
      <c r="L540" s="89">
        <f t="shared" si="39"/>
        <v>344.5</v>
      </c>
      <c r="M540" s="8"/>
      <c r="N540" s="265"/>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4"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4"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4" customHeight="1" thickTop="1" x14ac:dyDescent="0.15">
      <c r="A546" s="98" t="s">
        <v>72</v>
      </c>
      <c r="B546" s="107">
        <v>21</v>
      </c>
      <c r="C546" s="107">
        <v>21</v>
      </c>
      <c r="D546" s="158" t="s">
        <v>432</v>
      </c>
      <c r="E546" s="107"/>
      <c r="F546" s="89">
        <f>F525+F530+F535+F540+F545</f>
        <v>307491.14</v>
      </c>
      <c r="G546" s="89">
        <f t="shared" ref="G546:L546" si="41">G525+G530+G535+G540+G545</f>
        <v>94794.55</v>
      </c>
      <c r="H546" s="89">
        <f t="shared" si="41"/>
        <v>242350.36</v>
      </c>
      <c r="I546" s="89">
        <f t="shared" si="41"/>
        <v>4755.9799999999996</v>
      </c>
      <c r="J546" s="89">
        <f t="shared" si="41"/>
        <v>179.98</v>
      </c>
      <c r="K546" s="89">
        <f t="shared" si="41"/>
        <v>975</v>
      </c>
      <c r="L546" s="89">
        <f t="shared" si="41"/>
        <v>650547.01</v>
      </c>
      <c r="M546" s="8"/>
      <c r="N546" s="265"/>
    </row>
    <row r="547" spans="1:14" s="3" customFormat="1" ht="12.4" customHeight="1" x14ac:dyDescent="0.15">
      <c r="A547" s="99"/>
      <c r="B547" s="105"/>
      <c r="C547" s="105"/>
      <c r="D547" s="105"/>
      <c r="E547" s="105"/>
      <c r="F547" s="87"/>
      <c r="G547" s="87"/>
      <c r="H547" s="87"/>
      <c r="I547" s="87"/>
      <c r="J547" s="87"/>
      <c r="K547" s="87"/>
      <c r="L547" s="87"/>
      <c r="M547" s="8"/>
      <c r="N547" s="265"/>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4" customHeight="1" x14ac:dyDescent="0.15">
      <c r="A550" s="22" t="s">
        <v>633</v>
      </c>
      <c r="B550" s="75">
        <v>21</v>
      </c>
      <c r="C550" s="75">
        <v>22</v>
      </c>
      <c r="D550" s="2" t="s">
        <v>432</v>
      </c>
      <c r="E550" s="75"/>
      <c r="F550" s="87">
        <f>L522</f>
        <v>527776.56999999995</v>
      </c>
      <c r="G550" s="87">
        <f>L527</f>
        <v>0</v>
      </c>
      <c r="H550" s="87">
        <f>L532</f>
        <v>122425.94</v>
      </c>
      <c r="I550" s="87">
        <f>L537</f>
        <v>344.5</v>
      </c>
      <c r="J550" s="87">
        <f>L542</f>
        <v>0</v>
      </c>
      <c r="K550" s="87">
        <f>SUM(F550:J550)</f>
        <v>650547.01</v>
      </c>
      <c r="L550" s="24" t="s">
        <v>288</v>
      </c>
      <c r="M550" s="8"/>
      <c r="N550" s="265"/>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4" customHeight="1" thickTop="1" x14ac:dyDescent="0.15">
      <c r="A553" s="172" t="s">
        <v>340</v>
      </c>
      <c r="B553" s="44">
        <v>21</v>
      </c>
      <c r="C553" s="44">
        <v>25</v>
      </c>
      <c r="D553" s="39" t="s">
        <v>432</v>
      </c>
      <c r="E553" s="44"/>
      <c r="F553" s="89">
        <f t="shared" ref="F553:K553" si="42">SUM(F550:F552)</f>
        <v>527776.56999999995</v>
      </c>
      <c r="G553" s="89">
        <f t="shared" si="42"/>
        <v>0</v>
      </c>
      <c r="H553" s="89">
        <f t="shared" si="42"/>
        <v>122425.94</v>
      </c>
      <c r="I553" s="89">
        <f t="shared" si="42"/>
        <v>344.5</v>
      </c>
      <c r="J553" s="89">
        <f t="shared" si="42"/>
        <v>0</v>
      </c>
      <c r="K553" s="89">
        <f t="shared" si="42"/>
        <v>650547.01</v>
      </c>
      <c r="L553" s="24"/>
      <c r="M553" s="8"/>
      <c r="N553" s="265"/>
    </row>
    <row r="554" spans="1:14" s="3" customFormat="1" ht="12.4" customHeight="1" x14ac:dyDescent="0.15">
      <c r="A554" s="96" t="s">
        <v>580</v>
      </c>
      <c r="B554" s="105"/>
      <c r="C554" s="105"/>
      <c r="D554" s="105"/>
      <c r="E554" s="105"/>
      <c r="F554" s="87"/>
      <c r="G554" s="87"/>
      <c r="H554" s="87"/>
      <c r="I554" s="87"/>
      <c r="J554" s="87"/>
      <c r="K554" s="87"/>
      <c r="L554" s="87"/>
      <c r="M554" s="8"/>
      <c r="N554" s="265"/>
    </row>
    <row r="555" spans="1:14" s="3" customFormat="1" ht="12.4"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4"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4"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4"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4" customHeight="1" x14ac:dyDescent="0.15">
      <c r="A573" s="97"/>
      <c r="B573" s="75"/>
      <c r="C573" s="75"/>
      <c r="D573" s="75"/>
      <c r="E573" s="75"/>
      <c r="F573" s="87"/>
      <c r="G573" s="87"/>
      <c r="H573" s="87"/>
      <c r="I573" s="87"/>
      <c r="J573" s="87"/>
      <c r="K573" s="87"/>
      <c r="L573" s="87"/>
      <c r="M573" s="8"/>
      <c r="N573" s="265"/>
    </row>
    <row r="574" spans="1:14" s="3" customFormat="1" ht="12.4" customHeight="1" x14ac:dyDescent="0.15">
      <c r="A574" s="97" t="s">
        <v>771</v>
      </c>
      <c r="B574" s="75"/>
      <c r="C574" s="75"/>
      <c r="D574" s="75"/>
      <c r="E574" s="75"/>
      <c r="F574" s="87"/>
      <c r="G574" s="87"/>
      <c r="H574" s="87"/>
      <c r="I574" s="87"/>
      <c r="J574" s="87"/>
      <c r="K574" s="87"/>
      <c r="L574" s="87"/>
      <c r="M574" s="8"/>
      <c r="N574" s="265"/>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4" customHeight="1" x14ac:dyDescent="0.15">
      <c r="A576" s="99" t="s">
        <v>669</v>
      </c>
      <c r="B576" s="75">
        <v>22</v>
      </c>
      <c r="C576" s="75">
        <v>14</v>
      </c>
      <c r="D576" s="2" t="s">
        <v>432</v>
      </c>
      <c r="E576" s="75">
        <v>561</v>
      </c>
      <c r="F576" s="18"/>
      <c r="G576" s="18"/>
      <c r="H576" s="18">
        <v>473777.6</v>
      </c>
      <c r="I576" s="87">
        <f>SUM(F576:H576)</f>
        <v>473777.6</v>
      </c>
      <c r="J576" s="24" t="s">
        <v>288</v>
      </c>
      <c r="K576" s="24" t="s">
        <v>288</v>
      </c>
      <c r="L576" s="24" t="s">
        <v>288</v>
      </c>
      <c r="M576" s="8"/>
      <c r="N576" s="265"/>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4" customHeight="1" x14ac:dyDescent="0.15">
      <c r="A583" s="146" t="s">
        <v>673</v>
      </c>
      <c r="B583" s="75">
        <v>22</v>
      </c>
      <c r="C583" s="75">
        <v>21</v>
      </c>
      <c r="D583" s="2" t="s">
        <v>432</v>
      </c>
      <c r="E583" s="75">
        <v>564</v>
      </c>
      <c r="F583" s="18">
        <v>91555.79</v>
      </c>
      <c r="G583" s="18"/>
      <c r="H583" s="18"/>
      <c r="I583" s="87">
        <f t="shared" si="47"/>
        <v>91555.79</v>
      </c>
      <c r="J583" s="24" t="s">
        <v>288</v>
      </c>
      <c r="K583" s="24" t="s">
        <v>288</v>
      </c>
      <c r="L583" s="24" t="s">
        <v>288</v>
      </c>
      <c r="M583" s="8"/>
      <c r="N583" s="265"/>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4" customHeight="1" x14ac:dyDescent="0.15">
      <c r="A589" s="173" t="s">
        <v>743</v>
      </c>
      <c r="B589" s="105"/>
      <c r="C589" s="105"/>
      <c r="D589" s="105"/>
      <c r="E589" s="105"/>
      <c r="F589" s="103"/>
      <c r="G589" s="103"/>
      <c r="H589" s="103"/>
      <c r="I589" s="103"/>
      <c r="J589" s="103"/>
      <c r="K589" s="103"/>
      <c r="L589" s="103"/>
      <c r="M589" s="8"/>
      <c r="N589" s="265"/>
    </row>
    <row r="590" spans="1:14" s="3" customFormat="1" ht="12.4" customHeight="1" x14ac:dyDescent="0.15">
      <c r="A590" s="147" t="s">
        <v>654</v>
      </c>
      <c r="B590" s="105"/>
      <c r="C590" s="105"/>
      <c r="D590" s="105"/>
      <c r="E590" s="105"/>
      <c r="F590" s="103"/>
      <c r="G590" s="103"/>
      <c r="H590" s="103"/>
      <c r="I590" s="103"/>
      <c r="J590" s="103"/>
      <c r="K590" s="103"/>
      <c r="L590" s="103"/>
      <c r="M590" s="8"/>
      <c r="N590" s="265"/>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4" customHeight="1" x14ac:dyDescent="0.15">
      <c r="A592" s="3" t="s">
        <v>637</v>
      </c>
      <c r="B592" s="75">
        <v>23</v>
      </c>
      <c r="C592" s="75">
        <v>1</v>
      </c>
      <c r="D592" s="2" t="s">
        <v>432</v>
      </c>
      <c r="E592" s="75"/>
      <c r="F592" s="102">
        <v>2721</v>
      </c>
      <c r="G592" s="103" t="s">
        <v>97</v>
      </c>
      <c r="H592" s="18">
        <v>63290.5</v>
      </c>
      <c r="I592" s="18"/>
      <c r="J592" s="18"/>
      <c r="K592" s="104">
        <f t="shared" ref="K592:K598" si="48">SUM(H592:J592)</f>
        <v>63290.5</v>
      </c>
      <c r="L592" s="24" t="s">
        <v>288</v>
      </c>
      <c r="M592" s="8"/>
      <c r="N592" s="265"/>
    </row>
    <row r="593" spans="1:14" s="3" customFormat="1" ht="12.4"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4" customHeight="1" x14ac:dyDescent="0.15">
      <c r="A595" s="22" t="s">
        <v>640</v>
      </c>
      <c r="B595" s="75">
        <v>23</v>
      </c>
      <c r="C595" s="75">
        <v>4</v>
      </c>
      <c r="D595" s="2" t="s">
        <v>432</v>
      </c>
      <c r="E595" s="75"/>
      <c r="F595" s="102">
        <v>2724</v>
      </c>
      <c r="G595" s="103" t="s">
        <v>97</v>
      </c>
      <c r="H595" s="18">
        <v>1890.51</v>
      </c>
      <c r="I595" s="18"/>
      <c r="J595" s="18"/>
      <c r="K595" s="104">
        <f t="shared" si="48"/>
        <v>1890.51</v>
      </c>
      <c r="L595" s="24" t="s">
        <v>288</v>
      </c>
      <c r="M595" s="8"/>
      <c r="N595" s="265"/>
    </row>
    <row r="596" spans="1:14" s="3" customFormat="1" ht="12.4" customHeight="1" x14ac:dyDescent="0.15">
      <c r="A596" s="171" t="s">
        <v>652</v>
      </c>
      <c r="B596" s="75">
        <v>23</v>
      </c>
      <c r="C596" s="75">
        <v>5</v>
      </c>
      <c r="D596" s="2" t="s">
        <v>432</v>
      </c>
      <c r="E596" s="75"/>
      <c r="F596" s="102">
        <v>2725</v>
      </c>
      <c r="G596" s="103" t="s">
        <v>97</v>
      </c>
      <c r="H596" s="18">
        <v>206</v>
      </c>
      <c r="I596" s="18"/>
      <c r="J596" s="18"/>
      <c r="K596" s="104">
        <f t="shared" si="48"/>
        <v>206</v>
      </c>
      <c r="L596" s="24" t="s">
        <v>288</v>
      </c>
      <c r="M596" s="8"/>
      <c r="N596" s="265"/>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4" customHeight="1" thickTop="1" x14ac:dyDescent="0.15">
      <c r="A599" s="98" t="s">
        <v>340</v>
      </c>
      <c r="B599" s="44">
        <v>23</v>
      </c>
      <c r="C599" s="44">
        <v>8</v>
      </c>
      <c r="D599" s="39" t="s">
        <v>432</v>
      </c>
      <c r="E599" s="44"/>
      <c r="F599" s="148">
        <v>2700</v>
      </c>
      <c r="G599" s="149" t="s">
        <v>97</v>
      </c>
      <c r="H599" s="108">
        <f>SUM(H592:H598)</f>
        <v>65387.01</v>
      </c>
      <c r="I599" s="108">
        <f>SUM(I592:I598)</f>
        <v>0</v>
      </c>
      <c r="J599" s="108">
        <f>SUM(J592:J598)</f>
        <v>0</v>
      </c>
      <c r="K599" s="108">
        <f>SUM(K592:K598)</f>
        <v>65387.01</v>
      </c>
      <c r="L599" s="24" t="s">
        <v>288</v>
      </c>
      <c r="M599" s="8"/>
      <c r="N599" s="265"/>
    </row>
    <row r="600" spans="1:14" s="3" customFormat="1" ht="12.4" customHeight="1" x14ac:dyDescent="0.15">
      <c r="A600" s="22"/>
      <c r="B600" s="105"/>
      <c r="C600" s="105"/>
      <c r="D600" s="105"/>
      <c r="E600" s="105"/>
      <c r="F600" s="103"/>
      <c r="G600" s="103"/>
      <c r="H600" s="103"/>
      <c r="I600" s="103"/>
      <c r="J600" s="103"/>
      <c r="K600" s="103"/>
      <c r="L600" s="103"/>
      <c r="M600" s="8"/>
      <c r="N600" s="265"/>
    </row>
    <row r="601" spans="1:14" s="3" customFormat="1" ht="12.4" customHeight="1" x14ac:dyDescent="0.15">
      <c r="A601" s="96" t="s">
        <v>98</v>
      </c>
      <c r="B601" s="105"/>
      <c r="C601" s="105"/>
      <c r="D601" s="105"/>
      <c r="E601" s="105"/>
      <c r="F601" s="103"/>
      <c r="G601" s="103"/>
      <c r="H601" s="103"/>
      <c r="I601" s="103"/>
      <c r="J601" s="103"/>
      <c r="K601" s="103"/>
      <c r="L601" s="103"/>
      <c r="M601" s="8"/>
      <c r="N601" s="265"/>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4" customHeight="1" thickBot="1" x14ac:dyDescent="0.2">
      <c r="A605" s="22" t="s">
        <v>644</v>
      </c>
      <c r="B605" s="105">
        <v>23</v>
      </c>
      <c r="C605" s="105">
        <v>11</v>
      </c>
      <c r="D605" s="2" t="s">
        <v>432</v>
      </c>
      <c r="E605" s="105"/>
      <c r="F605" s="103" t="s">
        <v>476</v>
      </c>
      <c r="G605" s="102">
        <v>730</v>
      </c>
      <c r="H605" s="18">
        <f>179.98+4880.75+1423.92</f>
        <v>6484.65</v>
      </c>
      <c r="I605" s="18"/>
      <c r="J605" s="18"/>
      <c r="K605" s="104">
        <f>SUM(H605:J605)</f>
        <v>6484.65</v>
      </c>
      <c r="L605" s="24" t="s">
        <v>288</v>
      </c>
      <c r="M605" s="8"/>
      <c r="N605" s="265"/>
    </row>
    <row r="606" spans="1:14" s="3" customFormat="1" ht="12.4" customHeight="1" thickTop="1" x14ac:dyDescent="0.15">
      <c r="A606" s="98" t="s">
        <v>340</v>
      </c>
      <c r="B606" s="44">
        <v>23</v>
      </c>
      <c r="C606" s="44">
        <v>12</v>
      </c>
      <c r="D606" s="39" t="s">
        <v>432</v>
      </c>
      <c r="E606" s="44"/>
      <c r="F606" s="149" t="s">
        <v>476</v>
      </c>
      <c r="G606" s="148">
        <v>700</v>
      </c>
      <c r="H606" s="108">
        <f>SUM(H603:H605)</f>
        <v>6484.65</v>
      </c>
      <c r="I606" s="108">
        <f>SUM(I603:I605)</f>
        <v>0</v>
      </c>
      <c r="J606" s="108">
        <f>SUM(J603:J605)</f>
        <v>0</v>
      </c>
      <c r="K606" s="108">
        <f>SUM(K603:K605)</f>
        <v>6484.65</v>
      </c>
      <c r="L606" s="24" t="s">
        <v>288</v>
      </c>
      <c r="M606" s="8"/>
      <c r="N606" s="265"/>
    </row>
    <row r="607" spans="1:14" s="3" customFormat="1" ht="12.4" customHeight="1" x14ac:dyDescent="0.15">
      <c r="A607" s="22"/>
      <c r="B607" s="105"/>
      <c r="C607" s="105"/>
      <c r="D607" s="105"/>
      <c r="E607" s="105"/>
      <c r="F607" s="103"/>
      <c r="G607" s="103"/>
      <c r="H607" s="103"/>
      <c r="I607" s="103"/>
      <c r="J607" s="103"/>
      <c r="K607" s="103"/>
      <c r="L607" s="88"/>
      <c r="M607" s="8"/>
      <c r="N607" s="265"/>
    </row>
    <row r="608" spans="1:14" s="3" customFormat="1" ht="12.4" customHeight="1" x14ac:dyDescent="0.15">
      <c r="A608" s="96"/>
      <c r="B608" s="105"/>
      <c r="C608" s="105"/>
      <c r="D608" s="105"/>
      <c r="E608" s="105"/>
      <c r="F608" s="103"/>
      <c r="G608" s="103"/>
      <c r="H608" s="103"/>
      <c r="I608" s="103"/>
      <c r="J608" s="103"/>
      <c r="K608" s="103"/>
      <c r="L608" s="88"/>
      <c r="M608" s="8"/>
      <c r="N608" s="265"/>
    </row>
    <row r="609" spans="1:14" s="3" customFormat="1" ht="12.4" customHeight="1" x14ac:dyDescent="0.15">
      <c r="A609" s="96" t="s">
        <v>581</v>
      </c>
      <c r="B609" s="105"/>
      <c r="C609" s="105"/>
      <c r="D609" s="105"/>
      <c r="E609" s="105"/>
      <c r="F609" s="103"/>
      <c r="G609" s="103"/>
      <c r="H609" s="103"/>
      <c r="I609" s="103"/>
      <c r="J609" s="103"/>
      <c r="K609" s="103"/>
      <c r="L609" s="88"/>
      <c r="M609" s="8"/>
      <c r="N609" s="265"/>
    </row>
    <row r="610" spans="1:14" s="3" customFormat="1" ht="12.4"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172196.22</v>
      </c>
      <c r="H618" s="109">
        <f>SUM(F52)</f>
        <v>172196.22</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3786.91</v>
      </c>
      <c r="H619" s="109">
        <f>SUM(G52)</f>
        <v>3786.91</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5986.96</v>
      </c>
      <c r="H620" s="109">
        <f>SUM(H52)</f>
        <v>5986.96</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217391.74</v>
      </c>
      <c r="H622" s="109">
        <f>SUM(J52)</f>
        <v>217391.74</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59783.93</v>
      </c>
      <c r="H623" s="109">
        <f>F477</f>
        <v>59783.930000000168</v>
      </c>
      <c r="I623" s="121" t="s">
        <v>101</v>
      </c>
      <c r="J623" s="109">
        <f t="shared" ref="J623:J656" si="50">G623-H623</f>
        <v>-1.673470251262188E-10</v>
      </c>
      <c r="K623" s="109"/>
      <c r="L623" s="109"/>
      <c r="M623" s="8"/>
    </row>
    <row r="624" spans="1:14" s="3" customFormat="1" ht="12.4" customHeight="1" x14ac:dyDescent="0.15">
      <c r="A624" s="97"/>
      <c r="B624" s="105"/>
      <c r="C624" s="119"/>
      <c r="D624" s="119"/>
      <c r="E624" s="119"/>
      <c r="F624" s="119" t="s">
        <v>866</v>
      </c>
      <c r="G624" s="109">
        <f>G51</f>
        <v>3786.91</v>
      </c>
      <c r="H624" s="109">
        <f>G477</f>
        <v>3786.9100000000008</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217391.74</v>
      </c>
      <c r="H627" s="109">
        <f>J477</f>
        <v>217391.73999999996</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2919462.63</v>
      </c>
      <c r="H628" s="104">
        <f>SUM(F469)</f>
        <v>2919462.63</v>
      </c>
      <c r="I628" s="140" t="s">
        <v>106</v>
      </c>
      <c r="J628" s="109">
        <f>G628-H628</f>
        <v>0</v>
      </c>
      <c r="K628" s="85"/>
      <c r="L628" s="88"/>
      <c r="M628" s="8"/>
    </row>
    <row r="629" spans="1:13" s="3" customFormat="1" ht="12.4" customHeight="1" x14ac:dyDescent="0.15">
      <c r="A629" s="22"/>
      <c r="B629" s="105"/>
      <c r="C629" s="105"/>
      <c r="D629" s="105"/>
      <c r="E629" s="105"/>
      <c r="F629" s="120" t="s">
        <v>659</v>
      </c>
      <c r="G629" s="109">
        <f>G194</f>
        <v>4379.0200000000004</v>
      </c>
      <c r="H629" s="104">
        <f>SUM(G469)</f>
        <v>4379.0200000000004</v>
      </c>
      <c r="I629" s="140" t="s">
        <v>107</v>
      </c>
      <c r="J629" s="109">
        <f>G629-H629</f>
        <v>0</v>
      </c>
      <c r="K629" s="85"/>
      <c r="L629" s="88"/>
      <c r="M629" s="8"/>
    </row>
    <row r="630" spans="1:13" s="3" customFormat="1" ht="12.4" customHeight="1" x14ac:dyDescent="0.15">
      <c r="A630" s="22"/>
      <c r="B630" s="105"/>
      <c r="C630" s="105"/>
      <c r="D630" s="105"/>
      <c r="E630" s="105"/>
      <c r="F630" s="120" t="s">
        <v>660</v>
      </c>
      <c r="G630" s="109">
        <f>H194</f>
        <v>35530.32</v>
      </c>
      <c r="H630" s="104">
        <f>SUM(H469)</f>
        <v>35530.32</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19220.91</v>
      </c>
      <c r="H632" s="104">
        <f>SUM(J469)</f>
        <v>19220.91</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2954093.0299999993</v>
      </c>
      <c r="H633" s="104">
        <f>SUM(F473)</f>
        <v>2954093.03</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35530.32</v>
      </c>
      <c r="H634" s="104">
        <f>SUM(H473)</f>
        <v>35530.32</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1384.36</v>
      </c>
      <c r="H635" s="104">
        <f>I370</f>
        <v>1384.36</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1939.36</v>
      </c>
      <c r="H636" s="104">
        <f>SUM(G473)</f>
        <v>1939.36</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19220.91</v>
      </c>
      <c r="H638" s="164">
        <f>SUM(J469)</f>
        <v>19220.91</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105832</v>
      </c>
      <c r="H639" s="164">
        <f>SUM(J473)</f>
        <v>105832</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217391.74</v>
      </c>
      <c r="H641" s="104">
        <f>SUM(G462)</f>
        <v>217391.74</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217391.74</v>
      </c>
      <c r="H643" s="104">
        <f>SUM(I462)</f>
        <v>217391.74</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19220.91</v>
      </c>
      <c r="H645" s="104">
        <f>H409</f>
        <v>19220.91</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19220.91</v>
      </c>
      <c r="H647" s="104">
        <f>L409</f>
        <v>19220.91</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65387.01</v>
      </c>
      <c r="H648" s="104">
        <f>L209+L227+L245</f>
        <v>65387.01</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6484.65</v>
      </c>
      <c r="H649" s="104">
        <f>(J258+J339)-(J256+J337)</f>
        <v>6484.65</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65387.01</v>
      </c>
      <c r="H650" s="104">
        <f>H599</f>
        <v>65387.01</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27" t="s">
        <v>1633</v>
      </c>
      <c r="F660" s="14" t="s">
        <v>286</v>
      </c>
      <c r="G660" s="13"/>
      <c r="H660" s="13"/>
      <c r="I660" s="13"/>
      <c r="J660" s="13"/>
      <c r="K660" s="13"/>
      <c r="L660" s="13"/>
      <c r="M660" s="9"/>
    </row>
    <row r="661" spans="1:13" s="3" customFormat="1" ht="12.4" customHeight="1" x14ac:dyDescent="0.15">
      <c r="A661" s="1" t="s">
        <v>126</v>
      </c>
      <c r="F661" s="19">
        <f>(L212+L291+L359)</f>
        <v>2418378.6099999989</v>
      </c>
      <c r="G661" s="19">
        <f>(L230+L310+L360)</f>
        <v>0</v>
      </c>
      <c r="H661" s="19">
        <f>(L248+L329+L361)</f>
        <v>473777.6</v>
      </c>
      <c r="I661" s="19">
        <f>SUM(F661:H661)</f>
        <v>2892156.209999999</v>
      </c>
      <c r="J661" s="13"/>
      <c r="K661" s="13"/>
      <c r="L661" s="13"/>
      <c r="M661" s="9"/>
    </row>
    <row r="662" spans="1:13" s="3" customFormat="1" ht="12.4" customHeight="1" x14ac:dyDescent="0.2">
      <c r="A662" s="1" t="s">
        <v>127</v>
      </c>
      <c r="F662" s="19">
        <f>(L359/IF(SUM(L359:L361)=0,1,SUM(L359:L361))*(SUM(G97:G110)))</f>
        <v>1323.75</v>
      </c>
      <c r="G662" s="19">
        <f>(L360/IF(SUM(L359:L361)=0,1,SUM(L359:L361))*(SUM(G97:G110)))</f>
        <v>0</v>
      </c>
      <c r="H662" s="19">
        <f>(L361/IF(SUM(L359:L361)=0,1,SUM(L359:L361))*(SUM(G97:G110)))</f>
        <v>0</v>
      </c>
      <c r="I662" s="19">
        <f>SUM(F662:H662)</f>
        <v>1323.75</v>
      </c>
      <c r="J662"/>
      <c r="K662" s="13"/>
      <c r="L662" s="13"/>
      <c r="M662" s="8"/>
    </row>
    <row r="663" spans="1:13" s="3" customFormat="1" ht="12.4" customHeight="1" x14ac:dyDescent="0.2">
      <c r="A663" s="1" t="s">
        <v>128</v>
      </c>
      <c r="F663" s="19">
        <f>(L209+L288)-(J209+J288)</f>
        <v>65387.01</v>
      </c>
      <c r="G663" s="19">
        <f>(L227+L307)-(J227+J307)</f>
        <v>0</v>
      </c>
      <c r="H663" s="19">
        <f>(L245+L326)-(J245+J326)</f>
        <v>0</v>
      </c>
      <c r="I663" s="19">
        <f>SUM(F663:H663)</f>
        <v>65387.01</v>
      </c>
      <c r="J663"/>
      <c r="K663" s="13"/>
      <c r="L663" s="13"/>
      <c r="M663" s="9"/>
    </row>
    <row r="664" spans="1:13" s="3" customFormat="1" ht="12.4" customHeight="1" x14ac:dyDescent="0.15">
      <c r="A664" s="197" t="s">
        <v>129</v>
      </c>
      <c r="B664" s="169"/>
      <c r="C664" s="169"/>
      <c r="D664" s="169"/>
      <c r="E664" s="169"/>
      <c r="F664" s="198">
        <f>SUM(F576:F588)+SUM(H603:H605)+SUM(L612)</f>
        <v>98040.439999999988</v>
      </c>
      <c r="G664" s="198">
        <f>SUM(G576:G588)+SUM(I603:I605)+L613</f>
        <v>0</v>
      </c>
      <c r="H664" s="198">
        <f>SUM(H576:H588)+SUM(J603:J605)+L614</f>
        <v>473777.6</v>
      </c>
      <c r="I664" s="19">
        <f>SUM(F664:H664)</f>
        <v>571818.03999999992</v>
      </c>
      <c r="J664" s="13"/>
      <c r="K664" s="13"/>
      <c r="L664" s="13"/>
      <c r="M664" s="9"/>
    </row>
    <row r="665" spans="1:13" s="3" customFormat="1" ht="12.4" customHeight="1" x14ac:dyDescent="0.15">
      <c r="A665" s="1" t="s">
        <v>130</v>
      </c>
      <c r="F665" s="19">
        <f>F661-SUM(F662:F664)</f>
        <v>2253627.4099999988</v>
      </c>
      <c r="G665" s="19">
        <f>G661-SUM(G662:G664)</f>
        <v>0</v>
      </c>
      <c r="H665" s="19">
        <f>H661-SUM(H662:H664)</f>
        <v>0</v>
      </c>
      <c r="I665" s="19">
        <f>I661-SUM(I662:I664)</f>
        <v>2253627.4099999992</v>
      </c>
      <c r="J665" s="13"/>
      <c r="K665" s="13"/>
      <c r="L665" s="13"/>
      <c r="M665" s="8"/>
    </row>
    <row r="666" spans="1:13" s="3" customFormat="1" ht="12.4" customHeight="1" x14ac:dyDescent="0.2">
      <c r="A666" s="1" t="s">
        <v>131</v>
      </c>
      <c r="F666" s="245">
        <v>84.65</v>
      </c>
      <c r="G666" s="246"/>
      <c r="H666" s="246"/>
      <c r="I666" s="19">
        <f>SUM(F666:H666)</f>
        <v>84.65</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26622.89</v>
      </c>
      <c r="G668" s="19" t="e">
        <f>ROUND(G665/G666,2)</f>
        <v>#DIV/0!</v>
      </c>
      <c r="H668" s="19" t="e">
        <f>ROUND(H665/H666,2)</f>
        <v>#DIV/0!</v>
      </c>
      <c r="I668" s="19">
        <f>ROUND(I665/I666,2)</f>
        <v>26622.89</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26622.89</v>
      </c>
      <c r="G673" s="19" t="e">
        <f>ROUND((G665+G670)/(G666+G671),2)</f>
        <v>#DIV/0!</v>
      </c>
      <c r="H673" s="19" t="e">
        <f>ROUND((H665+H670)/(H666+H671),2)</f>
        <v>#DIV/0!</v>
      </c>
      <c r="I673" s="19">
        <f>ROUND((I665+I670)/(I666+I671),2)</f>
        <v>26622.89</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20574.189999999999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175.94+261.88+10000+5672.87+1532.53+2000.59+930.38</f>
        <v>20574.189999999999</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9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South Hampton</v>
      </c>
      <c r="C5" s="375"/>
      <c r="D5" s="375"/>
      <c r="E5" s="375"/>
      <c r="F5" s="375"/>
    </row>
    <row r="8" spans="1:9" ht="18" x14ac:dyDescent="0.25">
      <c r="A8" s="312" t="s">
        <v>1568</v>
      </c>
      <c r="F8" s="319" t="s">
        <v>1586</v>
      </c>
    </row>
    <row r="9" spans="1:9" ht="15" x14ac:dyDescent="0.2">
      <c r="A9" s="310" t="s">
        <v>1569</v>
      </c>
      <c r="B9" s="313">
        <f>'DOE25'!G97</f>
        <v>1323.75</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3055.27</v>
      </c>
      <c r="F12" s="310" t="s">
        <v>1585</v>
      </c>
    </row>
    <row r="13" spans="1:9" ht="15" x14ac:dyDescent="0.2">
      <c r="A13" s="310" t="s">
        <v>1573</v>
      </c>
      <c r="B13" s="313">
        <f>'DOE25'!G193-'DOE25'!G180</f>
        <v>0</v>
      </c>
      <c r="F13" s="310" t="s">
        <v>1595</v>
      </c>
    </row>
    <row r="14" spans="1:9" ht="18" x14ac:dyDescent="0.25">
      <c r="A14" s="312" t="s">
        <v>732</v>
      </c>
      <c r="B14" s="314">
        <f>SUM(B9:B13)</f>
        <v>4379.0200000000004</v>
      </c>
    </row>
    <row r="16" spans="1:9" ht="18" x14ac:dyDescent="0.25">
      <c r="A16" s="312" t="s">
        <v>786</v>
      </c>
      <c r="F16" s="319" t="s">
        <v>1587</v>
      </c>
    </row>
    <row r="17" spans="1:6" ht="15" x14ac:dyDescent="0.2">
      <c r="A17" s="310" t="s">
        <v>1574</v>
      </c>
      <c r="B17" s="313">
        <f>'DOE25'!L363-'DOE25'!L362</f>
        <v>1939.36</v>
      </c>
      <c r="F17" s="310" t="s">
        <v>1588</v>
      </c>
    </row>
    <row r="18" spans="1:6" ht="15" x14ac:dyDescent="0.2">
      <c r="A18" s="310" t="s">
        <v>1575</v>
      </c>
      <c r="B18" s="323"/>
      <c r="F18" s="319" t="s">
        <v>1612</v>
      </c>
    </row>
    <row r="19" spans="1:6" ht="18" x14ac:dyDescent="0.25">
      <c r="A19" s="312" t="s">
        <v>725</v>
      </c>
      <c r="B19" s="314">
        <f>SUM(B17:B18)</f>
        <v>1939.36</v>
      </c>
    </row>
    <row r="21" spans="1:6" ht="18.75" thickBot="1" x14ac:dyDescent="0.3">
      <c r="A21" s="312" t="s">
        <v>1576</v>
      </c>
    </row>
    <row r="22" spans="1:6" ht="18.75" thickTop="1" x14ac:dyDescent="0.25">
      <c r="A22" s="312" t="s">
        <v>1577</v>
      </c>
      <c r="B22" s="318">
        <f>B14-B19</f>
        <v>2439.6600000000008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1347.25</v>
      </c>
      <c r="F31" s="310" t="s">
        <v>1592</v>
      </c>
    </row>
    <row r="33" spans="1:6" ht="15" x14ac:dyDescent="0.2">
      <c r="A33" s="310" t="s">
        <v>1635</v>
      </c>
      <c r="B33" s="313">
        <f>'DOE25'!G477</f>
        <v>3786.9100000000008</v>
      </c>
      <c r="F33" s="310" t="s">
        <v>1593</v>
      </c>
    </row>
    <row r="36" spans="1:6" ht="15" x14ac:dyDescent="0.2">
      <c r="A36" s="310" t="s">
        <v>1579</v>
      </c>
      <c r="B36" s="324">
        <v>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South Hampton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607813.69999999995</v>
      </c>
      <c r="C9" s="228">
        <f>'DOE25'!G198+'DOE25'!G216+'DOE25'!G234+'DOE25'!G277+'DOE25'!G296+'DOE25'!G315</f>
        <v>272076.18</v>
      </c>
    </row>
    <row r="10" spans="1:3" x14ac:dyDescent="0.2">
      <c r="A10" t="s">
        <v>775</v>
      </c>
      <c r="B10" s="239">
        <f>574628.22+600</f>
        <v>575228.22</v>
      </c>
      <c r="C10" s="239">
        <f>45.92+269293.62</f>
        <v>269339.53999999998</v>
      </c>
    </row>
    <row r="11" spans="1:3" x14ac:dyDescent="0.2">
      <c r="A11" t="s">
        <v>776</v>
      </c>
      <c r="B11" s="239">
        <v>26130.48</v>
      </c>
      <c r="C11" s="239">
        <v>2239.6</v>
      </c>
    </row>
    <row r="12" spans="1:3" x14ac:dyDescent="0.2">
      <c r="A12" t="s">
        <v>777</v>
      </c>
      <c r="B12" s="239">
        <v>6455</v>
      </c>
      <c r="C12" s="239">
        <v>497.04</v>
      </c>
    </row>
    <row r="13" spans="1:3" x14ac:dyDescent="0.2">
      <c r="A13" t="str">
        <f>IF(B9=B13,IF(C9=C13,"Check Total OK","Check Total Error"),"Check Total Error")</f>
        <v>Check Total OK</v>
      </c>
      <c r="B13" s="230">
        <f>SUM(B10:B12)</f>
        <v>607813.69999999995</v>
      </c>
      <c r="C13" s="230">
        <f>SUM(C10:C12)</f>
        <v>272076.17999999993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307491.14</v>
      </c>
      <c r="C18" s="228">
        <f>'DOE25'!G199+'DOE25'!G217+'DOE25'!G235+'DOE25'!G278+'DOE25'!G297+'DOE25'!G316</f>
        <v>94794.55</v>
      </c>
    </row>
    <row r="19" spans="1:3" x14ac:dyDescent="0.2">
      <c r="A19" t="s">
        <v>775</v>
      </c>
      <c r="B19" s="239">
        <v>102046.13</v>
      </c>
      <c r="C19" s="239">
        <v>56531.519999999997</v>
      </c>
    </row>
    <row r="20" spans="1:3" x14ac:dyDescent="0.2">
      <c r="A20" t="s">
        <v>776</v>
      </c>
      <c r="B20" s="239">
        <v>112803.01</v>
      </c>
      <c r="C20" s="239">
        <v>9454.09</v>
      </c>
    </row>
    <row r="21" spans="1:3" x14ac:dyDescent="0.2">
      <c r="A21" t="s">
        <v>777</v>
      </c>
      <c r="B21" s="239">
        <f>87078+5564</f>
        <v>92642</v>
      </c>
      <c r="C21" s="239">
        <f>27357.85+1451.09</f>
        <v>28808.94</v>
      </c>
    </row>
    <row r="22" spans="1:3" x14ac:dyDescent="0.2">
      <c r="A22" t="str">
        <f>IF(B18=B22,IF(C18=C22,"Check Total OK","Check Total Error"),"Check Total Error")</f>
        <v>Check Total OK</v>
      </c>
      <c r="B22" s="230">
        <f>SUM(B19:B21)</f>
        <v>307491.14</v>
      </c>
      <c r="C22" s="230">
        <f>SUM(C19:C21)</f>
        <v>94794.55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10168.5</v>
      </c>
      <c r="C36" s="234">
        <f>'DOE25'!G201+'DOE25'!G219+'DOE25'!G237+'DOE25'!G280+'DOE25'!G299+'DOE25'!G318</f>
        <v>803.31</v>
      </c>
    </row>
    <row r="37" spans="1:3" x14ac:dyDescent="0.2">
      <c r="A37" t="s">
        <v>775</v>
      </c>
      <c r="B37" s="239"/>
      <c r="C37" s="239"/>
    </row>
    <row r="38" spans="1:3" x14ac:dyDescent="0.2">
      <c r="A38" t="s">
        <v>776</v>
      </c>
      <c r="B38" s="239"/>
      <c r="C38" s="239"/>
    </row>
    <row r="39" spans="1:3" x14ac:dyDescent="0.2">
      <c r="A39" t="s">
        <v>777</v>
      </c>
      <c r="B39" s="239">
        <v>10168.5</v>
      </c>
      <c r="C39" s="239">
        <v>803.31</v>
      </c>
    </row>
    <row r="40" spans="1:3" x14ac:dyDescent="0.2">
      <c r="A40" t="str">
        <f>IF(B36=B40,IF(C36=C40,"Check Total OK","Check Total Error"),"Check Total Error")</f>
        <v>Check Total OK</v>
      </c>
      <c r="B40" s="230">
        <f>SUM(B37:B39)</f>
        <v>10168.5</v>
      </c>
      <c r="C40" s="230">
        <f>SUM(C37:C39)</f>
        <v>803.31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South Hampton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2037896.4099999997</v>
      </c>
      <c r="D5" s="20">
        <f>SUM('DOE25'!L198:L201)+SUM('DOE25'!L216:L219)+SUM('DOE25'!L234:L237)-F5-G5-H5</f>
        <v>2035497.4899999998</v>
      </c>
      <c r="E5" s="242"/>
      <c r="F5" s="243"/>
      <c r="G5" s="53">
        <f>SUM('DOE25'!J198:J201)+SUM('DOE25'!J216:J219)+SUM('DOE25'!J234:J237)</f>
        <v>1423.92</v>
      </c>
      <c r="H5" s="53">
        <f>SUM('DOE25'!K198:K201)+SUM('DOE25'!K216:K219)+SUM('DOE25'!K234:K237)</f>
        <v>975</v>
      </c>
      <c r="I5" s="255"/>
    </row>
    <row r="6" spans="1:9" x14ac:dyDescent="0.2">
      <c r="A6" s="32">
        <v>2100</v>
      </c>
      <c r="B6" t="s">
        <v>796</v>
      </c>
      <c r="C6" s="274">
        <f t="shared" si="0"/>
        <v>214796.65000000002</v>
      </c>
      <c r="D6" s="20">
        <f>'DOE25'!L203+'DOE25'!L221+'DOE25'!L239-F6-G6-H6</f>
        <v>214273.65000000002</v>
      </c>
      <c r="E6" s="242"/>
      <c r="F6" s="243"/>
      <c r="G6" s="53">
        <f>'DOE25'!J203+'DOE25'!J221+'DOE25'!J239</f>
        <v>523</v>
      </c>
      <c r="H6" s="53">
        <f>'DOE25'!K203+'DOE25'!K221+'DOE25'!K239</f>
        <v>0</v>
      </c>
      <c r="I6" s="255"/>
    </row>
    <row r="7" spans="1:9" x14ac:dyDescent="0.2">
      <c r="A7" s="32">
        <v>2200</v>
      </c>
      <c r="B7" t="s">
        <v>821</v>
      </c>
      <c r="C7" s="274">
        <f t="shared" si="0"/>
        <v>53747.39</v>
      </c>
      <c r="D7" s="20">
        <f>'DOE25'!L204+'DOE25'!L222+'DOE25'!L240-F7-G7-H7</f>
        <v>51865.95</v>
      </c>
      <c r="E7" s="242"/>
      <c r="F7" s="243"/>
      <c r="G7" s="53">
        <f>'DOE25'!J204+'DOE25'!J222+'DOE25'!J240</f>
        <v>1881.44</v>
      </c>
      <c r="H7" s="53">
        <f>'DOE25'!K204+'DOE25'!K222+'DOE25'!K240</f>
        <v>0</v>
      </c>
      <c r="I7" s="255"/>
    </row>
    <row r="8" spans="1:9" x14ac:dyDescent="0.2">
      <c r="A8" s="32">
        <v>2300</v>
      </c>
      <c r="B8" t="s">
        <v>797</v>
      </c>
      <c r="C8" s="274">
        <f t="shared" si="0"/>
        <v>40809.150000000009</v>
      </c>
      <c r="D8" s="242"/>
      <c r="E8" s="20">
        <f>'DOE25'!L205+'DOE25'!L223+'DOE25'!L241-F8-G8-H8-D9-D11</f>
        <v>37511.090000000011</v>
      </c>
      <c r="F8" s="243"/>
      <c r="G8" s="53">
        <f>'DOE25'!J205+'DOE25'!J223+'DOE25'!J241</f>
        <v>0</v>
      </c>
      <c r="H8" s="53">
        <f>'DOE25'!K205+'DOE25'!K223+'DOE25'!K241</f>
        <v>3298.06</v>
      </c>
      <c r="I8" s="255"/>
    </row>
    <row r="9" spans="1:9" ht="14.25" x14ac:dyDescent="0.2">
      <c r="A9" s="32">
        <v>2310</v>
      </c>
      <c r="B9" s="184" t="s">
        <v>888</v>
      </c>
      <c r="C9" s="274">
        <f t="shared" si="0"/>
        <v>25627.87</v>
      </c>
      <c r="D9" s="243">
        <v>25627.87</v>
      </c>
      <c r="E9" s="242"/>
      <c r="F9" s="252"/>
      <c r="G9" s="252"/>
      <c r="H9" s="252"/>
      <c r="I9" s="255"/>
    </row>
    <row r="10" spans="1:9" ht="14.25" x14ac:dyDescent="0.2">
      <c r="A10" s="32">
        <v>2317</v>
      </c>
      <c r="B10" s="184" t="s">
        <v>889</v>
      </c>
      <c r="C10" s="274">
        <f t="shared" si="0"/>
        <v>7150</v>
      </c>
      <c r="D10" s="242"/>
      <c r="E10" s="243">
        <v>7150</v>
      </c>
      <c r="F10" s="252"/>
      <c r="G10" s="252"/>
      <c r="H10" s="252"/>
      <c r="I10" s="255"/>
    </row>
    <row r="11" spans="1:9" ht="14.25" x14ac:dyDescent="0.2">
      <c r="A11" s="32">
        <v>2321</v>
      </c>
      <c r="B11" s="184" t="s">
        <v>890</v>
      </c>
      <c r="C11" s="274">
        <f t="shared" si="0"/>
        <v>21211.51</v>
      </c>
      <c r="D11" s="243">
        <v>21211.51</v>
      </c>
      <c r="E11" s="242"/>
      <c r="F11" s="252"/>
      <c r="G11" s="252"/>
      <c r="H11" s="252"/>
      <c r="I11" s="255"/>
    </row>
    <row r="12" spans="1:9" x14ac:dyDescent="0.2">
      <c r="A12" s="32">
        <v>2400</v>
      </c>
      <c r="B12" t="s">
        <v>711</v>
      </c>
      <c r="C12" s="274">
        <f t="shared" si="0"/>
        <v>200431.28</v>
      </c>
      <c r="D12" s="20">
        <f>'DOE25'!L206+'DOE25'!L224+'DOE25'!L242-F12-G12-H12</f>
        <v>199507.28</v>
      </c>
      <c r="E12" s="242"/>
      <c r="F12" s="243"/>
      <c r="G12" s="53">
        <f>'DOE25'!J206+'DOE25'!J224+'DOE25'!J242</f>
        <v>0</v>
      </c>
      <c r="H12" s="53">
        <f>'DOE25'!K206+'DOE25'!K224+'DOE25'!K242</f>
        <v>924</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192545.00000000003</v>
      </c>
      <c r="D14" s="20">
        <f>'DOE25'!L208+'DOE25'!L226+'DOE25'!L244-F14-G14-H14</f>
        <v>176343.69000000003</v>
      </c>
      <c r="E14" s="242"/>
      <c r="F14" s="243">
        <v>13725</v>
      </c>
      <c r="G14" s="53">
        <f>'DOE25'!J208+'DOE25'!J226+'DOE25'!J244</f>
        <v>2476.31</v>
      </c>
      <c r="H14" s="53">
        <f>'DOE25'!K208+'DOE25'!K226+'DOE25'!K244</f>
        <v>0</v>
      </c>
      <c r="I14" s="255"/>
    </row>
    <row r="15" spans="1:9" x14ac:dyDescent="0.2">
      <c r="A15" s="32">
        <v>2700</v>
      </c>
      <c r="B15" t="s">
        <v>799</v>
      </c>
      <c r="C15" s="274">
        <f t="shared" si="0"/>
        <v>65387.01</v>
      </c>
      <c r="D15" s="20">
        <f>'DOE25'!L209+'DOE25'!L227+'DOE25'!L245-F15-G15-H15</f>
        <v>27096.510000000002</v>
      </c>
      <c r="E15" s="242"/>
      <c r="F15" s="243">
        <v>38290.5</v>
      </c>
      <c r="G15" s="53">
        <f>'DOE25'!J209+'DOE25'!J227+'DOE25'!J245</f>
        <v>0</v>
      </c>
      <c r="H15" s="53">
        <f>'DOE25'!K209+'DOE25'!K227+'DOE25'!K245</f>
        <v>0</v>
      </c>
      <c r="I15" s="255"/>
    </row>
    <row r="16" spans="1:9" x14ac:dyDescent="0.2">
      <c r="A16" s="32">
        <v>2800</v>
      </c>
      <c r="B16" t="s">
        <v>800</v>
      </c>
      <c r="C16" s="274">
        <f t="shared" si="0"/>
        <v>2234.2600000000002</v>
      </c>
      <c r="D16" s="242"/>
      <c r="E16" s="20">
        <f>'DOE25'!L210+'DOE25'!L228+'DOE25'!L246-F16-G16-H16</f>
        <v>1999.9200000000003</v>
      </c>
      <c r="F16" s="243"/>
      <c r="G16" s="53">
        <f>'DOE25'!J210+'DOE25'!J228+'DOE25'!J246</f>
        <v>0</v>
      </c>
      <c r="H16" s="53">
        <f>'DOE25'!K210+'DOE25'!K228+'DOE25'!K246</f>
        <v>234.34</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99406.5</v>
      </c>
      <c r="D22" s="242"/>
      <c r="E22" s="242"/>
      <c r="F22" s="242"/>
      <c r="G22" s="53">
        <f>'DOE25'!L256+'DOE25'!L337</f>
        <v>99406.5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555</v>
      </c>
      <c r="D29" s="282">
        <f>'DOE25'!L359+'DOE25'!L360+'DOE25'!L361-'DOE25'!I368-F29-G29-H29</f>
        <v>555</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35530.32</v>
      </c>
      <c r="D31" s="20">
        <f>'DOE25'!L291+'DOE25'!L310+'DOE25'!L329+'DOE25'!L334+'DOE25'!L335+'DOE25'!L336-F31-G31-H31</f>
        <v>34762.75</v>
      </c>
      <c r="E31" s="242"/>
      <c r="F31" s="243"/>
      <c r="G31" s="53">
        <f>'DOE25'!J291+'DOE25'!J310+'DOE25'!J329+'DOE25'!J334+'DOE25'!J335+'DOE25'!J336</f>
        <v>179.98</v>
      </c>
      <c r="H31" s="53">
        <f>'DOE25'!K291+'DOE25'!K310+'DOE25'!K329+'DOE25'!K334+'DOE25'!K335+'DOE25'!K336</f>
        <v>587.59</v>
      </c>
      <c r="I31" s="255"/>
    </row>
    <row r="32" spans="1:9" ht="12" thickBot="1" x14ac:dyDescent="0.25">
      <c r="C32" s="275"/>
      <c r="G32" s="250"/>
      <c r="H32" s="250"/>
      <c r="I32" s="257"/>
    </row>
    <row r="33" spans="1:9" ht="12" thickTop="1" x14ac:dyDescent="0.2">
      <c r="B33" t="s">
        <v>809</v>
      </c>
      <c r="D33" s="244">
        <f t="shared" ref="D33:I33" si="1">SUM(D5:D31)</f>
        <v>2786741.6999999993</v>
      </c>
      <c r="E33" s="244">
        <f t="shared" si="1"/>
        <v>46661.010000000009</v>
      </c>
      <c r="F33" s="244">
        <f t="shared" si="1"/>
        <v>52015.5</v>
      </c>
      <c r="G33" s="244">
        <f t="shared" si="1"/>
        <v>105891.15</v>
      </c>
      <c r="H33" s="244">
        <f t="shared" si="1"/>
        <v>6018.99</v>
      </c>
      <c r="I33" s="244">
        <f t="shared" si="1"/>
        <v>0</v>
      </c>
    </row>
    <row r="35" spans="1:9" ht="12" thickBot="1" x14ac:dyDescent="0.25">
      <c r="B35" s="250" t="s">
        <v>831</v>
      </c>
      <c r="D35" s="251">
        <f>E33</f>
        <v>46661.010000000009</v>
      </c>
      <c r="E35" s="247"/>
      <c r="F35" s="328" t="s">
        <v>1617</v>
      </c>
      <c r="G35" s="329"/>
      <c r="H35" s="329"/>
      <c r="I35" s="329"/>
    </row>
    <row r="36" spans="1:9" ht="12" thickTop="1" x14ac:dyDescent="0.2">
      <c r="B36" t="s">
        <v>810</v>
      </c>
      <c r="D36" s="20">
        <f>D33</f>
        <v>2786741.6999999993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7"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South Hampton</v>
      </c>
      <c r="B2" s="126">
        <f>'DOE25'!B2</f>
        <v>495</v>
      </c>
      <c r="C2" s="126"/>
      <c r="D2" s="126"/>
      <c r="E2" s="126"/>
      <c r="F2" s="126"/>
      <c r="G2" s="126"/>
      <c r="H2" s="126"/>
    </row>
    <row r="3" spans="1:18" ht="36.950000000000003"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2416439.2499999991</v>
      </c>
      <c r="G4" s="299">
        <f>'DOE25'!L212+'DOE25'!L291</f>
        <v>2416439.2499999991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91555.79</v>
      </c>
      <c r="E5" s="290"/>
      <c r="F5" s="303">
        <f>D5+E5</f>
        <v>91555.79</v>
      </c>
      <c r="G5" s="293"/>
      <c r="H5" s="293"/>
      <c r="I5" s="384"/>
      <c r="N5"/>
    </row>
    <row r="6" spans="1:18" x14ac:dyDescent="0.2">
      <c r="A6" s="126" t="str" cm="1">
        <f t="array" ref="A6">IFERROR(INDEX('School Tables'!$A$4:$G$325,'School Tables'!$J4,3),"")</f>
        <v>South Hampton Barnard School</v>
      </c>
      <c r="B6" s="300">
        <f>IFERROR(VLOOKUP(A6,'School Tables'!$C$3:$D$365,2,FALSE),"")</f>
        <v>20815</v>
      </c>
      <c r="C6" s="293" t="str">
        <f>IFERROR(INDEX('School Tables'!$B$3:$B$365,MATCH('School Level Expenditures'!B6,'School Tables'!$D$3:$D$365,0)),"")</f>
        <v>South Hampton</v>
      </c>
      <c r="D6" s="290">
        <f>G4-D5-E6</f>
        <v>2289353.1399999992</v>
      </c>
      <c r="E6" s="290">
        <v>35530.32</v>
      </c>
      <c r="F6" s="303">
        <f t="shared" ref="F6:F20" si="0">D6+E6</f>
        <v>2324883.459999999</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2380908.9299999992</v>
      </c>
      <c r="E21" s="338">
        <f>SUM(E5:E20)</f>
        <v>35530.32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473777.6</v>
      </c>
      <c r="G36" s="299">
        <f>'DOE25'!L248+'DOE25'!L329</f>
        <v>473777.6</v>
      </c>
      <c r="H36" s="340">
        <f>F36-G36</f>
        <v>0</v>
      </c>
      <c r="I36" s="383" t="str">
        <f>IF(H36=0,"","ISSUES!! Please review page 9 and 13 totals in comparison with total on this page")</f>
        <v/>
      </c>
      <c r="N36"/>
    </row>
    <row r="37" spans="1:14" x14ac:dyDescent="0.2">
      <c r="A37" s="126" t="s">
        <v>1548</v>
      </c>
      <c r="B37" s="300">
        <v>99999</v>
      </c>
      <c r="C37" s="293" t="s">
        <v>1548</v>
      </c>
      <c r="D37" s="290">
        <v>473777.6</v>
      </c>
      <c r="E37" s="290"/>
      <c r="F37" s="303">
        <f t="shared" ref="F37:F42" si="2">D37+E37</f>
        <v>473777.6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473777.6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165288.44</v>
      </c>
      <c r="D8" s="95">
        <f>'DOE25'!G9</f>
        <v>0</v>
      </c>
      <c r="E8" s="95">
        <f>'DOE25'!H9</f>
        <v>0</v>
      </c>
      <c r="F8" s="95">
        <f>'DOE25'!I9</f>
        <v>0</v>
      </c>
      <c r="G8" s="95">
        <f>'DOE25'!J9</f>
        <v>0</v>
      </c>
      <c r="H8" s="124">
        <f>SUM(C8:G8)</f>
        <v>165288.44</v>
      </c>
      <c r="I8" s="124"/>
    </row>
    <row r="9" spans="1:9" x14ac:dyDescent="0.2">
      <c r="A9" s="1" t="s">
        <v>140</v>
      </c>
      <c r="B9" s="6">
        <v>110</v>
      </c>
      <c r="C9" s="95">
        <f>'DOE25'!F10</f>
        <v>0</v>
      </c>
      <c r="D9" s="95">
        <f>'DOE25'!G10</f>
        <v>0</v>
      </c>
      <c r="E9" s="95">
        <f>'DOE25'!H10</f>
        <v>0</v>
      </c>
      <c r="F9" s="95">
        <f>'DOE25'!I10</f>
        <v>0</v>
      </c>
      <c r="G9" s="95">
        <f>'DOE25'!J10</f>
        <v>217391.74</v>
      </c>
      <c r="H9" s="124">
        <f t="shared" ref="H9:H18" si="0">SUM(C9:G9)</f>
        <v>217391.74</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2200.29</v>
      </c>
      <c r="D11" s="95">
        <f>'DOE25'!G12</f>
        <v>3786.91</v>
      </c>
      <c r="E11" s="95">
        <f>'DOE25'!H12</f>
        <v>0</v>
      </c>
      <c r="F11" s="95">
        <f>'DOE25'!I12</f>
        <v>0</v>
      </c>
      <c r="G11" s="95">
        <f>'DOE25'!J12</f>
        <v>0</v>
      </c>
      <c r="H11" s="124">
        <f t="shared" si="0"/>
        <v>5987.2</v>
      </c>
      <c r="I11" s="124"/>
    </row>
    <row r="12" spans="1:9" x14ac:dyDescent="0.2">
      <c r="A12" s="1" t="s">
        <v>143</v>
      </c>
      <c r="B12" s="6">
        <v>140</v>
      </c>
      <c r="C12" s="95">
        <f>'DOE25'!F13</f>
        <v>2123.71</v>
      </c>
      <c r="D12" s="95">
        <f>'DOE25'!G13</f>
        <v>0</v>
      </c>
      <c r="E12" s="95">
        <f>'DOE25'!H13</f>
        <v>5986.96</v>
      </c>
      <c r="F12" s="95">
        <f>'DOE25'!I13</f>
        <v>0</v>
      </c>
      <c r="G12" s="95">
        <f>'DOE25'!J13</f>
        <v>0</v>
      </c>
      <c r="H12" s="124">
        <f t="shared" si="0"/>
        <v>8110.67</v>
      </c>
      <c r="I12" s="124"/>
    </row>
    <row r="13" spans="1:9" x14ac:dyDescent="0.2">
      <c r="A13" s="1" t="s">
        <v>144</v>
      </c>
      <c r="B13" s="6">
        <v>150</v>
      </c>
      <c r="C13" s="95">
        <f>'DOE25'!F14</f>
        <v>2583.7800000000002</v>
      </c>
      <c r="D13" s="95">
        <f>'DOE25'!G14</f>
        <v>0</v>
      </c>
      <c r="E13" s="95">
        <f>'DOE25'!H14</f>
        <v>0</v>
      </c>
      <c r="F13" s="95">
        <f>'DOE25'!I14</f>
        <v>0</v>
      </c>
      <c r="G13" s="95">
        <f>'DOE25'!J14</f>
        <v>0</v>
      </c>
      <c r="H13" s="124">
        <f t="shared" si="0"/>
        <v>2583.7800000000002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172196.22</v>
      </c>
      <c r="D18" s="41">
        <f>SUM(D8:D17)</f>
        <v>3786.91</v>
      </c>
      <c r="E18" s="41">
        <f>SUM(E8:E17)</f>
        <v>5986.96</v>
      </c>
      <c r="F18" s="41">
        <f>SUM(F8:F17)</f>
        <v>0</v>
      </c>
      <c r="G18" s="41">
        <f>SUM(G8:G17)</f>
        <v>217391.74</v>
      </c>
      <c r="H18" s="41">
        <f t="shared" si="0"/>
        <v>399361.82999999996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5986.96</v>
      </c>
      <c r="F21" s="95">
        <f>'DOE25'!I22</f>
        <v>0</v>
      </c>
      <c r="G21" s="95">
        <f>'DOE25'!J22</f>
        <v>0</v>
      </c>
      <c r="H21" s="124">
        <f t="shared" ref="H21:H31" si="1">SUM(C21:G21)</f>
        <v>5986.96</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108659.02</v>
      </c>
      <c r="D23" s="95">
        <f>'DOE25'!G24</f>
        <v>0</v>
      </c>
      <c r="E23" s="95">
        <f>'DOE25'!H24</f>
        <v>0</v>
      </c>
      <c r="F23" s="95">
        <f>'DOE25'!I24</f>
        <v>0</v>
      </c>
      <c r="G23" s="95">
        <f>'DOE25'!J24</f>
        <v>0</v>
      </c>
      <c r="H23" s="124">
        <f t="shared" si="1"/>
        <v>108659.02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3228.17</v>
      </c>
      <c r="D27" s="95">
        <f>'DOE25'!G28</f>
        <v>0</v>
      </c>
      <c r="E27" s="95">
        <f>'DOE25'!H28</f>
        <v>0</v>
      </c>
      <c r="F27" s="95">
        <f>'DOE25'!I28</f>
        <v>0</v>
      </c>
      <c r="G27" s="24" t="s">
        <v>288</v>
      </c>
      <c r="H27" s="124">
        <f t="shared" si="1"/>
        <v>3228.17</v>
      </c>
      <c r="I27" s="124"/>
    </row>
    <row r="28" spans="1:9" x14ac:dyDescent="0.2">
      <c r="A28" s="1" t="s">
        <v>157</v>
      </c>
      <c r="B28" s="6">
        <v>470</v>
      </c>
      <c r="C28" s="95">
        <f>'DOE25'!F29</f>
        <v>525.1</v>
      </c>
      <c r="D28" s="95">
        <f>'DOE25'!G29</f>
        <v>0</v>
      </c>
      <c r="E28" s="95">
        <f>'DOE25'!H29</f>
        <v>0</v>
      </c>
      <c r="F28" s="95">
        <f>'DOE25'!I29</f>
        <v>0</v>
      </c>
      <c r="G28" s="24" t="s">
        <v>288</v>
      </c>
      <c r="H28" s="124">
        <f t="shared" si="1"/>
        <v>525.1</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112412.29000000001</v>
      </c>
      <c r="D31" s="41">
        <f>SUM(D21:D30)</f>
        <v>0</v>
      </c>
      <c r="E31" s="41">
        <f>SUM(E21:E30)</f>
        <v>5986.96</v>
      </c>
      <c r="F31" s="41">
        <f>SUM(F21:F30)</f>
        <v>0</v>
      </c>
      <c r="G31" s="41">
        <f>SUM(G21:G30)</f>
        <v>0</v>
      </c>
      <c r="H31" s="41">
        <f t="shared" si="1"/>
        <v>118399.25000000001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3786.91</v>
      </c>
      <c r="E39" s="24" t="s">
        <v>288</v>
      </c>
      <c r="F39" s="24" t="s">
        <v>288</v>
      </c>
      <c r="G39" s="24" t="s">
        <v>288</v>
      </c>
      <c r="H39" s="124">
        <f t="shared" si="2"/>
        <v>3786.91</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35504</v>
      </c>
      <c r="D43" s="95">
        <f>'DOE25'!G44</f>
        <v>0</v>
      </c>
      <c r="E43" s="95">
        <f>'DOE25'!H44</f>
        <v>0</v>
      </c>
      <c r="F43" s="95">
        <f>'DOE25'!I44</f>
        <v>0</v>
      </c>
      <c r="G43" s="24" t="s">
        <v>288</v>
      </c>
      <c r="H43" s="124">
        <f t="shared" si="2"/>
        <v>35504</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14415.56</v>
      </c>
      <c r="D47" s="95">
        <f>'DOE25'!G48</f>
        <v>0</v>
      </c>
      <c r="E47" s="95">
        <f>'DOE25'!H48</f>
        <v>0</v>
      </c>
      <c r="F47" s="95">
        <f>'DOE25'!I48</f>
        <v>0</v>
      </c>
      <c r="G47" s="95">
        <f>'DOE25'!J48</f>
        <v>217391.74</v>
      </c>
      <c r="H47" s="124">
        <f t="shared" si="2"/>
        <v>231807.3</v>
      </c>
      <c r="I47" s="124"/>
    </row>
    <row r="48" spans="1:9" x14ac:dyDescent="0.2">
      <c r="A48" s="1" t="s">
        <v>882</v>
      </c>
      <c r="B48" s="6">
        <v>753</v>
      </c>
      <c r="C48" s="95">
        <f>'DOE25'!F49</f>
        <v>9864.3700000000008</v>
      </c>
      <c r="D48" s="95">
        <f>'DOE25'!G49</f>
        <v>0</v>
      </c>
      <c r="E48" s="95">
        <f>'DOE25'!H49</f>
        <v>0</v>
      </c>
      <c r="F48" s="95">
        <f>'DOE25'!I49</f>
        <v>0</v>
      </c>
      <c r="G48" s="95">
        <f>'DOE25'!J49</f>
        <v>0</v>
      </c>
      <c r="H48" s="124">
        <f t="shared" si="2"/>
        <v>9864.3700000000008</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59783.93</v>
      </c>
      <c r="D50" s="41">
        <f>SUM(D34:D49)</f>
        <v>3786.91</v>
      </c>
      <c r="E50" s="41">
        <f>SUM(E34:E49)</f>
        <v>0</v>
      </c>
      <c r="F50" s="41">
        <f>SUM(F34:F49)</f>
        <v>0</v>
      </c>
      <c r="G50" s="41">
        <f>SUM(G34:G49)</f>
        <v>217391.74</v>
      </c>
      <c r="H50" s="41">
        <f t="shared" si="2"/>
        <v>280962.57999999996</v>
      </c>
      <c r="I50" s="124"/>
    </row>
    <row r="51" spans="1:9" ht="12" thickTop="1" x14ac:dyDescent="0.2">
      <c r="A51" s="38" t="s">
        <v>885</v>
      </c>
      <c r="B51" s="2"/>
      <c r="C51" s="41">
        <f>C50+C31</f>
        <v>172196.22</v>
      </c>
      <c r="D51" s="41">
        <f>D50+D31</f>
        <v>3786.91</v>
      </c>
      <c r="E51" s="41">
        <f>E50+E31</f>
        <v>5986.96</v>
      </c>
      <c r="F51" s="41">
        <f>F50+F31</f>
        <v>0</v>
      </c>
      <c r="G51" s="41">
        <f>G50+G31</f>
        <v>217391.74</v>
      </c>
      <c r="H51" s="41">
        <f t="shared" si="2"/>
        <v>399361.82999999996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2216127</v>
      </c>
      <c r="D56" s="95">
        <f>'DOE25'!G60</f>
        <v>0</v>
      </c>
      <c r="E56" s="95">
        <f>'DOE25'!H60</f>
        <v>0</v>
      </c>
      <c r="F56" s="95">
        <f>'DOE25'!I60</f>
        <v>0</v>
      </c>
      <c r="G56" s="95">
        <f>'DOE25'!J60</f>
        <v>0</v>
      </c>
      <c r="H56" s="124">
        <f t="shared" ref="H56:H63" si="3">SUM(C56:G56)</f>
        <v>2216127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480.19</v>
      </c>
      <c r="D59" s="95">
        <f>'DOE25'!G96</f>
        <v>0</v>
      </c>
      <c r="E59" s="95">
        <f>'DOE25'!H96</f>
        <v>0</v>
      </c>
      <c r="F59" s="95">
        <f>'DOE25'!I96</f>
        <v>0</v>
      </c>
      <c r="G59" s="95">
        <f>'DOE25'!J96</f>
        <v>19220.91</v>
      </c>
      <c r="H59" s="124">
        <f t="shared" si="3"/>
        <v>19701.099999999999</v>
      </c>
      <c r="I59"/>
    </row>
    <row r="60" spans="1:9" x14ac:dyDescent="0.2">
      <c r="A60" s="1" t="s">
        <v>170</v>
      </c>
      <c r="B60" s="118" t="s">
        <v>171</v>
      </c>
      <c r="C60" s="24" t="s">
        <v>288</v>
      </c>
      <c r="D60" s="95">
        <f>'DOE25'!G97</f>
        <v>1323.75</v>
      </c>
      <c r="E60" s="24" t="s">
        <v>288</v>
      </c>
      <c r="F60" s="24" t="s">
        <v>288</v>
      </c>
      <c r="G60" s="24" t="s">
        <v>288</v>
      </c>
      <c r="H60" s="124">
        <f t="shared" si="3"/>
        <v>1323.75</v>
      </c>
      <c r="I60"/>
    </row>
    <row r="61" spans="1:9" ht="12" thickBot="1" x14ac:dyDescent="0.25">
      <c r="A61" s="1" t="s">
        <v>172</v>
      </c>
      <c r="B61" s="118" t="s">
        <v>173</v>
      </c>
      <c r="C61" s="95">
        <f>SUM('DOE25'!F98:F110)</f>
        <v>40564.160000000003</v>
      </c>
      <c r="D61" s="95">
        <f>SUM('DOE25'!G98:G110)</f>
        <v>0</v>
      </c>
      <c r="E61" s="95">
        <f>SUM('DOE25'!H98:H110)</f>
        <v>0</v>
      </c>
      <c r="F61" s="95">
        <f>SUM('DOE25'!I98:I110)</f>
        <v>0</v>
      </c>
      <c r="G61" s="95">
        <f>SUM('DOE25'!J98:J110)</f>
        <v>0</v>
      </c>
      <c r="H61" s="124">
        <f t="shared" si="3"/>
        <v>40564.160000000003</v>
      </c>
      <c r="I61"/>
    </row>
    <row r="62" spans="1:9" ht="12.75" thickTop="1" thickBot="1" x14ac:dyDescent="0.25">
      <c r="A62" s="29" t="s">
        <v>174</v>
      </c>
      <c r="B62" s="6"/>
      <c r="C62" s="130">
        <f>SUM(C57:C61)</f>
        <v>41044.350000000006</v>
      </c>
      <c r="D62" s="130">
        <f>SUM(D57:D61)</f>
        <v>1323.75</v>
      </c>
      <c r="E62" s="130">
        <f>SUM(E57:E61)</f>
        <v>0</v>
      </c>
      <c r="F62" s="130">
        <f>SUM(F57:F61)</f>
        <v>0</v>
      </c>
      <c r="G62" s="130">
        <f>SUM(G57:G61)</f>
        <v>19220.91</v>
      </c>
      <c r="H62" s="124">
        <f t="shared" si="3"/>
        <v>61589.010000000009</v>
      </c>
      <c r="I62"/>
    </row>
    <row r="63" spans="1:9" ht="12" thickTop="1" x14ac:dyDescent="0.2">
      <c r="A63" s="29" t="s">
        <v>175</v>
      </c>
      <c r="B63" s="6"/>
      <c r="C63" s="22">
        <f>C56+C62</f>
        <v>2257171.35</v>
      </c>
      <c r="D63" s="22">
        <f>D56+D62</f>
        <v>1323.75</v>
      </c>
      <c r="E63" s="22">
        <f>E56+E62</f>
        <v>0</v>
      </c>
      <c r="F63" s="22">
        <f>F56+F62</f>
        <v>0</v>
      </c>
      <c r="G63" s="22">
        <f>G56+G62</f>
        <v>19220.91</v>
      </c>
      <c r="H63" s="124">
        <f t="shared" si="3"/>
        <v>2277716.0100000002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186177.1</v>
      </c>
      <c r="D66" s="24" t="s">
        <v>288</v>
      </c>
      <c r="E66" s="24" t="s">
        <v>288</v>
      </c>
      <c r="F66" s="24" t="s">
        <v>288</v>
      </c>
      <c r="G66" s="24" t="s">
        <v>288</v>
      </c>
      <c r="H66" s="124">
        <f t="shared" ref="H66:H81" si="4">SUM(C66:G66)</f>
        <v>186177.1</v>
      </c>
      <c r="I66"/>
    </row>
    <row r="67" spans="1:9" x14ac:dyDescent="0.2">
      <c r="A67" s="1" t="s">
        <v>770</v>
      </c>
      <c r="B67" s="6">
        <v>3112</v>
      </c>
      <c r="C67" s="95">
        <f>'DOE25'!F118</f>
        <v>308155</v>
      </c>
      <c r="D67" s="24"/>
      <c r="E67" s="24"/>
      <c r="F67" s="24"/>
      <c r="G67" s="24"/>
      <c r="H67" s="124">
        <f t="shared" si="4"/>
        <v>308155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494332.1</v>
      </c>
      <c r="D70" s="139">
        <f>D69</f>
        <v>0</v>
      </c>
      <c r="E70" s="139">
        <f>E69</f>
        <v>0</v>
      </c>
      <c r="F70" s="139">
        <f>F69</f>
        <v>0</v>
      </c>
      <c r="G70" s="139">
        <f>G69</f>
        <v>0</v>
      </c>
      <c r="H70" s="124">
        <f t="shared" si="4"/>
        <v>494332.1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22719.96</v>
      </c>
      <c r="D74" s="24"/>
      <c r="E74" s="24"/>
      <c r="F74" s="24"/>
      <c r="G74" s="24"/>
      <c r="H74" s="124">
        <f t="shared" si="4"/>
        <v>22719.96</v>
      </c>
      <c r="I74"/>
    </row>
    <row r="75" spans="1:9" x14ac:dyDescent="0.2">
      <c r="A75" s="1" t="s">
        <v>256</v>
      </c>
      <c r="B75" s="6">
        <v>3230</v>
      </c>
      <c r="C75" s="95">
        <f>'DOE25'!F126</f>
        <v>16973.78</v>
      </c>
      <c r="D75" s="24" t="s">
        <v>288</v>
      </c>
      <c r="E75" s="24" t="s">
        <v>288</v>
      </c>
      <c r="F75" s="24" t="s">
        <v>288</v>
      </c>
      <c r="G75" s="24" t="s">
        <v>288</v>
      </c>
      <c r="H75" s="124">
        <f t="shared" si="4"/>
        <v>16973.78</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39693.74</v>
      </c>
      <c r="D78" s="130">
        <f>SUM(D72:D77)</f>
        <v>0</v>
      </c>
      <c r="E78" s="130">
        <f>SUM(E72:E77)</f>
        <v>0</v>
      </c>
      <c r="F78" s="130">
        <f>SUM(F72:F77)</f>
        <v>0</v>
      </c>
      <c r="G78" s="130">
        <f>SUM(G72:G77)</f>
        <v>0</v>
      </c>
      <c r="H78" s="124">
        <f t="shared" si="4"/>
        <v>39693.74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534025.84</v>
      </c>
      <c r="D81" s="130">
        <f>SUM(D79:D80)+D78+D70</f>
        <v>0</v>
      </c>
      <c r="E81" s="130">
        <f>SUM(E79:E80)+E78+E70</f>
        <v>0</v>
      </c>
      <c r="F81" s="130">
        <f>SUM(F79:F80)+F78+F70</f>
        <v>0</v>
      </c>
      <c r="G81" s="130">
        <f>SUM(G79:G80)+G78+G70</f>
        <v>0</v>
      </c>
      <c r="H81" s="130">
        <f t="shared" si="4"/>
        <v>534025.84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7813.24</v>
      </c>
      <c r="D87" s="24" t="s">
        <v>288</v>
      </c>
      <c r="E87" s="95">
        <f>SUM('DOE25'!H149:H152)</f>
        <v>0</v>
      </c>
      <c r="F87" s="95">
        <f>SUM('DOE25'!I149:I152)</f>
        <v>0</v>
      </c>
      <c r="G87" s="24" t="s">
        <v>288</v>
      </c>
      <c r="H87" s="124">
        <f t="shared" si="5"/>
        <v>7813.24</v>
      </c>
    </row>
    <row r="88" spans="1:9" x14ac:dyDescent="0.2">
      <c r="A88" s="287" t="s">
        <v>747</v>
      </c>
      <c r="B88" s="325" t="s">
        <v>184</v>
      </c>
      <c r="C88" s="326">
        <f>SUM('DOE25'!F153:F162)</f>
        <v>14620.2</v>
      </c>
      <c r="D88" s="326">
        <f>SUM('DOE25'!G153:G162)</f>
        <v>3055.27</v>
      </c>
      <c r="E88" s="326">
        <f>SUM('DOE25'!H153:H162)</f>
        <v>35530.32</v>
      </c>
      <c r="F88" s="326">
        <f>SUM('DOE25'!I153:I162)</f>
        <v>0</v>
      </c>
      <c r="G88" s="24" t="s">
        <v>288</v>
      </c>
      <c r="H88" s="124">
        <f t="shared" si="5"/>
        <v>53205.79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22433.440000000002</v>
      </c>
      <c r="D91" s="131">
        <f>SUM(D85:D90)</f>
        <v>3055.27</v>
      </c>
      <c r="E91" s="131">
        <f>SUM(E85:E90)</f>
        <v>35530.32</v>
      </c>
      <c r="F91" s="131">
        <f>SUM(F85:F90)</f>
        <v>0</v>
      </c>
      <c r="G91" s="24" t="s">
        <v>288</v>
      </c>
      <c r="H91" s="124">
        <f t="shared" si="5"/>
        <v>61019.03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105832</v>
      </c>
      <c r="D100" s="95">
        <f>SUM('DOE25'!G187:G188)</f>
        <v>0</v>
      </c>
      <c r="E100" s="95">
        <f>SUM('DOE25'!H187:H188)</f>
        <v>0</v>
      </c>
      <c r="F100" s="95">
        <f>SUM('DOE25'!I187:I188)</f>
        <v>0</v>
      </c>
      <c r="G100" s="24" t="s">
        <v>288</v>
      </c>
      <c r="H100" s="124">
        <f t="shared" si="5"/>
        <v>105832</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105832</v>
      </c>
      <c r="D103" s="86">
        <f>SUM(D93:D102)</f>
        <v>0</v>
      </c>
      <c r="E103" s="86">
        <f>SUM(E93:E102)</f>
        <v>0</v>
      </c>
      <c r="F103" s="86">
        <f>SUM(F93:F102)</f>
        <v>0</v>
      </c>
      <c r="G103" s="86">
        <f>SUM(G93:G102)</f>
        <v>0</v>
      </c>
      <c r="H103" s="86">
        <f t="shared" si="5"/>
        <v>105832</v>
      </c>
    </row>
    <row r="104" spans="1:8" ht="12.75" thickTop="1" thickBot="1" x14ac:dyDescent="0.25">
      <c r="A104" s="33" t="s">
        <v>761</v>
      </c>
      <c r="C104" s="86">
        <f>C63+C81+C91+C103</f>
        <v>2919462.63</v>
      </c>
      <c r="D104" s="86">
        <f>D63+D81+D91+D103</f>
        <v>4379.0200000000004</v>
      </c>
      <c r="E104" s="86">
        <f>E63+E81+E91+E103</f>
        <v>35530.32</v>
      </c>
      <c r="F104" s="86">
        <f>F63+F81+F91+F103</f>
        <v>0</v>
      </c>
      <c r="G104" s="86">
        <f>G63+G81+G103</f>
        <v>19220.91</v>
      </c>
      <c r="H104" s="86">
        <f t="shared" si="5"/>
        <v>2978592.88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1388282.4699999997</v>
      </c>
      <c r="D109" s="24" t="s">
        <v>288</v>
      </c>
      <c r="E109" s="95">
        <f>('DOE25'!L277)+('DOE25'!L296)+('DOE25'!L315)</f>
        <v>12612.71</v>
      </c>
      <c r="F109" s="24" t="s">
        <v>288</v>
      </c>
      <c r="G109" s="24" t="s">
        <v>288</v>
      </c>
      <c r="H109" s="124">
        <f t="shared" ref="H109:H115" si="6">SUM(C109:G109)</f>
        <v>1400895.1799999997</v>
      </c>
    </row>
    <row r="110" spans="1:8" x14ac:dyDescent="0.2">
      <c r="A110" t="s">
        <v>198</v>
      </c>
      <c r="B110" s="32" t="s">
        <v>199</v>
      </c>
      <c r="C110" s="95">
        <f>('DOE25'!L199)+('DOE25'!L217)+('DOE25'!L235)</f>
        <v>635904</v>
      </c>
      <c r="D110" s="24" t="s">
        <v>288</v>
      </c>
      <c r="E110" s="95">
        <f>('DOE25'!L278)+('DOE25'!L297)+('DOE25'!L316)</f>
        <v>14643.01</v>
      </c>
      <c r="F110" s="24" t="s">
        <v>288</v>
      </c>
      <c r="G110" s="24" t="s">
        <v>288</v>
      </c>
      <c r="H110" s="124">
        <f t="shared" si="6"/>
        <v>650547.01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13709.939999999999</v>
      </c>
      <c r="D112" s="24" t="s">
        <v>288</v>
      </c>
      <c r="E112" s="95">
        <f>+('DOE25'!L280)+('DOE25'!L299)+('DOE25'!L318)</f>
        <v>0</v>
      </c>
      <c r="F112" s="24" t="s">
        <v>288</v>
      </c>
      <c r="G112" s="24" t="s">
        <v>288</v>
      </c>
      <c r="H112" s="124">
        <f t="shared" si="6"/>
        <v>13709.939999999999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2037896.4099999997</v>
      </c>
      <c r="D115" s="86">
        <f>SUM(D109:D114)</f>
        <v>0</v>
      </c>
      <c r="E115" s="86">
        <f>SUM(E109:E114)</f>
        <v>27255.72</v>
      </c>
      <c r="F115" s="86">
        <f>SUM(F109:F114)</f>
        <v>0</v>
      </c>
      <c r="G115" s="86">
        <f>SUM(G109:G114)</f>
        <v>0</v>
      </c>
      <c r="H115" s="86">
        <f t="shared" si="6"/>
        <v>2065152.1299999997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214796.65000000002</v>
      </c>
      <c r="D118" s="24" t="s">
        <v>288</v>
      </c>
      <c r="E118" s="95">
        <f>+('DOE25'!L282)+('DOE25'!L301)+('DOE25'!L320)</f>
        <v>0</v>
      </c>
      <c r="F118" s="24" t="s">
        <v>288</v>
      </c>
      <c r="G118" s="24" t="s">
        <v>288</v>
      </c>
      <c r="H118" s="124">
        <f t="shared" ref="H118:H145" si="7">SUM(C118:G118)</f>
        <v>214796.65000000002</v>
      </c>
    </row>
    <row r="119" spans="1:8" x14ac:dyDescent="0.2">
      <c r="A119" t="s">
        <v>208</v>
      </c>
      <c r="B119" s="32" t="s">
        <v>209</v>
      </c>
      <c r="C119" s="95">
        <f>('DOE25'!L204)+('DOE25'!L222)+('DOE25'!L240)</f>
        <v>53747.39</v>
      </c>
      <c r="D119" s="24" t="s">
        <v>288</v>
      </c>
      <c r="E119" s="95">
        <f>+('DOE25'!L283)+('DOE25'!L302)+('DOE25'!L321)</f>
        <v>7687.01</v>
      </c>
      <c r="F119" s="24" t="s">
        <v>288</v>
      </c>
      <c r="G119" s="24" t="s">
        <v>288</v>
      </c>
      <c r="H119" s="124">
        <f t="shared" si="7"/>
        <v>61434.400000000001</v>
      </c>
    </row>
    <row r="120" spans="1:8" x14ac:dyDescent="0.2">
      <c r="A120" t="s">
        <v>210</v>
      </c>
      <c r="B120" s="32" t="s">
        <v>211</v>
      </c>
      <c r="C120" s="95">
        <f>('DOE25'!L205)+('DOE25'!L223)+('DOE25'!L241)</f>
        <v>87648.53</v>
      </c>
      <c r="D120" s="24" t="s">
        <v>288</v>
      </c>
      <c r="E120" s="95">
        <f>+('DOE25'!L284)+('DOE25'!L303)+('DOE25'!L322)</f>
        <v>587.59</v>
      </c>
      <c r="F120" s="24" t="s">
        <v>288</v>
      </c>
      <c r="G120" s="24" t="s">
        <v>288</v>
      </c>
      <c r="H120" s="124">
        <f t="shared" si="7"/>
        <v>88236.12</v>
      </c>
    </row>
    <row r="121" spans="1:8" x14ac:dyDescent="0.2">
      <c r="A121" t="s">
        <v>212</v>
      </c>
      <c r="B121" s="32" t="s">
        <v>213</v>
      </c>
      <c r="C121" s="95">
        <f>('DOE25'!L206)+('DOE25'!L224)+('DOE25'!L242)</f>
        <v>200431.28</v>
      </c>
      <c r="D121" s="24" t="s">
        <v>288</v>
      </c>
      <c r="E121" s="95">
        <f>+('DOE25'!L285)+('DOE25'!L304)+('DOE25'!L323)</f>
        <v>0</v>
      </c>
      <c r="F121" s="24" t="s">
        <v>288</v>
      </c>
      <c r="G121" s="24" t="s">
        <v>288</v>
      </c>
      <c r="H121" s="124">
        <f t="shared" si="7"/>
        <v>200431.28</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192545.00000000003</v>
      </c>
      <c r="D123" s="24" t="s">
        <v>288</v>
      </c>
      <c r="E123" s="95">
        <f>+('DOE25'!L287)+('DOE25'!L306)+('DOE25'!L325)</f>
        <v>0</v>
      </c>
      <c r="F123" s="24" t="s">
        <v>288</v>
      </c>
      <c r="G123" s="24" t="s">
        <v>288</v>
      </c>
      <c r="H123" s="124">
        <f t="shared" si="7"/>
        <v>192545.00000000003</v>
      </c>
    </row>
    <row r="124" spans="1:8" x14ac:dyDescent="0.2">
      <c r="A124" t="s">
        <v>218</v>
      </c>
      <c r="B124" s="32" t="s">
        <v>219</v>
      </c>
      <c r="C124" s="95">
        <f>('DOE25'!L209)+('DOE25'!L227)+('DOE25'!L245+'DOE25'!L255)</f>
        <v>65387.01</v>
      </c>
      <c r="D124" s="24" t="s">
        <v>288</v>
      </c>
      <c r="E124" s="95">
        <f>+('DOE25'!L288)+('DOE25'!L307)+('DOE25'!L326)</f>
        <v>0</v>
      </c>
      <c r="F124" s="24" t="s">
        <v>288</v>
      </c>
      <c r="G124" s="24" t="s">
        <v>288</v>
      </c>
      <c r="H124" s="124">
        <f t="shared" si="7"/>
        <v>65387.01</v>
      </c>
    </row>
    <row r="125" spans="1:8" x14ac:dyDescent="0.2">
      <c r="A125" t="s">
        <v>220</v>
      </c>
      <c r="B125" s="32" t="s">
        <v>221</v>
      </c>
      <c r="C125" s="95">
        <f>('DOE25'!L210)+('DOE25'!L228)+('DOE25'!L246)</f>
        <v>2234.2600000000002</v>
      </c>
      <c r="D125" s="24" t="s">
        <v>288</v>
      </c>
      <c r="E125" s="95">
        <f>+('DOE25'!L289)+('DOE25'!L308)+('DOE25'!L327)</f>
        <v>0</v>
      </c>
      <c r="F125" s="24" t="s">
        <v>288</v>
      </c>
      <c r="G125" s="24" t="s">
        <v>288</v>
      </c>
      <c r="H125" s="124">
        <f t="shared" si="7"/>
        <v>2234.2600000000002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1939.36</v>
      </c>
      <c r="E127" s="24" t="s">
        <v>288</v>
      </c>
      <c r="F127" s="24" t="s">
        <v>288</v>
      </c>
      <c r="G127" s="24" t="s">
        <v>288</v>
      </c>
      <c r="H127" s="124">
        <f t="shared" si="7"/>
        <v>1939.36</v>
      </c>
    </row>
    <row r="128" spans="1:8" ht="12.75" thickTop="1" thickBot="1" x14ac:dyDescent="0.25">
      <c r="A128" s="33" t="s">
        <v>226</v>
      </c>
      <c r="C128" s="86">
        <f>SUM(C118:C127)</f>
        <v>816790.12000000011</v>
      </c>
      <c r="D128" s="86">
        <f>SUM(D118:D127)</f>
        <v>1939.36</v>
      </c>
      <c r="E128" s="86">
        <f>SUM(E118:E127)</f>
        <v>8274.6</v>
      </c>
      <c r="F128" s="86">
        <f>SUM(F118:F127)</f>
        <v>0</v>
      </c>
      <c r="G128" s="86">
        <f>SUM(G118:G127)</f>
        <v>0</v>
      </c>
      <c r="H128" s="86">
        <f t="shared" si="7"/>
        <v>827004.08000000007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99406.5</v>
      </c>
      <c r="D130" s="24" t="s">
        <v>288</v>
      </c>
      <c r="E130" s="129">
        <f>'DOE25'!L337</f>
        <v>0</v>
      </c>
      <c r="F130" s="129">
        <f>SUM('DOE25'!L375:'DOE25'!L381)</f>
        <v>0</v>
      </c>
      <c r="G130" s="24" t="s">
        <v>288</v>
      </c>
      <c r="H130" s="124">
        <f t="shared" si="7"/>
        <v>99406.5</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19220.91</v>
      </c>
      <c r="D139" s="24" t="s">
        <v>288</v>
      </c>
      <c r="E139" s="24" t="s">
        <v>288</v>
      </c>
      <c r="F139" s="24" t="s">
        <v>288</v>
      </c>
      <c r="G139" s="24" t="s">
        <v>288</v>
      </c>
      <c r="H139" s="124">
        <f t="shared" si="7"/>
        <v>19220.91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-19220.91</v>
      </c>
      <c r="D141" s="24" t="s">
        <v>288</v>
      </c>
      <c r="E141" s="24" t="s">
        <v>288</v>
      </c>
      <c r="F141" s="24" t="s">
        <v>288</v>
      </c>
      <c r="G141" s="24" t="s">
        <v>288</v>
      </c>
      <c r="H141" s="124">
        <f t="shared" si="7"/>
        <v>-19220.91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99406.5</v>
      </c>
      <c r="D144" s="141">
        <f>SUM(D130:D143)</f>
        <v>0</v>
      </c>
      <c r="E144" s="141">
        <f>SUM(E130:E143)</f>
        <v>0</v>
      </c>
      <c r="F144" s="141">
        <f>SUM(F130:F143)</f>
        <v>0</v>
      </c>
      <c r="G144" s="141">
        <f>SUM(G130:G143)</f>
        <v>0</v>
      </c>
      <c r="H144" s="141">
        <f t="shared" si="7"/>
        <v>99406.5</v>
      </c>
    </row>
    <row r="145" spans="1:9" ht="12.75" thickTop="1" thickBot="1" x14ac:dyDescent="0.25">
      <c r="A145" s="33" t="s">
        <v>244</v>
      </c>
      <c r="C145" s="86">
        <f>(C115+C128+C144)</f>
        <v>2954093.03</v>
      </c>
      <c r="D145" s="86">
        <f>(D115+D128+D144)</f>
        <v>1939.36</v>
      </c>
      <c r="E145" s="86">
        <f>(E115+E128+E144)</f>
        <v>35530.32</v>
      </c>
      <c r="F145" s="86">
        <f>(F115+F128+F144)</f>
        <v>0</v>
      </c>
      <c r="G145" s="86">
        <f>(G115+G128+G144)</f>
        <v>0</v>
      </c>
      <c r="H145" s="86">
        <f t="shared" si="7"/>
        <v>2991562.7099999995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South Hampton</v>
      </c>
    </row>
    <row r="3" spans="1:4" x14ac:dyDescent="0.2">
      <c r="B3" s="187" t="s">
        <v>1799</v>
      </c>
    </row>
    <row r="4" spans="1:4" x14ac:dyDescent="0.2">
      <c r="B4" t="s">
        <v>61</v>
      </c>
      <c r="C4" s="178">
        <f>IF('DOE25'!F666+'DOE25'!F671=0,0,ROUND('DOE25'!F673,0))</f>
        <v>26623</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26623</v>
      </c>
    </row>
    <row r="9" spans="1:4" x14ac:dyDescent="0.2">
      <c r="A9" s="186" t="s">
        <v>94</v>
      </c>
      <c r="B9" s="187" t="s">
        <v>1800</v>
      </c>
      <c r="C9" s="180" t="s">
        <v>720</v>
      </c>
      <c r="D9" s="180" t="s">
        <v>721</v>
      </c>
    </row>
    <row r="10" spans="1:4" x14ac:dyDescent="0.2">
      <c r="A10">
        <v>1100</v>
      </c>
      <c r="B10" t="s">
        <v>702</v>
      </c>
      <c r="C10" s="178">
        <f>ROUND('DOE25'!L198+'DOE25'!L216+'DOE25'!L234+'DOE25'!L277+'DOE25'!L296+'DOE25'!L315,0)</f>
        <v>1400895</v>
      </c>
      <c r="D10" s="181">
        <f>ROUND((C10/$C$28)*100,1)</f>
        <v>48.5</v>
      </c>
    </row>
    <row r="11" spans="1:4" x14ac:dyDescent="0.2">
      <c r="A11">
        <v>1200</v>
      </c>
      <c r="B11" t="s">
        <v>703</v>
      </c>
      <c r="C11" s="178">
        <f>ROUND('DOE25'!L199+'DOE25'!L217+'DOE25'!L235+'DOE25'!L278+'DOE25'!L297+'DOE25'!L316,0)</f>
        <v>650547</v>
      </c>
      <c r="D11" s="181">
        <f>ROUND((C11/$C$28)*100,1)</f>
        <v>22.5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13710</v>
      </c>
      <c r="D13" s="181">
        <f>ROUND((C13/$C$28)*100,1)</f>
        <v>0.5</v>
      </c>
    </row>
    <row r="14" spans="1:4" x14ac:dyDescent="0.2">
      <c r="D14" s="181"/>
    </row>
    <row r="15" spans="1:4" x14ac:dyDescent="0.2">
      <c r="A15">
        <v>2100</v>
      </c>
      <c r="B15" t="s">
        <v>706</v>
      </c>
      <c r="C15" s="178">
        <f>ROUND('DOE25'!L203+'DOE25'!L221+'DOE25'!L239+'DOE25'!L282+'DOE25'!L301+'DOE25'!L320,0)</f>
        <v>214797</v>
      </c>
      <c r="D15" s="181">
        <f t="shared" ref="D15:D27" si="0">ROUND((C15/$C$28)*100,1)</f>
        <v>7.4</v>
      </c>
    </row>
    <row r="16" spans="1:4" x14ac:dyDescent="0.2">
      <c r="A16">
        <v>2200</v>
      </c>
      <c r="B16" t="s">
        <v>707</v>
      </c>
      <c r="C16" s="178">
        <f>ROUND('DOE25'!L204+'DOE25'!L222+'DOE25'!L240+'DOE25'!L283+'DOE25'!L302+'DOE25'!L321,0)</f>
        <v>61434</v>
      </c>
      <c r="D16" s="181">
        <f t="shared" si="0"/>
        <v>2.1</v>
      </c>
    </row>
    <row r="17" spans="1:4" x14ac:dyDescent="0.2">
      <c r="A17" s="182" t="s">
        <v>723</v>
      </c>
      <c r="B17" t="s">
        <v>738</v>
      </c>
      <c r="C17" s="178">
        <f>ROUND('DOE25'!L205+'DOE25'!L210+'DOE25'!L223+'DOE25'!L228+'DOE25'!L241+'DOE25'!L246+'DOE25'!L284+'DOE25'!L289+'DOE25'!L303+'DOE25'!L308+'DOE25'!L322+'DOE25'!L327,0)</f>
        <v>90470</v>
      </c>
      <c r="D17" s="181">
        <f t="shared" si="0"/>
        <v>3.1</v>
      </c>
    </row>
    <row r="18" spans="1:4" x14ac:dyDescent="0.2">
      <c r="A18">
        <v>2400</v>
      </c>
      <c r="B18" t="s">
        <v>711</v>
      </c>
      <c r="C18" s="178">
        <f>ROUND('DOE25'!L206+'DOE25'!L224+'DOE25'!L242+'DOE25'!L285+'DOE25'!L304+'DOE25'!L323,0)</f>
        <v>200431</v>
      </c>
      <c r="D18" s="181">
        <f t="shared" si="0"/>
        <v>6.9</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192545</v>
      </c>
      <c r="D20" s="181">
        <f t="shared" si="0"/>
        <v>6.7</v>
      </c>
    </row>
    <row r="21" spans="1:4" x14ac:dyDescent="0.2">
      <c r="A21">
        <v>2700</v>
      </c>
      <c r="B21" t="s">
        <v>710</v>
      </c>
      <c r="C21" s="178">
        <f>ROUND('DOE25'!L209+'DOE25'!L227+'DOE25'!L245+'DOE25'!L288+'DOE25'!L307+'DOE25'!L326,0)</f>
        <v>65387</v>
      </c>
      <c r="D21" s="181">
        <f t="shared" si="0"/>
        <v>2.2999999999999998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615.25</v>
      </c>
      <c r="D27" s="181">
        <f t="shared" si="0"/>
        <v>0</v>
      </c>
    </row>
    <row r="28" spans="1:4" x14ac:dyDescent="0.2">
      <c r="B28" s="186" t="s">
        <v>719</v>
      </c>
      <c r="C28" s="179">
        <f>SUM(C10:C27)</f>
        <v>2890831.25</v>
      </c>
      <c r="D28" s="183">
        <f>ROUND(SUM(D10:D27),0)</f>
        <v>100</v>
      </c>
    </row>
    <row r="29" spans="1:4" x14ac:dyDescent="0.2">
      <c r="A29">
        <v>4000</v>
      </c>
      <c r="B29" t="s">
        <v>724</v>
      </c>
      <c r="C29" s="178">
        <f>ROUND('DOE25'!L256+'DOE25'!L337+'DOE25'!L375+'DOE25'!L376+'DOE25'!L377+'DOE25'!L378+'DOE25'!L379+'DOE25'!L380+'DOE25'!L381,0)</f>
        <v>99407</v>
      </c>
    </row>
    <row r="30" spans="1:4" x14ac:dyDescent="0.2">
      <c r="B30" s="186" t="s">
        <v>725</v>
      </c>
      <c r="C30" s="179">
        <f>SUM(C28:C29)</f>
        <v>2990238.25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2216127</v>
      </c>
      <c r="D35" s="181">
        <f t="shared" ref="D35:D40" si="1">ROUND((C35/$C$41)*100,1)</f>
        <v>77.2</v>
      </c>
    </row>
    <row r="36" spans="1:4" x14ac:dyDescent="0.2">
      <c r="B36" s="184" t="s">
        <v>739</v>
      </c>
      <c r="C36" s="178">
        <f>SUM('DOE25'!F112:J112)-SUM('DOE25'!G97:G110)+('DOE25'!F175+'DOE25'!F176+'DOE25'!I175+'DOE25'!I176)-C35</f>
        <v>60265.260000000242</v>
      </c>
      <c r="D36" s="181">
        <f t="shared" si="1"/>
        <v>2.1</v>
      </c>
    </row>
    <row r="37" spans="1:4" x14ac:dyDescent="0.2">
      <c r="A37" s="182" t="s">
        <v>835</v>
      </c>
      <c r="B37" s="184" t="s">
        <v>728</v>
      </c>
      <c r="C37" s="178">
        <f>ROUND('DOE25'!F117+'DOE25'!F118,0)</f>
        <v>494332</v>
      </c>
      <c r="D37" s="181">
        <f t="shared" si="1"/>
        <v>17.2</v>
      </c>
    </row>
    <row r="38" spans="1:4" x14ac:dyDescent="0.2">
      <c r="A38" s="182" t="s">
        <v>734</v>
      </c>
      <c r="B38" s="184" t="s">
        <v>729</v>
      </c>
      <c r="C38" s="178">
        <f>ROUND(SUM('DOE25'!F140:J140)-SUM('DOE25'!F117:F119),0)</f>
        <v>39694</v>
      </c>
      <c r="D38" s="181">
        <f t="shared" si="1"/>
        <v>1.4</v>
      </c>
    </row>
    <row r="39" spans="1:4" x14ac:dyDescent="0.2">
      <c r="A39">
        <v>4000</v>
      </c>
      <c r="B39" s="184" t="s">
        <v>730</v>
      </c>
      <c r="C39" s="178">
        <f>ROUND('DOE25'!F170+'DOE25'!G170+'DOE25'!H170+'DOE25'!I170,0)</f>
        <v>61019</v>
      </c>
      <c r="D39" s="181">
        <f t="shared" si="1"/>
        <v>2.1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2871437.2600000002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South Hampton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272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f>IF('School Level Expenditures'!$B$2=A275,'School Tables'!H275,"")</f>
        <v>272</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2022-08-25T17:14:18Z</cp:lastPrinted>
  <dcterms:created xsi:type="dcterms:W3CDTF">1997-12-04T19:04:30Z</dcterms:created>
  <dcterms:modified xsi:type="dcterms:W3CDTF">2022-09-08T18:27:43Z</dcterms:modified>
</cp:coreProperties>
</file>