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https://nhgov-my.sharepoint.com/personal/brian_e_eaton_doe_nh_gov/Documents/Finance/Website layout/DOE-25 Form/DOE-25 FY21-23/2022/"/>
    </mc:Choice>
  </mc:AlternateContent>
  <xr:revisionPtr revIDLastSave="0" documentId="8_{B9604A7D-6D8D-4A35-BA84-EEAD1F61099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1" i="12" l="1"/>
  <c r="B12" i="12" l="1"/>
  <c r="H605" i="1"/>
  <c r="H592" i="1"/>
  <c r="H576" i="1"/>
  <c r="I527" i="1"/>
  <c r="H527" i="1"/>
  <c r="H282" i="1"/>
  <c r="H209" i="1"/>
  <c r="H234" i="1"/>
  <c r="H205" i="1"/>
  <c r="I204" i="1"/>
  <c r="G204" i="1"/>
  <c r="F204" i="1"/>
  <c r="G158" i="1"/>
  <c r="E13" i="17"/>
  <c r="E9" i="17"/>
  <c r="H161" i="1"/>
  <c r="H155" i="1"/>
  <c r="F30"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H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E111" i="2"/>
  <c r="C112" i="2"/>
  <c r="E112" i="2"/>
  <c r="D115" i="2"/>
  <c r="F115" i="2"/>
  <c r="G115" i="2"/>
  <c r="C119" i="2"/>
  <c r="E120" i="2"/>
  <c r="E124" i="2"/>
  <c r="C125" i="2"/>
  <c r="E125" i="2"/>
  <c r="F128" i="2"/>
  <c r="G128"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97" i="2" l="1"/>
  <c r="H96" i="2"/>
  <c r="H93" i="2"/>
  <c r="H87" i="2"/>
  <c r="H80" i="2"/>
  <c r="H26" i="2"/>
  <c r="H22" i="2"/>
  <c r="H113" i="2"/>
  <c r="H132" i="2"/>
  <c r="C110" i="2"/>
  <c r="H36" i="2"/>
  <c r="H38" i="2"/>
  <c r="H43" i="2"/>
  <c r="H44" i="2"/>
  <c r="H47" i="2"/>
  <c r="H48" i="2"/>
  <c r="I409" i="1"/>
  <c r="H135" i="2"/>
  <c r="H89" i="2"/>
  <c r="H59" i="2"/>
  <c r="H35" i="2"/>
  <c r="H34" i="2"/>
  <c r="H9" i="2"/>
  <c r="E121" i="2"/>
  <c r="H23" i="2"/>
  <c r="H11" i="2"/>
  <c r="C12" i="10"/>
  <c r="J652" i="1"/>
  <c r="H125" i="2"/>
  <c r="H112" i="2"/>
  <c r="H94" i="2"/>
  <c r="H69" i="2"/>
  <c r="H30" i="2"/>
  <c r="H29" i="2"/>
  <c r="H28" i="2"/>
  <c r="H27" i="2"/>
  <c r="H24" i="2"/>
  <c r="H17" i="2"/>
  <c r="H12" i="2"/>
  <c r="H8" i="2"/>
  <c r="H477" i="1"/>
  <c r="H625" i="1" s="1"/>
  <c r="C121" i="2"/>
  <c r="H121" i="2" s="1"/>
  <c r="H61" i="2"/>
  <c r="D78" i="2"/>
  <c r="H78" i="2" s="1"/>
  <c r="H77" i="2"/>
  <c r="H13" i="2"/>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E51" i="2" l="1"/>
  <c r="H114" i="2"/>
  <c r="H85" i="2"/>
  <c r="H110" i="2"/>
  <c r="E115" i="2"/>
  <c r="H21" i="2"/>
  <c r="H57" i="2"/>
  <c r="H103" i="2"/>
  <c r="H16" i="2"/>
  <c r="G144" i="2"/>
  <c r="G145" i="2" s="1"/>
  <c r="H134" i="2"/>
  <c r="G50" i="2"/>
  <c r="G51" i="2" s="1"/>
  <c r="H42" i="2"/>
  <c r="H18" i="2"/>
  <c r="D128" i="2"/>
  <c r="D145" i="2" s="1"/>
  <c r="H127" i="2"/>
  <c r="H123" i="2"/>
  <c r="E128" i="2"/>
  <c r="H118" i="2"/>
  <c r="H62" i="2"/>
  <c r="F194" i="1"/>
  <c r="H91" i="2"/>
  <c r="C81" i="2"/>
  <c r="H81" i="2" s="1"/>
  <c r="D51" i="2"/>
  <c r="H31" i="2"/>
  <c r="F144" i="2"/>
  <c r="H130" i="2"/>
  <c r="H661" i="1"/>
  <c r="H665" i="1" s="1"/>
  <c r="H668" i="1" s="1"/>
  <c r="H194" i="1"/>
  <c r="G630" i="1" s="1"/>
  <c r="J630" i="1" s="1"/>
  <c r="H649" i="1"/>
  <c r="J649" i="1" s="1"/>
  <c r="C141" i="2"/>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H50" i="2"/>
  <c r="C144" i="2"/>
  <c r="H141" i="2"/>
  <c r="H51" i="2"/>
  <c r="H673" i="1"/>
  <c r="C6" i="10" s="1"/>
  <c r="C104" i="2"/>
  <c r="H104" i="2" s="1"/>
  <c r="H63"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<sst xmlns="http://schemas.openxmlformats.org/spreadsheetml/2006/main" count="6533" uniqueCount="1805">
  <si>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</si>
  <si>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</si>
  <si>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</si>
  <si>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</si>
  <si>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</si>
  <si>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</si>
  <si>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</si>
  <si>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</si>
  <si>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</si>
  <si>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</si>
  <si>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</si>
  <si>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</si>
  <si>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</si>
  <si>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</si>
  <si>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</si>
  <si>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</si>
  <si>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</si>
  <si>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</si>
  <si>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</si>
  <si>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</si>
  <si>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</si>
  <si>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</si>
  <si>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</si>
  <si>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</si>
  <si>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</si>
  <si>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</si>
  <si>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</si>
  <si>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</si>
  <si>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</si>
  <si>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</si>
  <si>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</si>
  <si>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</si>
  <si>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</si>
  <si>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</si>
  <si>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</si>
  <si>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</si>
  <si>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</si>
  <si>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</si>
  <si>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</si>
  <si>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</si>
  <si>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</si>
  <si>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</si>
  <si>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</si>
  <si>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</si>
  <si>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</si>
  <si>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</si>
  <si>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</si>
  <si>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</si>
  <si>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</si>
  <si>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</si>
  <si>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</si>
  <si>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</si>
  <si>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</si>
  <si>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</si>
  <si>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</si>
  <si>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</si>
  <si>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</si>
  <si>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</si>
  <si>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</si>
  <si>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</si>
  <si>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</si>
  <si>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</si>
  <si>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</si>
  <si>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</si>
  <si>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</si>
  <si>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</si>
  <si>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</si>
  <si>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</si>
  <si>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</si>
  <si>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</si>
  <si>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</si>
  <si>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</si>
  <si>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</si>
  <si>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</si>
  <si>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</si>
  <si>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</si>
  <si>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</si>
  <si>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</si>
  <si>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</si>
  <si>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</si>
  <si>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</si>
  <si>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</si>
  <si>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</si>
  <si>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</si>
  <si>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</si>
  <si>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</si>
  <si>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</si>
  <si>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</si>
  <si>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</si>
  <si>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</si>
  <si>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</si>
  <si>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</si>
  <si>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</si>
  <si>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</si>
  <si>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</si>
  <si>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</si>
  <si>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</si>
  <si>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</si>
  <si>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</si>
  <si>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</si>
  <si>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</si>
  <si>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</si>
  <si>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</si>
  <si>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</si>
  <si>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</si>
  <si>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</si>
  <si>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</si>
  <si>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</si>
  <si>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</si>
  <si>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</si>
  <si>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</si>
  <si>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</si>
  <si>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</si>
  <si>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</si>
  <si>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</si>
  <si>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</si>
  <si>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</si>
  <si>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</si>
  <si>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</si>
  <si>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</si>
  <si>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</si>
  <si>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</si>
  <si>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</si>
  <si>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</si>
  <si>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</si>
  <si>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</si>
  <si>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</si>
  <si>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</si>
  <si>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</si>
  <si>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</si>
  <si>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</si>
  <si>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</si>
  <si>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</si>
  <si>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</si>
  <si>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</si>
  <si>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</si>
  <si>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</si>
  <si>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</si>
  <si>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</si>
  <si>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</si>
  <si>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</si>
  <si>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</si>
  <si>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</si>
  <si>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</si>
  <si>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</si>
  <si>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</si>
  <si>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</si>
  <si>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</si>
  <si>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</si>
  <si>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</si>
  <si>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</si>
  <si>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</si>
  <si>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</si>
  <si>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</si>
  <si>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</si>
  <si>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</si>
  <si>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</si>
  <si>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</si>
  <si>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</si>
  <si>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</si>
  <si>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</si>
  <si>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</si>
  <si>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</si>
  <si>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</si>
  <si>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</si>
  <si>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</si>
  <si>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</si>
  <si>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</si>
  <si>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</si>
  <si>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</si>
  <si>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</si>
  <si>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</si>
  <si>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</si>
  <si>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</si>
  <si>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</si>
  <si>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</si>
  <si>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</si>
  <si>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</si>
  <si>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</si>
  <si>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</si>
  <si>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</si>
  <si>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</si>
  <si>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</si>
  <si>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</si>
  <si>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</si>
  <si>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</si>
  <si>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</si>
  <si>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</si>
  <si>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</si>
  <si>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</si>
  <si>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</si>
  <si>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</si>
  <si>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</si>
  <si>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</si>
  <si>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</si>
  <si>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</si>
  <si>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</si>
  <si>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</si>
  <si>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</si>
  <si>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</si>
  <si>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</si>
  <si>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</si>
  <si>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</si>
  <si>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</si>
  <si>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</si>
  <si>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</si>
  <si>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</si>
  <si>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</si>
  <si>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</si>
  <si>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</si>
  <si>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</si>
  <si>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</si>
  <si>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</si>
  <si>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</si>
  <si>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</si>
  <si>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</si>
  <si>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</si>
  <si>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</si>
  <si>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</si>
  <si>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</si>
  <si>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</si>
  <si>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</si>
  <si>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</si>
  <si>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</si>
  <si>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</si>
  <si>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</si>
  <si>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</si>
  <si>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</si>
  <si>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</si>
  <si>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</si>
  <si>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</si>
  <si>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</si>
  <si>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</si>
  <si>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</si>
  <si>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</si>
  <si>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</si>
  <si>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</si>
  <si>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</si>
  <si>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</si>
  <si>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</si>
  <si>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</si>
  <si>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</si>
  <si>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</si>
  <si>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</si>
  <si>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</si>
  <si>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</si>
  <si>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</si>
  <si>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</si>
  <si>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</si>
  <si>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</si>
  <si>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</si>
  <si>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</si>
  <si>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</si>
  <si>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</si>
  <si>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</si>
  <si>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</si>
  <si>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</si>
  <si>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</si>
  <si>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</si>
  <si>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</si>
  <si>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</si>
  <si>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</si>
  <si>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</si>
  <si>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</si>
  <si>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</si>
  <si>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</si>
  <si>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</si>
  <si>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</si>
  <si>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</si>
  <si>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</si>
  <si>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</si>
  <si>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</si>
  <si>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</si>
  <si>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</si>
  <si>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</si>
  <si>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</si>
  <si>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</si>
  <si>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</si>
  <si>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</si>
  <si>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</si>
  <si>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</si>
  <si>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</si>
  <si>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</si>
  <si>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</si>
  <si>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</si>
  <si>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</si>
  <si>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</si>
  <si>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</si>
  <si>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</si>
  <si>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</si>
  <si>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</si>
  <si>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</si>
  <si>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</si>
  <si>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</si>
  <si>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</si>
  <si>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</si>
  <si>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</si>
  <si>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</si>
  <si>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</si>
  <si>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</si>
  <si>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</si>
  <si>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</si>
  <si>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</si>
  <si>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</si>
  <si>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</si>
  <si>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</si>
  <si>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</si>
  <si>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</si>
  <si>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</si>
  <si>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</si>
  <si>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</si>
  <si>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</si>
  <si>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</si>
  <si>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</si>
  <si>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</si>
  <si>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</si>
  <si>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</si>
  <si>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</si>
  <si>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</si>
  <si>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</si>
  <si>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</si>
  <si>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</si>
  <si>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</si>
  <si>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</si>
  <si>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</si>
  <si>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</si>
  <si>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</si>
  <si>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</si>
  <si>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</si>
  <si>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</si>
  <si>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</si>
  <si>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</si>
  <si>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</si>
  <si>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</si>
  <si>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</si>
  <si>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</si>
  <si>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</si>
  <si>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</si>
  <si>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</si>
  <si>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</si>
  <si>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</si>
  <si>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</si>
  <si>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</si>
  <si>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</si>
  <si>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</si>
  <si>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</si>
  <si>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</si>
  <si>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</si>
  <si>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</si>
  <si>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</si>
  <si>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</si>
  <si>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</si>
  <si>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</si>
  <si>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</si>
  <si>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</si>
  <si>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</si>
  <si>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</si>
  <si>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</si>
  <si>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</si>
  <si>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</si>
  <si>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</si>
  <si>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</si>
  <si>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</si>
  <si>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</si>
  <si>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</si>
  <si>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</si>
  <si>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</si>
  <si>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</si>
  <si>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</si>
  <si>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</si>
  <si>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</si>
  <si>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</si>
  <si>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</si>
  <si>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</si>
  <si>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</si>
  <si>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</si>
  <si>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</si>
  <si>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</si>
  <si>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</si>
  <si>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</si>
  <si>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</si>
  <si>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</si>
  <si>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</si>
  <si>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</si>
  <si>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</si>
  <si>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</si>
  <si>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</si>
  <si>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</si>
  <si>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</si>
  <si>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</si>
  <si>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</si>
  <si>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</si>
  <si>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</si>
  <si>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</si>
  <si>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</si>
  <si>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</si>
  <si>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</si>
  <si>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</si>
  <si>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</si>
  <si>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</si>
  <si>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</si>
  <si>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</si>
  <si>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</si>
  <si>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</si>
  <si>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</si>
  <si>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</si>
  <si>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</si>
  <si>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</si>
  <si>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</si>
  <si>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</si>
  <si>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</si>
  <si>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</si>
  <si>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</si>
  <si>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</si>
  <si>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</si>
  <si>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</si>
  <si>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</si>
  <si>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</si>
  <si>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</si>
  <si>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</si>
  <si>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</si>
  <si>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</si>
  <si>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</si>
  <si>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</si>
  <si>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</si>
  <si>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</si>
  <si>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</si>
  <si>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</si>
  <si>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</si>
  <si>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</si>
  <si>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</si>
  <si>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</si>
  <si>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</si>
  <si>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</si>
  <si>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</si>
  <si>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</si>
  <si>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</si>
  <si>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</si>
  <si>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</si>
  <si>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</si>
  <si>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</si>
  <si>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</si>
  <si>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</si>
  <si>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</si>
  <si>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</si>
  <si>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</si>
  <si>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</si>
  <si>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</si>
  <si>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</si>
  <si>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</si>
  <si>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</si>
  <si>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</si>
  <si>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</si>
  <si>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</si>
  <si>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</si>
  <si>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</si>
  <si>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</si>
  <si>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</si>
  <si>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</si>
  <si>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</si>
  <si>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</si>
  <si>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</si>
  <si>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</si>
  <si>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</si>
  <si>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</si>
  <si>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</si>
  <si>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</si>
  <si>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</si>
  <si>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</si>
  <si>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</si>
  <si>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</si>
  <si>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</si>
  <si>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</si>
  <si>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</si>
  <si>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</si>
  <si>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</si>
  <si>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</si>
  <si>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</si>
  <si>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</si>
  <si>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</si>
  <si>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</si>
  <si>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</si>
  <si>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</si>
  <si>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</si>
  <si>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</si>
  <si>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</si>
  <si>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</si>
  <si>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</si>
  <si>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</si>
  <si>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</si>
  <si>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</si>
  <si>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</si>
  <si>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</si>
  <si>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</si>
  <si>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</si>
  <si>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</si>
  <si>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</si>
  <si>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</si>
  <si>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</si>
  <si>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</si>
  <si>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</si>
  <si>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</si>
  <si>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</si>
  <si>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</si>
  <si>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</si>
  <si>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</si>
  <si>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</si>
  <si>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</si>
  <si>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</si>
  <si>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</si>
  <si>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</si>
  <si>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</si>
  <si>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</si>
  <si>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</si>
  <si>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</si>
  <si>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</si>
  <si>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</si>
  <si>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</si>
  <si>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</si>
  <si>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</si>
  <si>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</si>
  <si>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</si>
  <si>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</si>
  <si>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</si>
  <si>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</si>
  <si>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</si>
  <si>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</si>
  <si>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</si>
  <si>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</si>
  <si>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</si>
  <si>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</si>
  <si>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</si>
  <si>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</si>
  <si>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</si>
  <si>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</si>
  <si>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</si>
  <si>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</si>
  <si>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</si>
  <si>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</si>
  <si>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</si>
  <si>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</si>
  <si>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</si>
  <si>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</si>
  <si>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</si>
  <si>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</si>
  <si>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</si>
  <si>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</si>
  <si>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</si>
  <si>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</si>
  <si>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</si>
  <si>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</si>
  <si>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</si>
  <si>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</si>
  <si>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</si>
  <si>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</si>
  <si>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</si>
  <si>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</si>
  <si>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</si>
  <si>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</si>
  <si>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</si>
  <si>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</si>
  <si>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</si>
  <si>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</si>
  <si>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</si>
  <si>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</si>
  <si>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</si>
  <si>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</si>
  <si>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</si>
  <si>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</si>
  <si>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</si>
  <si>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</si>
  <si>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</si>
  <si>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</si>
  <si>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</si>
  <si>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</si>
  <si>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</si>
  <si>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</si>
  <si>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</si>
  <si>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</si>
  <si>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</si>
  <si>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</si>
  <si>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</si>
  <si>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</si>
  <si>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</si>
  <si>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</si>
  <si>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</si>
  <si>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</si>
  <si>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</si>
  <si>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</si>
  <si>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</si>
  <si>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</si>
  <si>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</si>
  <si>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</si>
  <si>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</si>
  <si>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</si>
  <si>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</si>
  <si>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</si>
  <si>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</si>
  <si>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</si>
  <si>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</si>
  <si>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</si>
  <si>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</si>
  <si>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</si>
  <si>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</si>
  <si>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</si>
  <si>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</si>
  <si>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</si>
  <si>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</si>
  <si>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</si>
  <si>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</si>
  <si>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</si>
  <si>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</si>
  <si>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</si>
  <si>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</si>
  <si>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</si>
  <si>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</si>
  <si>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</si>
  <si>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</si>
  <si>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</si>
  <si>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</si>
  <si>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</si>
  <si>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</si>
  <si>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</si>
  <si>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</si>
  <si>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</si>
  <si>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</si>
  <si>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</si>
  <si>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</si>
  <si>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</si>
  <si>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</si>
  <si>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</si>
  <si>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</si>
  <si>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</si>
  <si>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</si>
  <si>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</si>
  <si>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</si>
  <si>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</si>
  <si>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</si>
  <si>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</si>
  <si>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</si>
  <si>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</si>
  <si>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</si>
  <si>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</si>
  <si>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</si>
  <si>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</si>
  <si>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</si>
  <si>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</si>
  <si>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</si>
  <si>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</si>
  <si>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</si>
  <si>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</si>
  <si>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</si>
  <si>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</si>
  <si>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</si>
  <si>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</si>
  <si>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</si>
  <si>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</si>
  <si>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</si>
  <si>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</si>
  <si>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</si>
  <si>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</si>
  <si>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</si>
  <si>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</si>
  <si>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</si>
  <si>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</si>
  <si>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</si>
  <si>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</si>
  <si>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</si>
  <si>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</si>
  <si>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</si>
  <si>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</si>
  <si>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</si>
  <si>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</si>
  <si>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</si>
  <si>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</si>
  <si>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</si>
  <si>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</si>
  <si>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</si>
  <si>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</si>
  <si>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</si>
  <si>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</si>
  <si>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</si>
  <si>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</si>
  <si>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</si>
  <si>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</si>
  <si>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</si>
  <si>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</si>
  <si>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</si>
  <si>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</si>
  <si>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</si>
  <si>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</si>
  <si>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</si>
  <si>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</si>
  <si>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</si>
  <si>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</si>
  <si>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</si>
  <si>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</si>
  <si>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</si>
  <si>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</si>
  <si>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</si>
  <si>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</si>
  <si>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</si>
  <si>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</si>
  <si>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</si>
  <si>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</si>
  <si>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</si>
  <si>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</si>
  <si>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</si>
  <si>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</si>
  <si>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</si>
  <si>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</si>
  <si>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</si>
  <si>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</si>
  <si>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</si>
  <si>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</si>
  <si>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</si>
  <si>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</si>
  <si>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</si>
  <si>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</si>
  <si>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</si>
  <si>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</si>
  <si>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</si>
  <si>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</si>
  <si>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</si>
  <si>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</si>
  <si>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</si>
  <si>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</si>
  <si>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</si>
  <si>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</si>
  <si>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</si>
  <si>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</si>
  <si>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</si>
  <si>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</si>
  <si>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</si>
  <si>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</si>
  <si>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</si>
  <si>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</si>
  <si>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</si>
  <si>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</si>
  <si>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</si>
  <si>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</si>
  <si>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</si>
  <si>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</si>
  <si>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</si>
  <si>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</si>
  <si>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</si>
  <si>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</si>
  <si>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</si>
  <si>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</si>
  <si>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</si>
  <si>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</si>
  <si>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</si>
  <si>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</si>
  <si>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</si>
  <si>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</si>
  <si>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</si>
  <si>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</si>
  <si>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</si>
  <si>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</si>
  <si>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</si>
  <si>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</si>
  <si>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</si>
  <si>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</si>
  <si>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</si>
  <si>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</si>
  <si>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</si>
  <si>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</si>
  <si>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</si>
  <si>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</si>
  <si>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</si>
  <si>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</si>
  <si>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</si>
  <si>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</si>
  <si>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</si>
  <si>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</si>
  <si>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</si>
  <si>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</si>
  <si>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</si>
  <si>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</si>
  <si>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</si>
  <si>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</si>
  <si>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</si>
  <si>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</si>
  <si>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</si>
  <si>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</si>
  <si>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</si>
  <si>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</si>
  <si>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</si>
  <si>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</si>
  <si>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</si>
  <si>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</si>
  <si>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</si>
  <si>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</si>
  <si>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</si>
  <si>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</si>
  <si>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</si>
  <si>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</si>
  <si>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</si>
  <si>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</si>
  <si>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</si>
  <si>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</si>
  <si>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</si>
  <si>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</si>
  <si>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</si>
  <si>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</si>
  <si>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</si>
  <si>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</si>
  <si>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</si>
  <si>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</si>
  <si>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</si>
  <si>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</si>
  <si>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</si>
  <si>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</si>
  <si>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</si>
  <si>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</si>
  <si>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</si>
  <si>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</si>
  <si>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</si>
  <si>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</si>
  <si>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</si>
  <si>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</si>
  <si>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</si>
  <si>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</si>
  <si>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</si>
  <si>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</si>
  <si>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</si>
  <si>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</si>
  <si>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</si>
  <si>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</si>
  <si>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</si>
  <si>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</si>
  <si>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</si>
  <si>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</si>
  <si>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</si>
  <si>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</si>
  <si>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</si>
  <si>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</si>
  <si>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</si>
  <si>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</si>
  <si>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</si>
  <si>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</si>
  <si>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</si>
  <si>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</si>
  <si>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</si>
  <si>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</si>
  <si>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</si>
  <si>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</si>
  <si>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</si>
  <si>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</si>
  <si>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</si>
  <si>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</si>
  <si>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</si>
  <si>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</si>
  <si>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</si>
  <si>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</si>
  <si>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</si>
  <si>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</si>
  <si>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</si>
  <si>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</si>
  <si>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</si>
  <si>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</si>
  <si>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</si>
  <si>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</si>
  <si>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</si>
  <si>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</si>
  <si>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</si>
  <si>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</si>
  <si>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</si>
  <si>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</si>
  <si>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</si>
  <si>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</si>
  <si>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</si>
  <si>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</si>
  <si>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</si>
  <si>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</si>
  <si>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</si>
  <si>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</si>
  <si>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</si>
  <si>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</si>
  <si>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</si>
  <si>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</si>
  <si>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</si>
  <si>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</si>
  <si>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</si>
  <si>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</si>
  <si>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</si>
  <si>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</si>
  <si>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</si>
  <si>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</si>
  <si>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</si>
  <si>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</si>
  <si>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</si>
  <si>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</si>
  <si>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</si>
  <si>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</si>
  <si>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</si>
  <si>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</si>
  <si>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</si>
  <si>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</si>
  <si>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</si>
  <si>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</si>
  <si>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</si>
  <si>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</si>
  <si>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</si>
  <si>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</si>
  <si>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</si>
  <si>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</si>
  <si>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</si>
  <si>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</si>
  <si>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</si>
  <si>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</si>
  <si>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</si>
  <si>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</si>
  <si>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</si>
  <si>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</si>
  <si>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</si>
  <si>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</si>
  <si>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</si>
  <si>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</si>
  <si>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</si>
  <si>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</si>
  <si>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</si>
  <si>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</si>
  <si>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</si>
  <si>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</si>
  <si>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</si>
  <si>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</si>
  <si>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</si>
  <si>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</si>
  <si>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</si>
  <si>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</si>
  <si>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</si>
  <si>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</si>
  <si>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</si>
  <si>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</si>
  <si>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</si>
  <si>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</si>
  <si>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</si>
  <si>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</si>
  <si>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</si>
  <si>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</si>
  <si>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</si>
  <si>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</si>
  <si>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</si>
  <si>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</si>
  <si>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</si>
  <si>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</si>
  <si>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</si>
  <si>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</si>
  <si>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</si>
  <si>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</si>
  <si>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</si>
  <si>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</si>
  <si>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</si>
  <si>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</si>
  <si>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</si>
  <si>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</si>
  <si>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</si>
  <si>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</si>
  <si>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</si>
  <si>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</si>
  <si>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</si>
  <si>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</si>
  <si>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</si>
  <si>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</si>
  <si>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</si>
  <si>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</si>
  <si>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</si>
  <si>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</si>
  <si>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</si>
  <si>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</si>
  <si>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</si>
  <si>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</si>
  <si>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</si>
  <si>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</si>
  <si>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</si>
  <si>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</si>
  <si>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</si>
  <si>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</si>
  <si>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</si>
  <si>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</si>
  <si>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</si>
  <si>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</si>
  <si>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</si>
  <si>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</si>
  <si>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</si>
  <si>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</si>
  <si>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</si>
  <si>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</si>
  <si>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</si>
  <si>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</si>
  <si>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</si>
  <si>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</si>
  <si>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</si>
  <si>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</si>
  <si>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</si>
  <si>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</si>
  <si>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</si>
  <si>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</si>
  <si>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</si>
  <si>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</si>
  <si>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</si>
  <si>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</si>
  <si>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</si>
  <si>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</si>
  <si>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</si>
  <si>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</si>
  <si>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</si>
  <si>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</si>
  <si>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</si>
  <si>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</si>
  <si>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</si>
  <si>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</si>
  <si>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</si>
  <si>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</si>
  <si>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</si>
  <si>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</si>
  <si>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</si>
  <si>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</si>
  <si>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</si>
  <si>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</si>
  <si>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</si>
  <si>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</si>
  <si>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</si>
  <si>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</si>
  <si>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</si>
  <si>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</si>
  <si>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</si>
  <si>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</si>
  <si>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</si>
  <si>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</si>
  <si>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</si>
  <si>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</si>
  <si>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</si>
  <si>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</si>
  <si>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</si>
  <si>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</si>
  <si>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</si>
  <si>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</si>
  <si>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</si>
  <si>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</si>
  <si>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</si>
  <si>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</si>
  <si>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</si>
  <si>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</si>
  <si>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</si>
  <si>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</si>
  <si>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</si>
  <si>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</si>
  <si>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</si>
  <si>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</si>
  <si>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</si>
  <si>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</si>
  <si>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</si>
  <si>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</si>
  <si>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</si>
  <si>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</si>
  <si>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</si>
  <si>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</si>
  <si>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</si>
  <si>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</si>
  <si>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</si>
  <si>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</si>
  <si>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</si>
  <si>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</si>
  <si>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</si>
  <si>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</si>
  <si>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</si>
  <si>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</si>
  <si>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</si>
  <si>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</si>
  <si>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</si>
  <si>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</si>
  <si>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</si>
  <si>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</si>
  <si>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</si>
  <si>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</si>
  <si>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</si>
  <si>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</si>
  <si>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</si>
  <si>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</si>
  <si>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</si>
  <si>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</si>
  <si>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</si>
  <si>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</si>
  <si>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</si>
  <si>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</si>
  <si>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</si>
  <si>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</si>
  <si>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</si>
  <si>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</si>
  <si>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</si>
  <si>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</si>
  <si>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</si>
  <si>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</si>
  <si>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</si>
  <si>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</si>
  <si>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</si>
  <si>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</si>
  <si>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</si>
  <si>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</si>
  <si>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</si>
  <si>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</si>
  <si>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</si>
  <si>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</si>
  <si>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</si>
  <si>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</si>
  <si>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</si>
  <si>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</si>
  <si>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</si>
  <si>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</si>
  <si>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</si>
  <si>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</si>
  <si>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</si>
  <si>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</si>
  <si>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</si>
  <si>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</si>
  <si>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</si>
  <si>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</si>
  <si>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</si>
  <si>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</si>
  <si>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</si>
  <si>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</si>
  <si>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</si>
  <si>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</si>
  <si>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</si>
  <si>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</si>
  <si>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</si>
  <si>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</si>
  <si>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</si>
  <si>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</si>
  <si>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</si>
  <si>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</si>
  <si>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</si>
  <si>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</si>
  <si>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</si>
  <si>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</si>
  <si>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</si>
  <si>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</si>
  <si>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</si>
  <si>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</si>
  <si>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</si>
  <si>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</si>
  <si>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</si>
  <si>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</si>
  <si>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</si>
  <si>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</si>
  <si>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</si>
  <si>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</si>
  <si>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</si>
  <si>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</si>
  <si>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</si>
  <si>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</si>
  <si>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</si>
  <si>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</si>
  <si>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</si>
  <si>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</si>
  <si>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</si>
  <si>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</si>
  <si>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</si>
  <si>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</si>
  <si>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</si>
  <si>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</si>
  <si>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</si>
  <si>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</si>
  <si>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</si>
  <si>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</si>
  <si>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</si>
  <si>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</si>
  <si>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</si>
  <si>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</si>
  <si>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</si>
  <si>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</si>
  <si>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</si>
  <si>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</si>
  <si>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</si>
  <si>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</si>
  <si>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</si>
  <si>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</si>
  <si>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</si>
  <si>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</si>
  <si>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</si>
  <si>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</si>
  <si>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</si>
  <si>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</si>
  <si>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</si>
  <si>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</si>
  <si>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</si>
  <si>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</si>
  <si>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</si>
  <si>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</si>
  <si>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</si>
  <si>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</si>
  <si>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</si>
  <si>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</si>
  <si>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</si>
  <si>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</si>
  <si>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</si>
  <si>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</si>
  <si>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</si>
  <si>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</si>
  <si>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</si>
  <si>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</si>
  <si>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</si>
  <si>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</si>
  <si>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</si>
  <si>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</si>
  <si>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</si>
  <si>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</si>
  <si>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</si>
  <si>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</si>
  <si>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</si>
  <si>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</si>
  <si>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</si>
  <si>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</si>
  <si>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</si>
  <si>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</si>
  <si>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</si>
  <si>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</si>
  <si>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</si>
  <si>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</si>
  <si>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</si>
  <si>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</si>
  <si>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</si>
  <si>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</si>
  <si>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</si>
  <si>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</si>
  <si>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</si>
  <si>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</si>
  <si>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</si>
  <si>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</si>
  <si>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</si>
  <si>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</si>
  <si>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</si>
  <si>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</si>
  <si>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</si>
  <si>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</si>
  <si>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</si>
  <si>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</si>
  <si>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</si>
  <si>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</si>
  <si>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</si>
  <si>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</si>
  <si>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</si>
  <si>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</si>
  <si>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</si>
  <si>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</si>
  <si>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</si>
  <si>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</si>
  <si>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</si>
  <si>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</si>
  <si>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</si>
  <si>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</si>
  <si>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</si>
  <si>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</si>
  <si>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</si>
  <si>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</si>
  <si>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</si>
  <si>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</si>
  <si>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</si>
  <si>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</si>
  <si>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</si>
  <si>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</si>
  <si>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</si>
  <si>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</si>
  <si>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</si>
  <si>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</si>
  <si>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</si>
  <si>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</si>
  <si>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</si>
  <si>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</si>
  <si>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</si>
  <si>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</si>
  <si>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</si>
  <si>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</si>
  <si>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</si>
  <si>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</si>
  <si>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</si>
  <si>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</si>
  <si>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</si>
  <si>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</si>
  <si>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</si>
  <si>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</si>
  <si>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</si>
  <si>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</si>
  <si>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</si>
  <si>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</si>
  <si>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</si>
  <si>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</si>
  <si>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</si>
  <si>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</si>
  <si>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</si>
  <si>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</si>
  <si>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</si>
  <si>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</si>
  <si>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</si>
  <si>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</si>
  <si>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</si>
  <si>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</si>
  <si>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</si>
  <si>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</si>
  <si>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</si>
  <si>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</si>
  <si>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</si>
  <si>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</si>
  <si>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</si>
  <si>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</si>
  <si>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</si>
  <si>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</si>
  <si>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</si>
  <si>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</si>
  <si>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</si>
  <si>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</si>
  <si>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</si>
  <si>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</si>
  <si>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</si>
  <si>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</si>
  <si>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</si>
  <si>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</si>
  <si>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</si>
  <si>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</si>
  <si>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</si>
  <si>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</si>
  <si>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</si>
  <si>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</si>
  <si>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</si>
  <si>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</si>
  <si>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</si>
  <si>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</si>
  <si>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</si>
  <si>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</si>
  <si>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</si>
  <si>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</si>
  <si>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</si>
  <si>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</si>
  <si>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</si>
  <si>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</si>
  <si>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</si>
  <si>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</si>
  <si>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</si>
  <si>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</si>
  <si>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</si>
  <si>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</si>
  <si>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</si>
  <si>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</si>
  <si>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</si>
  <si>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</si>
  <si>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</si>
  <si>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</si>
  <si>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</si>
  <si>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</si>
  <si>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</si>
  <si>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</si>
  <si>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</si>
  <si>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</si>
  <si>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</si>
  <si>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</si>
  <si>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</si>
  <si>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</si>
  <si>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</si>
  <si>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</si>
  <si>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</si>
  <si>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</si>
  <si>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</si>
  <si>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</si>
  <si>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</si>
  <si>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</si>
  <si>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</si>
  <si>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</si>
  <si>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</si>
  <si>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</si>
  <si>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</si>
  <si>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</si>
  <si>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</si>
  <si>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</si>
  <si>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</si>
  <si>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</si>
  <si>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</si>
  <si>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</si>
  <si>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</si>
  <si>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</si>
  <si>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</si>
  <si>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</si>
  <si>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</si>
  <si>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</si>
  <si>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</si>
  <si>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</si>
  <si>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</si>
  <si>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</si>
  <si>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</si>
  <si>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</si>
  <si>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</si>
  <si>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</si>
  <si>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</si>
  <si>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</si>
  <si>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</si>
  <si>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</si>
  <si>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</si>
  <si>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</si>
  <si>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</si>
  <si>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</si>
  <si>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</si>
  <si>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</si>
  <si>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</si>
  <si>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</si>
  <si>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</si>
  <si>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</si>
  <si>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</si>
  <si>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</si>
  <si>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</si>
  <si>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</si>
  <si>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</si>
  <si>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</si>
  <si>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</si>
  <si>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</si>
  <si>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</si>
  <si>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</si>
  <si>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</si>
  <si>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</si>
  <si>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</si>
  <si>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</si>
  <si>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</si>
  <si>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</si>
  <si>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</si>
  <si>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</si>
  <si>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</si>
  <si>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</si>
  <si>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</si>
  <si>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</si>
  <si>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</si>
  <si>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</si>
  <si>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</si>
  <si>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</si>
  <si>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</si>
  <si>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</si>
  <si>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</si>
  <si>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</si>
  <si>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</si>
  <si>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</si>
  <si>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</si>
  <si>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</si>
  <si>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</si>
  <si>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</si>
  <si>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</si>
  <si>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</si>
  <si>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</si>
  <si>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</si>
  <si>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</si>
  <si>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</si>
  <si>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</si>
  <si>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</si>
  <si>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</si>
  <si>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</si>
  <si>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</si>
  <si>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</si>
  <si>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</si>
  <si>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</si>
  <si>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</si>
  <si>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</si>
  <si>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</si>
  <si>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</si>
  <si>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</si>
  <si>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</si>
  <si>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</si>
  <si>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</si>
  <si>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</si>
  <si>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</si>
  <si>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</si>
  <si>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</si>
  <si>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</si>
  <si>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</si>
  <si>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</si>
  <si>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</si>
  <si>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</si>
  <si>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</si>
  <si>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</si>
  <si>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</si>
  <si>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</si>
  <si>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</si>
  <si>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</si>
  <si>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</si>
  <si>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</si>
  <si>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</si>
  <si>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</si>
  <si>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</si>
  <si>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</si>
  <si>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</si>
  <si>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</si>
  <si>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</si>
  <si>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</si>
  <si>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</si>
  <si>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</si>
  <si>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</si>
  <si>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</si>
  <si>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</si>
  <si>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</si>
  <si>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</si>
  <si>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</si>
  <si>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</si>
  <si>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</si>
  <si>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</si>
  <si>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</si>
  <si>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</si>
  <si>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</si>
  <si>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</si>
  <si>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</si>
  <si>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</si>
  <si>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</si>
  <si>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</si>
  <si>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</si>
  <si>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</si>
  <si>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</si>
  <si>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</si>
  <si>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</si>
  <si>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</si>
  <si>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</si>
  <si>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</si>
  <si>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</si>
  <si>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</si>
  <si>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</si>
  <si>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</si>
  <si>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</si>
  <si>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</si>
  <si>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</si>
  <si>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</si>
  <si>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</si>
  <si>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</si>
  <si>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</si>
  <si>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</si>
  <si>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</si>
  <si>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</si>
  <si>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</si>
  <si>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</si>
  <si>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</si>
  <si>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</si>
  <si>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</si>
  <si>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</si>
  <si>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</si>
  <si>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</si>
  <si>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</si>
  <si>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</si>
  <si>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</si>
  <si>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</si>
  <si>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</si>
  <si>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</si>
  <si>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</si>
  <si>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</si>
  <si>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</si>
  <si>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</si>
  <si>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</si>
  <si>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</si>
  <si>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</si>
  <si>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</si>
  <si>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</si>
  <si>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</si>
  <si>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</si>
  <si>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</si>
  <si>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</si>
  <si>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</si>
  <si>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</si>
  <si>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</si>
  <si>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</si>
  <si>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</si>
  <si>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</si>
  <si>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</si>
  <si>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</si>
  <si>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</si>
  <si>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</si>
  <si>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</si>
  <si>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</si>
  <si>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</si>
  <si>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</si>
  <si>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</si>
  <si>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</si>
  <si>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</si>
  <si>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</si>
  <si>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</si>
  <si>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</si>
  <si>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</si>
  <si>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</si>
  <si>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</si>
  <si>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</si>
  <si>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</si>
  <si>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</si>
  <si>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</si>
  <si>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</si>
  <si>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</si>
  <si>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</si>
  <si>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</si>
  <si>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</si>
  <si>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</si>
  <si>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</si>
  <si>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</si>
  <si>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</si>
  <si>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</si>
  <si>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</si>
  <si>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</si>
  <si>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</si>
  <si>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</si>
  <si>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</si>
  <si>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</si>
  <si>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</si>
  <si>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</si>
  <si>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</si>
  <si>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</si>
  <si>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</si>
  <si>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</si>
  <si>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</si>
  <si>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</si>
  <si>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</si>
  <si>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</si>
  <si>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</si>
  <si>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</si>
  <si>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</si>
  <si>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</si>
  <si>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</si>
  <si>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</si>
  <si>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</si>
  <si>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</si>
  <si>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</si>
  <si>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</si>
  <si>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</si>
  <si>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</si>
  <si>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</si>
  <si>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</si>
  <si>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</si>
  <si>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</si>
  <si>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</si>
  <si>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</si>
  <si>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</si>
  <si>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</si>
  <si>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</si>
  <si>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</si>
  <si>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</si>
  <si>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</si>
  <si>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</si>
  <si>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</si>
  <si>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</si>
  <si>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</si>
  <si>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</si>
  <si>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</si>
  <si>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</si>
  <si>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</si>
  <si>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</si>
  <si>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</si>
  <si>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</si>
  <si>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</si>
  <si>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</si>
  <si>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</si>
  <si>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</si>
  <si>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</si>
  <si>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</si>
  <si>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</si>
  <si>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</si>
  <si>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</si>
  <si>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</si>
  <si>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</si>
  <si>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</si>
  <si>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</si>
  <si>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</si>
  <si>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</si>
  <si>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</si>
  <si>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</si>
  <si>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</si>
  <si>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</si>
  <si>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</si>
  <si>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</si>
  <si>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</si>
  <si>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</si>
  <si>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</si>
  <si>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</si>
  <si>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</si>
  <si>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</si>
  <si>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</si>
  <si>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</si>
  <si>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</si>
  <si>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</si>
  <si>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</si>
  <si>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</si>
  <si>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</si>
  <si>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</si>
  <si>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</si>
  <si>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</si>
  <si>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</si>
  <si>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</si>
  <si>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</si>
  <si>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</si>
  <si>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</si>
  <si>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</si>
  <si>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</si>
  <si>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</si>
  <si>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</si>
  <si>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</si>
  <si>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</si>
  <si>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</si>
  <si>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</si>
  <si>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</si>
  <si>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</si>
  <si>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</si>
  <si>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</si>
  <si>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</si>
  <si>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</si>
  <si>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</si>
  <si>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</si>
  <si>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</si>
  <si>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</si>
  <si>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</si>
  <si>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</si>
  <si>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</si>
  <si>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</si>
  <si>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</si>
  <si>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</si>
  <si>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</si>
  <si>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</si>
  <si>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</si>
  <si>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</si>
  <si>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</si>
  <si>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</si>
  <si>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</si>
  <si>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</si>
  <si>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</si>
  <si>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</si>
  <si>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</si>
  <si>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</si>
  <si>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</si>
  <si>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</si>
  <si>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</si>
  <si>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</si>
  <si>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</si>
  <si>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</si>
  <si>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</si>
  <si>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</si>
  <si>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</si>
  <si>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</si>
  <si>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</si>
  <si>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</si>
  <si>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</si>
  <si>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</si>
  <si>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</si>
  <si>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</si>
  <si>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</si>
  <si>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</si>
  <si>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</si>
  <si>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</si>
  <si>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</si>
  <si>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</si>
  <si>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</si>
  <si>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</si>
  <si>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</si>
  <si>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</si>
  <si>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</si>
  <si>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</si>
  <si>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</si>
  <si>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</si>
  <si>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</si>
  <si>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</si>
  <si>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</si>
  <si>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</si>
  <si>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</si>
  <si>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</si>
  <si>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</si>
  <si>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</si>
  <si>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</si>
  <si>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</si>
  <si>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</si>
  <si>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</si>
  <si>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</si>
  <si>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</si>
  <si>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</si>
  <si>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</si>
  <si>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</si>
  <si>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</si>
  <si>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</si>
  <si>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</si>
  <si>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</si>
  <si>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</si>
  <si>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</si>
  <si>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</si>
  <si>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</si>
  <si>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</si>
  <si>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</si>
  <si>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</si>
  <si>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</si>
  <si>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</si>
  <si>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</si>
  <si>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</si>
  <si>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</si>
  <si>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</si>
  <si>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</si>
  <si>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</si>
  <si>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</si>
  <si>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</si>
  <si>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</si>
  <si>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</si>
  <si>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</si>
  <si>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</si>
  <si>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</si>
  <si>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</si>
  <si>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</si>
  <si>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</si>
  <si>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</si>
  <si>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</si>
  <si>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Interest Earned</t>
  </si>
  <si>
    <t>Corrected the negative amount in the 1200 para salary line.  Accounted for the trust fund withdrawal made and deposit</t>
  </si>
  <si>
    <t>to account incorrectly and it is now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</si>
</sst>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1"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1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6">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xf numFmtId="0" fontId="80" fillId="0" borderId="0"/>
    <xf numFmtId="0" fontId="80" fillId="0" borderId="0"/>
  </cellStyleXfs>
  <cellXfs count="32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15"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2" xfId="45" xr:uid="{00000000-0005-0000-0000-00001B000000}"/>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6000000}"/>
    <cellStyle name="Normal 3" xfId="43" xr:uid="{00000000-0005-0000-0000-000027000000}"/>
    <cellStyle name="Normal 4" xfId="44" xr:uid="{00000000-0005-0000-0000-000028000000}"/>
    <cellStyle name="Note 2" xfId="42" xr:uid="{00000000-0005-0000-0000-000029000000}"/>
    <cellStyle name="Output" xfId="9" builtinId="21" customBuiltin="1"/>
    <cellStyle name="Title 2" xfId="41" xr:uid="{00000000-0005-0000-0000-00002B000000}"/>
    <cellStyle name="Total" xfId="15" builtinId="25" customBuiltin="1"/>
    <cellStyle name="Warning Text" xfId="13" builtinId="11" customBuiltin="1"/>
  </cellStyles>
  <dxfs count="17">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5" zoomScaleNormal="125" workbookViewId="0">
      <selection activeCell="A658" sqref="A65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1424</v>
      </c>
      <c r="B2">
        <f>INDEX('School Tables'!$AH$3:$AH$208,MATCH('DOE25'!A2,'School Tables'!$AJ$3:$AJ$208,0))</f>
        <v>499</v>
      </c>
      <c r="C2">
        <f>INDEX('School Tables'!$AI$3:$AI$208,MATCH('DOE25'!A2,'School Tables'!$AJ$3:$AJ$208,0))</f>
        <v>499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118637.29</v>
      </c>
      <c r="G9" s="18"/>
      <c r="H9" s="18"/>
      <c r="I9" s="18"/>
      <c r="J9" s="13">
        <f>SUM(I440)</f>
        <v>330138.39</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28267.919999999998</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6414.9</v>
      </c>
      <c r="H14" s="18">
        <v>21853.02</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146905.21</v>
      </c>
      <c r="G19" s="38">
        <f>SUM(G9:G18)</f>
        <v>6414.9</v>
      </c>
      <c r="H19" s="38">
        <f>SUM(H9:H18)</f>
        <v>21853.02</v>
      </c>
      <c r="I19" s="38">
        <f>SUM(I9:I18)</f>
        <v>0</v>
      </c>
      <c r="J19" s="38">
        <f>SUM(J9:J18)</f>
        <v>330138.39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6414.9</v>
      </c>
      <c r="H22" s="18">
        <v>21853.02</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f>514.3</f>
        <v>514.29999999999995</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514.29999999999995</v>
      </c>
      <c r="G32" s="38">
        <f>SUM(G22:G31)</f>
        <v>6414.9</v>
      </c>
      <c r="H32" s="38">
        <f>SUM(H22:H31)</f>
        <v>21853.02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330138.39</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v>39100.1</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v>107290.81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146390.91</v>
      </c>
      <c r="G51" s="38">
        <f>SUM(G35:G50)</f>
        <v>0</v>
      </c>
      <c r="H51" s="38">
        <f>SUM(H35:H50)</f>
        <v>0</v>
      </c>
      <c r="I51" s="38">
        <f>SUM(I35:I50)</f>
        <v>0</v>
      </c>
      <c r="J51" s="38">
        <f>SUM(J35:J50)</f>
        <v>330138.39</v>
      </c>
      <c r="K51" s="42" t="s">
        <v>288</v>
      </c>
      <c r="L51" s="42" t="s">
        <v>288</v>
      </c>
      <c r="N51" s="131"/>
    </row>
    <row r="52" spans="1:14" s="3" customFormat="1" ht="12.2" customHeight="1" thickTop="1" x14ac:dyDescent="0.15">
      <c r="A52" s="35" t="s">
        <v>455</v>
      </c>
      <c r="B52" s="36" t="s">
        <v>289</v>
      </c>
      <c r="C52" s="6">
        <v>37</v>
      </c>
      <c r="D52" s="36" t="s">
        <v>653</v>
      </c>
      <c r="E52" s="36"/>
      <c r="F52" s="38">
        <f>F51+F32</f>
        <v>146905.21</v>
      </c>
      <c r="G52" s="38">
        <f>G51+G32</f>
        <v>6414.9</v>
      </c>
      <c r="H52" s="38">
        <f>H51+H32</f>
        <v>21853.02</v>
      </c>
      <c r="I52" s="38">
        <f>I51+I32</f>
        <v>0</v>
      </c>
      <c r="J52" s="38">
        <f>J51+J32</f>
        <v>330138.39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671505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671505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261</v>
      </c>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1719.8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185</v>
      </c>
      <c r="G110" s="18">
        <v>1081.79</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446</v>
      </c>
      <c r="G111" s="38">
        <f>SUM(G96:G110)</f>
        <v>2801.59</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671951</v>
      </c>
      <c r="G112" s="38">
        <f>G60+G111</f>
        <v>2801.59</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309841.38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110497</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420338.38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252.19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252.19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420338.38</v>
      </c>
      <c r="G140" s="38">
        <f>G121+SUM(G136:G137)</f>
        <v>252.19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0</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1944.9+2413.39+2500+3664.2</f>
        <v>10522.49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21719.22+1434.35</f>
        <v>23153.57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13294.92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511.15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3151.93+3247.81</f>
        <v>6399.74</v>
      </c>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511.15</v>
      </c>
      <c r="G163" s="38">
        <f>SUM(G150:G162)</f>
        <v>23153.57</v>
      </c>
      <c r="H163" s="38">
        <f>SUM(H150:H162)</f>
        <v>30217.15</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7038.29</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7549.44</v>
      </c>
      <c r="G170" s="38">
        <f>G147+G163+SUM(G164:G169)</f>
        <v>23153.57</v>
      </c>
      <c r="H170" s="38">
        <f>H147+H163+SUM(H164:H169)</f>
        <v>30217.15</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10142.94</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10142.94</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17100</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17100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17100</v>
      </c>
      <c r="G193" s="38">
        <f>G184+SUM(G189:G192)</f>
        <v>10142.94</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1116938.8199999998</v>
      </c>
      <c r="G194" s="38">
        <f>G112+G140+G170+G193</f>
        <v>36350.29</v>
      </c>
      <c r="H194" s="38">
        <f>H112+H140+H170+H193</f>
        <v>30217.15</v>
      </c>
      <c r="I194" s="38">
        <f>I112+I140+I170+I193</f>
        <v>0</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147858.04999999999</v>
      </c>
      <c r="G198" s="18">
        <v>57693.48</v>
      </c>
      <c r="H198" s="18">
        <v>19411.97</v>
      </c>
      <c r="I198" s="18">
        <v>7105.25</v>
      </c>
      <c r="J198" s="18">
        <v>2580.0700000000002</v>
      </c>
      <c r="K198" s="18"/>
      <c r="L198" s="13">
        <f>SUM(F198:K198)</f>
        <v>234648.82</v>
      </c>
      <c r="M198" s="8"/>
      <c r="N198" s="165"/>
    </row>
    <row r="199" spans="1:14" s="3" customFormat="1" ht="12.2" customHeight="1" x14ac:dyDescent="0.15">
      <c r="A199" s="1" t="s">
        <v>439</v>
      </c>
      <c r="B199" s="2" t="s">
        <v>341</v>
      </c>
      <c r="C199" s="2" t="s">
        <v>291</v>
      </c>
      <c r="D199" s="2" t="s">
        <v>431</v>
      </c>
      <c r="E199" s="6">
        <v>1200</v>
      </c>
      <c r="F199" s="18">
        <v>21502.42</v>
      </c>
      <c r="G199" s="18">
        <v>3218.09</v>
      </c>
      <c r="H199" s="18">
        <v>0</v>
      </c>
      <c r="I199" s="18">
        <v>64.75</v>
      </c>
      <c r="J199" s="18"/>
      <c r="K199" s="18"/>
      <c r="L199" s="13">
        <f>SUM(F199:K199)</f>
        <v>24785.26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v>12120.12</v>
      </c>
      <c r="I203" s="18">
        <v>2449.6999999999998</v>
      </c>
      <c r="J203" s="18"/>
      <c r="K203" s="18"/>
      <c r="L203" s="13">
        <f t="shared" ref="L203:L209" si="0">SUM(F203:K203)</f>
        <v>14569.82</v>
      </c>
      <c r="M203" s="8"/>
      <c r="N203" s="165"/>
    </row>
    <row r="204" spans="1:14" s="3" customFormat="1" ht="12.2" customHeight="1" x14ac:dyDescent="0.15">
      <c r="A204" s="1" t="s">
        <v>443</v>
      </c>
      <c r="B204" s="2" t="s">
        <v>341</v>
      </c>
      <c r="C204" s="2" t="s">
        <v>295</v>
      </c>
      <c r="D204" s="2" t="s">
        <v>431</v>
      </c>
      <c r="E204" s="6">
        <v>2200</v>
      </c>
      <c r="F204" s="18">
        <f>820.92</f>
        <v>820.92</v>
      </c>
      <c r="G204" s="18">
        <f>68.61+2.66</f>
        <v>71.27</v>
      </c>
      <c r="H204" s="18">
        <v>136.29</v>
      </c>
      <c r="I204" s="18">
        <f>216.53+0</f>
        <v>216.53</v>
      </c>
      <c r="J204" s="18"/>
      <c r="K204" s="18"/>
      <c r="L204" s="13">
        <f t="shared" si="0"/>
        <v>1245.01</v>
      </c>
      <c r="M204" s="8"/>
      <c r="N204" s="165"/>
    </row>
    <row r="205" spans="1:14" s="3" customFormat="1" ht="12.2" customHeight="1" x14ac:dyDescent="0.15">
      <c r="A205" s="1" t="s">
        <v>444</v>
      </c>
      <c r="B205" s="2" t="s">
        <v>341</v>
      </c>
      <c r="C205" s="2" t="s">
        <v>296</v>
      </c>
      <c r="D205" s="2" t="s">
        <v>431</v>
      </c>
      <c r="E205" s="6">
        <v>2300</v>
      </c>
      <c r="F205" s="18">
        <v>4605</v>
      </c>
      <c r="G205" s="18">
        <v>423.88</v>
      </c>
      <c r="H205" s="18">
        <f>18341.91+106919</f>
        <v>125260.91</v>
      </c>
      <c r="I205" s="18">
        <v>2540</v>
      </c>
      <c r="J205" s="18"/>
      <c r="K205" s="18">
        <v>2306.41</v>
      </c>
      <c r="L205" s="13">
        <f t="shared" si="0"/>
        <v>135136.20000000001</v>
      </c>
      <c r="M205" s="8"/>
      <c r="N205" s="165"/>
    </row>
    <row r="206" spans="1:14" s="3" customFormat="1" ht="12.2" customHeight="1" x14ac:dyDescent="0.15">
      <c r="A206" s="1" t="s">
        <v>445</v>
      </c>
      <c r="B206" s="2" t="s">
        <v>341</v>
      </c>
      <c r="C206" s="2" t="s">
        <v>297</v>
      </c>
      <c r="D206" s="2" t="s">
        <v>431</v>
      </c>
      <c r="E206" s="6">
        <v>2400</v>
      </c>
      <c r="F206" s="18">
        <v>29475.78</v>
      </c>
      <c r="G206" s="18">
        <v>4455.29</v>
      </c>
      <c r="H206" s="18">
        <v>6758.57</v>
      </c>
      <c r="I206" s="18">
        <v>9825.06</v>
      </c>
      <c r="J206" s="18">
        <v>436</v>
      </c>
      <c r="K206" s="18">
        <v>1964.89</v>
      </c>
      <c r="L206" s="13">
        <f t="shared" si="0"/>
        <v>52915.59</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16317</v>
      </c>
      <c r="G208" s="18">
        <v>1460.35</v>
      </c>
      <c r="H208" s="18">
        <v>19953.39</v>
      </c>
      <c r="I208" s="18">
        <v>13838.32</v>
      </c>
      <c r="J208" s="18">
        <v>366.69</v>
      </c>
      <c r="K208" s="18"/>
      <c r="L208" s="13">
        <f t="shared" si="0"/>
        <v>51935.75</v>
      </c>
      <c r="M208" s="8"/>
      <c r="N208" s="165"/>
    </row>
    <row r="209" spans="1:14" s="3" customFormat="1" ht="12.2" customHeight="1" x14ac:dyDescent="0.15">
      <c r="A209" s="1" t="s">
        <v>448</v>
      </c>
      <c r="B209" s="2" t="s">
        <v>341</v>
      </c>
      <c r="C209" s="2" t="s">
        <v>300</v>
      </c>
      <c r="D209" s="2" t="s">
        <v>431</v>
      </c>
      <c r="E209" s="6">
        <v>2700</v>
      </c>
      <c r="F209" s="18"/>
      <c r="G209" s="18"/>
      <c r="H209" s="18">
        <f>27355.76+921.25</f>
        <v>28277.01</v>
      </c>
      <c r="I209" s="18"/>
      <c r="J209" s="18"/>
      <c r="K209" s="18"/>
      <c r="L209" s="13">
        <f t="shared" si="0"/>
        <v>28277.01</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220579.16999999998</v>
      </c>
      <c r="G212" s="38">
        <f t="shared" si="1"/>
        <v>67322.36</v>
      </c>
      <c r="H212" s="38">
        <f t="shared" si="1"/>
        <v>211918.26</v>
      </c>
      <c r="I212" s="38">
        <f t="shared" si="1"/>
        <v>36039.61</v>
      </c>
      <c r="J212" s="38">
        <f t="shared" si="1"/>
        <v>3382.76</v>
      </c>
      <c r="K212" s="38">
        <f t="shared" si="1"/>
        <v>4271.3</v>
      </c>
      <c r="L212" s="38">
        <f t="shared" si="1"/>
        <v>543513.46000000008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319751.19+112049.07</f>
        <v>431800.26</v>
      </c>
      <c r="I234" s="18"/>
      <c r="J234" s="18"/>
      <c r="K234" s="18"/>
      <c r="L234" s="13">
        <f>SUM(F234:K234)</f>
        <v>431800.26</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26054.74</v>
      </c>
      <c r="I245" s="18"/>
      <c r="J245" s="18"/>
      <c r="K245" s="18"/>
      <c r="L245" s="13">
        <f t="shared" si="4"/>
        <v>26054.74</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457855</v>
      </c>
      <c r="I248" s="38">
        <f t="shared" si="5"/>
        <v>0</v>
      </c>
      <c r="J248" s="38">
        <f t="shared" si="5"/>
        <v>0</v>
      </c>
      <c r="K248" s="38">
        <f t="shared" si="5"/>
        <v>0</v>
      </c>
      <c r="L248" s="38">
        <f t="shared" si="5"/>
        <v>457855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0</v>
      </c>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220579.16999999998</v>
      </c>
      <c r="G258" s="38">
        <f t="shared" si="8"/>
        <v>67322.36</v>
      </c>
      <c r="H258" s="38">
        <f t="shared" si="8"/>
        <v>669773.26</v>
      </c>
      <c r="I258" s="38">
        <f t="shared" si="8"/>
        <v>36039.61</v>
      </c>
      <c r="J258" s="38">
        <f t="shared" si="8"/>
        <v>3382.76</v>
      </c>
      <c r="K258" s="38">
        <f t="shared" si="8"/>
        <v>4271.3</v>
      </c>
      <c r="L258" s="38">
        <f t="shared" si="8"/>
        <v>1001368.4600000001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10142.94</v>
      </c>
      <c r="L264" s="13">
        <f>SUM(F264:K264)</f>
        <v>10142.94</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10142.94</v>
      </c>
      <c r="L271" s="38">
        <f t="shared" si="9"/>
        <v>10142.94</v>
      </c>
      <c r="M271" s="8"/>
      <c r="N271" s="165"/>
    </row>
    <row r="272" spans="1:14" s="33" customFormat="1" ht="12.2" customHeight="1" thickTop="1" x14ac:dyDescent="0.2">
      <c r="A272" s="40" t="s">
        <v>464</v>
      </c>
      <c r="B272" s="37">
        <v>10</v>
      </c>
      <c r="C272" s="37">
        <v>18</v>
      </c>
      <c r="D272" s="36" t="s">
        <v>431</v>
      </c>
      <c r="E272" s="37"/>
      <c r="F272" s="39">
        <f t="shared" ref="F272:L272" si="11">F258+F271</f>
        <v>220579.16999999998</v>
      </c>
      <c r="G272" s="39">
        <f t="shared" si="11"/>
        <v>67322.36</v>
      </c>
      <c r="H272" s="39">
        <f t="shared" si="11"/>
        <v>669773.26</v>
      </c>
      <c r="I272" s="39">
        <f t="shared" si="11"/>
        <v>36039.61</v>
      </c>
      <c r="J272" s="39">
        <f t="shared" si="11"/>
        <v>3382.76</v>
      </c>
      <c r="K272" s="39">
        <f t="shared" si="11"/>
        <v>14414.240000000002</v>
      </c>
      <c r="L272" s="39">
        <f t="shared" si="11"/>
        <v>1011511.4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v>4816.07</v>
      </c>
      <c r="J277" s="18">
        <v>1340.1</v>
      </c>
      <c r="K277" s="18">
        <v>2500</v>
      </c>
      <c r="L277" s="13">
        <f>SUM(F277:K277)</f>
        <v>8656.17</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7897.45+5397.47+1725</f>
        <v>15019.92</v>
      </c>
      <c r="I282" s="18"/>
      <c r="J282" s="18"/>
      <c r="K282" s="18"/>
      <c r="L282" s="13">
        <f t="shared" ref="L282:L288" si="12">SUM(F282:K282)</f>
        <v>15019.92</v>
      </c>
      <c r="M282" s="8"/>
      <c r="N282" s="165"/>
    </row>
    <row r="283" spans="1:14" s="3" customFormat="1" ht="12.2" customHeight="1" x14ac:dyDescent="0.15">
      <c r="A283" s="1" t="s">
        <v>443</v>
      </c>
      <c r="B283" s="2" t="s">
        <v>357</v>
      </c>
      <c r="C283" s="2" t="s">
        <v>295</v>
      </c>
      <c r="D283" s="2" t="s">
        <v>431</v>
      </c>
      <c r="E283" s="6">
        <v>2200</v>
      </c>
      <c r="F283" s="18">
        <v>2635</v>
      </c>
      <c r="G283" s="18">
        <v>754.62</v>
      </c>
      <c r="H283" s="18"/>
      <c r="I283" s="18"/>
      <c r="J283" s="18"/>
      <c r="K283" s="18">
        <v>1091.6400000000001</v>
      </c>
      <c r="L283" s="13">
        <f t="shared" si="12"/>
        <v>4481.26</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1679.35</v>
      </c>
      <c r="I287" s="18">
        <v>380.45</v>
      </c>
      <c r="J287" s="18"/>
      <c r="K287" s="18"/>
      <c r="L287" s="13">
        <f t="shared" si="12"/>
        <v>2059.7999999999997</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2635</v>
      </c>
      <c r="G291" s="39">
        <f t="shared" si="13"/>
        <v>754.62</v>
      </c>
      <c r="H291" s="39">
        <f t="shared" si="13"/>
        <v>16699.27</v>
      </c>
      <c r="I291" s="39">
        <f t="shared" si="13"/>
        <v>5196.5199999999995</v>
      </c>
      <c r="J291" s="39">
        <f t="shared" si="13"/>
        <v>1340.1</v>
      </c>
      <c r="K291" s="39">
        <f t="shared" si="13"/>
        <v>3591.6400000000003</v>
      </c>
      <c r="L291" s="38">
        <f t="shared" si="13"/>
        <v>30217.149999999998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2635</v>
      </c>
      <c r="G339" s="38">
        <f t="shared" si="20"/>
        <v>754.62</v>
      </c>
      <c r="H339" s="38">
        <f t="shared" si="20"/>
        <v>16699.27</v>
      </c>
      <c r="I339" s="38">
        <f t="shared" si="20"/>
        <v>5196.5199999999995</v>
      </c>
      <c r="J339" s="38">
        <f t="shared" si="20"/>
        <v>1340.1</v>
      </c>
      <c r="K339" s="38">
        <f t="shared" si="20"/>
        <v>3591.6400000000003</v>
      </c>
      <c r="L339" s="38">
        <f t="shared" si="20"/>
        <v>30217.149999999998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2635</v>
      </c>
      <c r="G353" s="38">
        <f>G339</f>
        <v>754.62</v>
      </c>
      <c r="H353" s="38">
        <f>H339</f>
        <v>16699.27</v>
      </c>
      <c r="I353" s="38">
        <f>I339</f>
        <v>5196.5199999999995</v>
      </c>
      <c r="J353" s="38">
        <f>J339</f>
        <v>1340.1</v>
      </c>
      <c r="K353" s="38">
        <f>K339+K352</f>
        <v>3591.6400000000003</v>
      </c>
      <c r="L353" s="38">
        <f>L339+L352</f>
        <v>30217.149999999998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36350.29</v>
      </c>
      <c r="I359" s="18"/>
      <c r="J359" s="18"/>
      <c r="K359" s="18"/>
      <c r="L359" s="13">
        <f>SUM(F359:K359)</f>
        <v>36350.29</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36350.29</v>
      </c>
      <c r="I363" s="38">
        <f t="shared" si="22"/>
        <v>0</v>
      </c>
      <c r="J363" s="38">
        <f t="shared" si="22"/>
        <v>0</v>
      </c>
      <c r="K363" s="38">
        <f t="shared" si="22"/>
        <v>0</v>
      </c>
      <c r="L363" s="38">
        <f t="shared" si="22"/>
        <v>36350.29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v>17100</v>
      </c>
      <c r="L424" s="13">
        <f t="shared" si="29"/>
        <v>17100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17100</v>
      </c>
      <c r="L428" s="38">
        <f t="shared" si="30"/>
        <v>17100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17100</v>
      </c>
      <c r="L435" s="38">
        <f t="shared" si="32"/>
        <v>17100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330138.39</v>
      </c>
      <c r="H440" s="18"/>
      <c r="I440" s="13">
        <f t="shared" ref="I440:I446" si="33">SUM(F440:H440)</f>
        <v>330138.39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330138.39</v>
      </c>
      <c r="H447" s="13">
        <f>SUM(H440:H446)</f>
        <v>0</v>
      </c>
      <c r="I447" s="13">
        <f>SUM(I440:I446)</f>
        <v>330138.39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v>330138.39</v>
      </c>
      <c r="H457" s="18"/>
      <c r="I457" s="13">
        <f t="shared" si="34"/>
        <v>330138.39</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330138.39</v>
      </c>
      <c r="H461" s="65">
        <f>SUM(H455:H460)</f>
        <v>0</v>
      </c>
      <c r="I461" s="65">
        <f>SUM(I455:I460)</f>
        <v>330138.39</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330138.39</v>
      </c>
      <c r="H462" s="39">
        <f>H453+H461</f>
        <v>0</v>
      </c>
      <c r="I462" s="39">
        <f>I453+I461</f>
        <v>330138.39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40963.49</v>
      </c>
      <c r="G466" s="18"/>
      <c r="H466" s="18"/>
      <c r="I466" s="18"/>
      <c r="J466" s="18">
        <v>346576.54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1116938.82</v>
      </c>
      <c r="G469" s="18">
        <v>36350.29</v>
      </c>
      <c r="H469" s="18">
        <v>30217.15</v>
      </c>
      <c r="I469" s="18"/>
      <c r="J469" s="18">
        <v>0</v>
      </c>
      <c r="K469" s="23" t="s">
        <v>288</v>
      </c>
      <c r="L469" s="23" t="s">
        <v>288</v>
      </c>
      <c r="N469" s="131"/>
    </row>
    <row r="470" spans="1:14" ht="12.2" customHeight="1" x14ac:dyDescent="0.2">
      <c r="A470" s="71" t="s">
        <v>611</v>
      </c>
      <c r="B470" s="22">
        <v>19</v>
      </c>
      <c r="C470" s="31">
        <v>3</v>
      </c>
      <c r="D470" s="2" t="s">
        <v>432</v>
      </c>
      <c r="E470" s="31"/>
      <c r="F470" s="18"/>
      <c r="G470" s="18"/>
      <c r="H470" s="18"/>
      <c r="I470" s="18"/>
      <c r="J470" s="18">
        <v>661.85</v>
      </c>
      <c r="K470" s="23" t="s">
        <v>288</v>
      </c>
      <c r="L470" s="23" t="s">
        <v>288</v>
      </c>
      <c r="N470" s="131"/>
    </row>
    <row r="471" spans="1:14" ht="12.2" customHeight="1" x14ac:dyDescent="0.2">
      <c r="A471" s="32" t="s">
        <v>425</v>
      </c>
      <c r="B471" s="22">
        <v>19</v>
      </c>
      <c r="C471" s="31">
        <v>4</v>
      </c>
      <c r="D471" s="2" t="s">
        <v>432</v>
      </c>
      <c r="E471" s="31"/>
      <c r="F471" s="19">
        <f>SUM(F469:F470)</f>
        <v>1116938.82</v>
      </c>
      <c r="G471" s="19">
        <f>SUM(G469:G470)</f>
        <v>36350.29</v>
      </c>
      <c r="H471" s="19">
        <f>SUM(H469:H470)</f>
        <v>30217.15</v>
      </c>
      <c r="I471" s="19">
        <f>SUM(I469:I470)</f>
        <v>0</v>
      </c>
      <c r="J471" s="19">
        <f>SUM(J469:J470)</f>
        <v>661.85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1011511.4</v>
      </c>
      <c r="G473" s="18">
        <v>36350.29</v>
      </c>
      <c r="H473" s="18">
        <v>30217.15</v>
      </c>
      <c r="I473" s="18"/>
      <c r="J473" s="18">
        <v>17100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1011511.4</v>
      </c>
      <c r="G475" s="19">
        <f>SUM(G473:G474)</f>
        <v>36350.29</v>
      </c>
      <c r="H475" s="19">
        <f>SUM(H473:H474)</f>
        <v>30217.15</v>
      </c>
      <c r="I475" s="19">
        <f>SUM(I473:I474)</f>
        <v>0</v>
      </c>
      <c r="J475" s="19">
        <f>SUM(J473:J474)</f>
        <v>17100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146390.91000000003</v>
      </c>
      <c r="G477" s="19">
        <f>(G466+G471)- G475</f>
        <v>0</v>
      </c>
      <c r="H477" s="19">
        <f>(H466+H471)- H475</f>
        <v>0</v>
      </c>
      <c r="I477" s="19">
        <f>(I466+I471)- I475</f>
        <v>0</v>
      </c>
      <c r="J477" s="19">
        <f>(J466+J471)- J475</f>
        <v>330138.38999999996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1802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5652.42</v>
      </c>
      <c r="G522" s="18">
        <v>1968.09</v>
      </c>
      <c r="H522" s="18"/>
      <c r="I522" s="18">
        <v>64.75</v>
      </c>
      <c r="J522" s="18"/>
      <c r="K522" s="18"/>
      <c r="L522" s="69">
        <f>SUM(F522:K522)</f>
        <v>7685.26</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5652.42</v>
      </c>
      <c r="G525" s="81">
        <f t="shared" ref="G525:L525" si="36">SUM(G522:G524)</f>
        <v>1968.09</v>
      </c>
      <c r="H525" s="81">
        <f t="shared" si="36"/>
        <v>0</v>
      </c>
      <c r="I525" s="81">
        <f t="shared" si="36"/>
        <v>64.75</v>
      </c>
      <c r="J525" s="81">
        <f t="shared" si="36"/>
        <v>0</v>
      </c>
      <c r="K525" s="81">
        <f t="shared" si="36"/>
        <v>0</v>
      </c>
      <c r="L525" s="70">
        <f t="shared" si="36"/>
        <v>7685.26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f>7897.45+5397.47+23+4855.55</f>
        <v>18173.47</v>
      </c>
      <c r="I527" s="18">
        <f>202+239.37+114.04</f>
        <v>555.41</v>
      </c>
      <c r="J527" s="18"/>
      <c r="K527" s="18"/>
      <c r="L527" s="69">
        <f>SUM(F527:K527)</f>
        <v>18728.88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18173.47</v>
      </c>
      <c r="I530" s="70">
        <f t="shared" si="37"/>
        <v>555.41</v>
      </c>
      <c r="J530" s="70">
        <f t="shared" si="37"/>
        <v>0</v>
      </c>
      <c r="K530" s="70">
        <f t="shared" si="37"/>
        <v>0</v>
      </c>
      <c r="L530" s="70">
        <f t="shared" si="37"/>
        <v>18728.88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4845.6400000000003</v>
      </c>
      <c r="I532" s="18">
        <v>85.99</v>
      </c>
      <c r="J532" s="18"/>
      <c r="K532" s="18">
        <v>340.89</v>
      </c>
      <c r="L532" s="69">
        <f>SUM(F532:K532)</f>
        <v>5272.52</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4845.6400000000003</v>
      </c>
      <c r="I535" s="70">
        <f t="shared" si="38"/>
        <v>85.99</v>
      </c>
      <c r="J535" s="70">
        <f t="shared" si="38"/>
        <v>0</v>
      </c>
      <c r="K535" s="70">
        <f t="shared" si="38"/>
        <v>340.89</v>
      </c>
      <c r="L535" s="70">
        <f t="shared" si="38"/>
        <v>5272.52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0</v>
      </c>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0</v>
      </c>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5652.42</v>
      </c>
      <c r="G546" s="70">
        <f t="shared" ref="G546:L546" si="41">G525+G530+G535+G540+G545</f>
        <v>1968.09</v>
      </c>
      <c r="H546" s="70">
        <f t="shared" si="41"/>
        <v>23019.11</v>
      </c>
      <c r="I546" s="70">
        <f t="shared" si="41"/>
        <v>706.15</v>
      </c>
      <c r="J546" s="70">
        <f t="shared" si="41"/>
        <v>0</v>
      </c>
      <c r="K546" s="70">
        <f t="shared" si="41"/>
        <v>340.89</v>
      </c>
      <c r="L546" s="70">
        <f t="shared" si="41"/>
        <v>31686.66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7685.26</v>
      </c>
      <c r="G550" s="69">
        <f>L527</f>
        <v>18728.88</v>
      </c>
      <c r="H550" s="69">
        <f>L532</f>
        <v>5272.52</v>
      </c>
      <c r="I550" s="69">
        <f>L537</f>
        <v>0</v>
      </c>
      <c r="J550" s="69">
        <f>L542</f>
        <v>0</v>
      </c>
      <c r="K550" s="69">
        <f>SUM(F550:J550)</f>
        <v>31686.66</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7685.26</v>
      </c>
      <c r="G553" s="70">
        <f t="shared" si="42"/>
        <v>18728.88</v>
      </c>
      <c r="H553" s="70">
        <f t="shared" si="42"/>
        <v>5272.52</v>
      </c>
      <c r="I553" s="70">
        <f t="shared" si="42"/>
        <v>0</v>
      </c>
      <c r="J553" s="70">
        <f t="shared" si="42"/>
        <v>0</v>
      </c>
      <c r="K553" s="70">
        <f t="shared" si="42"/>
        <v>31686.66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f>112049.07+319751.19</f>
        <v>431800.26</v>
      </c>
      <c r="I576" s="69">
        <f>SUM(F576:H576)</f>
        <v>431800.26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27355.76</f>
        <v>27355.759999999998</v>
      </c>
      <c r="I592" s="18"/>
      <c r="J592" s="18">
        <v>26054.74</v>
      </c>
      <c r="K592" s="80">
        <f t="shared" ref="K592:K598" si="48">SUM(H592:J592)</f>
        <v>53410.5</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921.25</v>
      </c>
      <c r="I596" s="18"/>
      <c r="J596" s="18"/>
      <c r="K596" s="80">
        <f t="shared" si="48"/>
        <v>921.25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28277.01</v>
      </c>
      <c r="I599" s="81">
        <f>SUM(I592:I598)</f>
        <v>0</v>
      </c>
      <c r="J599" s="81">
        <f>SUM(J592:J598)</f>
        <v>26054.74</v>
      </c>
      <c r="K599" s="81">
        <f>SUM(K592:K598)</f>
        <v>54331.75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3382.76+1340.1</f>
        <v>4722.8600000000006</v>
      </c>
      <c r="I605" s="18"/>
      <c r="J605" s="18"/>
      <c r="K605" s="80">
        <f>SUM(H605:J605)</f>
        <v>4722.8600000000006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4722.8600000000006</v>
      </c>
      <c r="I606" s="81">
        <f>SUM(I603:I605)</f>
        <v>0</v>
      </c>
      <c r="J606" s="81">
        <f>SUM(J603:J605)</f>
        <v>0</v>
      </c>
      <c r="K606" s="81">
        <f>SUM(K603:K605)</f>
        <v>4722.8600000000006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146905.21</v>
      </c>
      <c r="H618" s="80">
        <f>SUM(F52)</f>
        <v>146905.21</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6414.9</v>
      </c>
      <c r="H619" s="80">
        <f>SUM(G52)</f>
        <v>6414.9</v>
      </c>
      <c r="I619" s="87" t="s">
        <v>876</v>
      </c>
      <c r="J619" s="80">
        <f>G619-H619</f>
        <v>0</v>
      </c>
      <c r="K619" s="80"/>
      <c r="L619" s="80"/>
      <c r="M619" s="8"/>
    </row>
    <row r="620" spans="1:14" s="3" customFormat="1" ht="12.2" customHeight="1" x14ac:dyDescent="0.15">
      <c r="A620" s="74"/>
      <c r="B620" s="22"/>
      <c r="C620" s="22"/>
      <c r="D620" s="22"/>
      <c r="E620" s="22"/>
      <c r="F620" s="87" t="s">
        <v>685</v>
      </c>
      <c r="G620" s="80">
        <f>SUM(H19)</f>
        <v>21853.02</v>
      </c>
      <c r="H620" s="80">
        <f>SUM(H52)</f>
        <v>21853.02</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330138.39</v>
      </c>
      <c r="H622" s="80">
        <f>SUM(J52)</f>
        <v>330138.39</v>
      </c>
      <c r="I622" s="87" t="s">
        <v>879</v>
      </c>
      <c r="J622" s="80">
        <f>G622-H622</f>
        <v>0</v>
      </c>
      <c r="K622" s="80"/>
      <c r="L622" s="80"/>
      <c r="M622" s="8"/>
    </row>
    <row r="623" spans="1:14" s="3" customFormat="1" ht="12.2" customHeight="1" x14ac:dyDescent="0.15">
      <c r="A623" s="74"/>
      <c r="B623" s="22"/>
      <c r="C623" s="22"/>
      <c r="D623" s="22"/>
      <c r="E623" s="22"/>
      <c r="F623" s="87" t="s">
        <v>865</v>
      </c>
      <c r="G623" s="80">
        <f>F51</f>
        <v>146390.91</v>
      </c>
      <c r="H623" s="80">
        <f>F477</f>
        <v>146390.91000000003</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330138.39</v>
      </c>
      <c r="H627" s="80">
        <f>J477</f>
        <v>330138.38999999996</v>
      </c>
      <c r="I627" s="87" t="s">
        <v>105</v>
      </c>
      <c r="J627" s="80">
        <f t="shared" si="50"/>
        <v>0</v>
      </c>
      <c r="K627" s="67"/>
      <c r="L627" s="69"/>
      <c r="M627" s="8"/>
    </row>
    <row r="628" spans="1:13" s="3" customFormat="1" ht="12.2" customHeight="1" x14ac:dyDescent="0.15">
      <c r="A628" s="21"/>
      <c r="B628" s="22"/>
      <c r="C628" s="22"/>
      <c r="D628" s="22"/>
      <c r="E628" s="22"/>
      <c r="F628" s="86" t="s">
        <v>658</v>
      </c>
      <c r="G628" s="80">
        <f>F194</f>
        <v>1116938.8199999998</v>
      </c>
      <c r="H628" s="80">
        <f>SUM(F469)</f>
        <v>1116938.82</v>
      </c>
      <c r="I628" s="87" t="s">
        <v>106</v>
      </c>
      <c r="J628" s="80">
        <f>G628-H628</f>
        <v>0</v>
      </c>
      <c r="K628" s="67"/>
      <c r="L628" s="69"/>
      <c r="M628" s="8"/>
    </row>
    <row r="629" spans="1:13" s="3" customFormat="1" ht="12.2" customHeight="1" x14ac:dyDescent="0.15">
      <c r="A629" s="21"/>
      <c r="B629" s="22"/>
      <c r="C629" s="22"/>
      <c r="D629" s="22"/>
      <c r="E629" s="22"/>
      <c r="F629" s="86" t="s">
        <v>659</v>
      </c>
      <c r="G629" s="80">
        <f>G194</f>
        <v>36350.29</v>
      </c>
      <c r="H629" s="80">
        <f>SUM(G469)</f>
        <v>36350.29</v>
      </c>
      <c r="I629" s="87" t="s">
        <v>107</v>
      </c>
      <c r="J629" s="80">
        <f>G629-H629</f>
        <v>0</v>
      </c>
      <c r="K629" s="67"/>
      <c r="L629" s="69"/>
      <c r="M629" s="8"/>
    </row>
    <row r="630" spans="1:13" s="3" customFormat="1" ht="12.2" customHeight="1" x14ac:dyDescent="0.15">
      <c r="A630" s="21"/>
      <c r="B630" s="22"/>
      <c r="C630" s="22"/>
      <c r="D630" s="22"/>
      <c r="E630" s="22"/>
      <c r="F630" s="86" t="s">
        <v>660</v>
      </c>
      <c r="G630" s="80">
        <f>H194</f>
        <v>30217.15</v>
      </c>
      <c r="H630" s="80">
        <f>SUM(H469)</f>
        <v>30217.15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1011511.4</v>
      </c>
      <c r="H633" s="80">
        <f>SUM(F473)</f>
        <v>1011511.4</v>
      </c>
      <c r="I633" s="87" t="s">
        <v>111</v>
      </c>
      <c r="J633" s="80">
        <f t="shared" si="50"/>
        <v>0</v>
      </c>
      <c r="K633" s="67"/>
      <c r="L633" s="69"/>
      <c r="M633" s="8"/>
    </row>
    <row r="634" spans="1:13" s="3" customFormat="1" ht="12.2" customHeight="1" x14ac:dyDescent="0.15">
      <c r="A634" s="21"/>
      <c r="B634" s="22"/>
      <c r="C634" s="22"/>
      <c r="D634" s="22"/>
      <c r="E634" s="22"/>
      <c r="F634" s="86" t="s">
        <v>395</v>
      </c>
      <c r="G634" s="80">
        <f>SUM(L353)</f>
        <v>30217.149999999998</v>
      </c>
      <c r="H634" s="80">
        <f>SUM(H473)</f>
        <v>30217.15</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36350.29</v>
      </c>
      <c r="H636" s="80">
        <f>SUM(G473)</f>
        <v>36350.29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17100</v>
      </c>
      <c r="H639" s="108">
        <f>SUM(J473)</f>
        <v>17100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330138.39</v>
      </c>
      <c r="H641" s="80">
        <f>SUM(G462)</f>
        <v>330138.39</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330138.39</v>
      </c>
      <c r="H643" s="80">
        <f>SUM(I462)</f>
        <v>330138.39</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54331.75</v>
      </c>
      <c r="H648" s="80">
        <f>L209+L227+L245</f>
        <v>54331.75</v>
      </c>
      <c r="I648" s="87" t="s">
        <v>396</v>
      </c>
      <c r="J648" s="80">
        <f t="shared" si="50"/>
        <v>0</v>
      </c>
      <c r="K648" s="67"/>
      <c r="L648" s="69"/>
      <c r="M648" s="8"/>
    </row>
    <row r="649" spans="1:13" s="3" customFormat="1" ht="12.2" customHeight="1" x14ac:dyDescent="0.15">
      <c r="A649" s="21"/>
      <c r="B649" s="22"/>
      <c r="C649" s="22"/>
      <c r="D649" s="22"/>
      <c r="E649" s="22"/>
      <c r="F649" s="86" t="s">
        <v>52</v>
      </c>
      <c r="G649" s="80">
        <f>K606</f>
        <v>4722.8600000000006</v>
      </c>
      <c r="H649" s="80">
        <f>(J258+J339)-(J256+J337)</f>
        <v>4722.8600000000006</v>
      </c>
      <c r="I649" s="87" t="s">
        <v>699</v>
      </c>
      <c r="J649" s="80">
        <f t="shared" si="50"/>
        <v>0</v>
      </c>
      <c r="K649" s="67"/>
      <c r="L649" s="69"/>
      <c r="M649" s="8"/>
    </row>
    <row r="650" spans="1:13" s="3" customFormat="1" ht="12.2" customHeight="1" x14ac:dyDescent="0.15">
      <c r="A650" s="21"/>
      <c r="B650" s="22"/>
      <c r="C650" s="22"/>
      <c r="D650" s="22"/>
      <c r="E650" s="22"/>
      <c r="F650" s="86" t="s">
        <v>387</v>
      </c>
      <c r="G650" s="80">
        <f>L209</f>
        <v>28277.01</v>
      </c>
      <c r="H650" s="80">
        <f>H599</f>
        <v>28277.01</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26054.74</v>
      </c>
      <c r="H652" s="80">
        <f>J599</f>
        <v>26054.74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10142.94</v>
      </c>
      <c r="H653" s="80">
        <f>K264+K346</f>
        <v>10142.94</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610080.90000000014</v>
      </c>
      <c r="G661" s="13">
        <f>(L230+L310+L360)</f>
        <v>0</v>
      </c>
      <c r="H661" s="13">
        <f>(L248+L329+L361)</f>
        <v>457855</v>
      </c>
      <c r="I661" s="13">
        <f>SUM(F661:H661)</f>
        <v>1067935.9000000001</v>
      </c>
      <c r="J661" s="13"/>
      <c r="K661" s="13"/>
      <c r="L661" s="13"/>
      <c r="M661" s="9"/>
    </row>
    <row r="662" spans="1:13" s="3" customFormat="1" ht="12.2" customHeight="1" x14ac:dyDescent="0.2">
      <c r="A662" s="1" t="s">
        <v>127</v>
      </c>
      <c r="F662" s="13">
        <f>(L359/IF(SUM(L359:L361)=0,1,SUM(L359:L361))*(SUM(G97:G110)))</f>
        <v>2801.59</v>
      </c>
      <c r="G662" s="13">
        <f>(L360/IF(SUM(L359:L361)=0,1,SUM(L359:L361))*(SUM(G97:G110)))</f>
        <v>0</v>
      </c>
      <c r="H662" s="13">
        <f>(L361/IF(SUM(L359:L361)=0,1,SUM(L359:L361))*(SUM(G97:G110)))</f>
        <v>0</v>
      </c>
      <c r="I662" s="13">
        <f>SUM(F662:H662)</f>
        <v>2801.59</v>
      </c>
      <c r="J662"/>
      <c r="K662" s="13"/>
      <c r="L662" s="13"/>
      <c r="M662" s="8"/>
    </row>
    <row r="663" spans="1:13" s="3" customFormat="1" ht="12.2" customHeight="1" x14ac:dyDescent="0.2">
      <c r="A663" s="1" t="s">
        <v>128</v>
      </c>
      <c r="F663" s="13">
        <f>(L209+L288)-(J209+J288)</f>
        <v>28277.01</v>
      </c>
      <c r="G663" s="13">
        <f>(L227+L307)-(J227+J307)</f>
        <v>0</v>
      </c>
      <c r="H663" s="13">
        <f>(L245+L326)-(J245+J326)</f>
        <v>26054.74</v>
      </c>
      <c r="I663" s="13">
        <f>SUM(F663:H663)</f>
        <v>54331.75</v>
      </c>
      <c r="J663"/>
      <c r="K663" s="13"/>
      <c r="L663" s="13"/>
      <c r="M663" s="9"/>
    </row>
    <row r="664" spans="1:13" s="3" customFormat="1" ht="12.2" customHeight="1" x14ac:dyDescent="0.15">
      <c r="A664" s="142" t="s">
        <v>129</v>
      </c>
      <c r="B664" s="124"/>
      <c r="C664" s="124"/>
      <c r="D664" s="124"/>
      <c r="E664" s="124"/>
      <c r="F664" s="143">
        <f>SUM(F576:F588)+SUM(H603:H605)+SUM(L612)</f>
        <v>4722.8600000000006</v>
      </c>
      <c r="G664" s="143">
        <f>SUM(G576:G588)+SUM(I603:I605)+L613</f>
        <v>0</v>
      </c>
      <c r="H664" s="143">
        <f>SUM(H576:H588)+SUM(J603:J605)+L614</f>
        <v>431800.26</v>
      </c>
      <c r="I664" s="13">
        <f>SUM(F664:H664)</f>
        <v>436523.12</v>
      </c>
      <c r="J664" s="13"/>
      <c r="K664" s="13"/>
      <c r="L664" s="13"/>
      <c r="M664" s="9"/>
    </row>
    <row r="665" spans="1:13" s="3" customFormat="1" ht="12.2" customHeight="1" x14ac:dyDescent="0.15">
      <c r="A665" s="1" t="s">
        <v>130</v>
      </c>
      <c r="F665" s="13">
        <f>F661-SUM(F662:F664)</f>
        <v>574279.44000000018</v>
      </c>
      <c r="G665" s="13">
        <f>G661-SUM(G662:G664)</f>
        <v>0</v>
      </c>
      <c r="H665" s="13">
        <f>H661-SUM(H662:H664)</f>
        <v>0</v>
      </c>
      <c r="I665" s="13">
        <f>I661-SUM(I662:I664)</f>
        <v>574279.44000000018</v>
      </c>
      <c r="J665" s="13"/>
      <c r="K665" s="13"/>
      <c r="L665" s="13"/>
      <c r="M665" s="8"/>
    </row>
    <row r="666" spans="1:13" s="3" customFormat="1" ht="12.2" customHeight="1" x14ac:dyDescent="0.2">
      <c r="A666" s="1" t="s">
        <v>131</v>
      </c>
      <c r="F666" s="183">
        <v>25.82</v>
      </c>
      <c r="G666" s="184"/>
      <c r="H666" s="184"/>
      <c r="I666" s="13">
        <f>SUM(F666:H666)</f>
        <v>25.82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22241.65</v>
      </c>
      <c r="G668" s="13" t="e">
        <f>ROUND(G665/G666,2)</f>
        <v>#DIV/0!</v>
      </c>
      <c r="H668" s="13" t="e">
        <f>ROUND(H665/H666,2)</f>
        <v>#DIV/0!</v>
      </c>
      <c r="I668" s="13">
        <f>ROUND(I665/I666,2)</f>
        <v>22241.65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22241.65</v>
      </c>
      <c r="G673" s="13" t="e">
        <f>ROUND((G665+G670)/(G666+G671),2)</f>
        <v>#DIV/0!</v>
      </c>
      <c r="H673" s="13" t="e">
        <f>ROUND((H665+H670)/(H666+H671),2)</f>
        <v>#DIV/0!</v>
      </c>
      <c r="I673" s="13">
        <f>ROUND((I665+I670)/(I666+I671),2)</f>
        <v>22241.65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J618:J656 H657">
    <cfRule type="cellIs" dxfId="16" priority="3" stopIfTrue="1" operator="notEqual">
      <formula>0</formula>
    </cfRule>
  </conditionalFormatting>
  <conditionalFormatting sqref="J618:J656">
    <cfRule type="cellIs" dxfId="15" priority="1" operator="lessThan">
      <formula>0</formula>
    </cfRule>
    <cfRule type="cellIs" dxfId="14"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300" t="s">
        <v>1643</v>
      </c>
      <c r="D2" s="300"/>
      <c r="E2" s="300"/>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10522.49</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f>2413.39+3664.2</f>
        <v>6077.59</v>
      </c>
      <c r="F9" s="276" t="s">
        <v>1644</v>
      </c>
    </row>
    <row r="10" spans="2:8" x14ac:dyDescent="0.25">
      <c r="B10" s="275"/>
      <c r="C10" s="275"/>
      <c r="D10" s="275"/>
      <c r="E10" s="275"/>
      <c r="F10" s="275"/>
    </row>
    <row r="11" spans="2:8" x14ac:dyDescent="0.25">
      <c r="B11" s="275"/>
      <c r="C11" s="279" t="s">
        <v>1648</v>
      </c>
      <c r="D11" s="276" t="s">
        <v>1651</v>
      </c>
      <c r="E11" s="263">
        <v>0</v>
      </c>
      <c r="F11" s="276" t="s">
        <v>1645</v>
      </c>
    </row>
    <row r="12" spans="2:8" x14ac:dyDescent="0.25">
      <c r="B12" s="275"/>
      <c r="C12" s="275"/>
      <c r="D12" s="276"/>
      <c r="E12" s="275"/>
      <c r="F12" s="275"/>
    </row>
    <row r="13" spans="2:8" x14ac:dyDescent="0.25">
      <c r="B13" s="275"/>
      <c r="C13" s="276" t="s">
        <v>1638</v>
      </c>
      <c r="D13" s="276" t="s">
        <v>1652</v>
      </c>
      <c r="E13" s="263">
        <f>1944.9+2500</f>
        <v>4444.8999999999996</v>
      </c>
      <c r="F13" s="276" t="s">
        <v>1646</v>
      </c>
    </row>
    <row r="14" spans="2:8" x14ac:dyDescent="0.25">
      <c r="B14" s="275"/>
      <c r="C14" s="275"/>
      <c r="D14" s="276"/>
      <c r="E14" s="275"/>
      <c r="F14" s="275"/>
    </row>
    <row r="15" spans="2:8" x14ac:dyDescent="0.25">
      <c r="B15" s="275"/>
      <c r="C15" s="276" t="s">
        <v>1640</v>
      </c>
      <c r="D15" s="276" t="s">
        <v>1653</v>
      </c>
      <c r="E15" s="263">
        <v>0</v>
      </c>
      <c r="F15" s="276" t="s">
        <v>1647</v>
      </c>
    </row>
    <row r="16" spans="2:8" x14ac:dyDescent="0.25">
      <c r="B16" s="275"/>
      <c r="C16" s="275"/>
      <c r="D16" s="275"/>
      <c r="E16" s="275"/>
      <c r="F16" s="275"/>
    </row>
    <row r="17" spans="2:8" x14ac:dyDescent="0.25">
      <c r="B17" s="275"/>
      <c r="C17" s="276" t="s">
        <v>1639</v>
      </c>
      <c r="D17" s="276" t="s">
        <v>1654</v>
      </c>
      <c r="E17" s="263">
        <v>0</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0</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1" t="s">
        <v>1567</v>
      </c>
      <c r="B1" s="301"/>
      <c r="C1" s="301"/>
      <c r="D1" s="301"/>
      <c r="E1" s="301"/>
      <c r="F1" s="301"/>
      <c r="G1" s="301"/>
      <c r="H1" s="301"/>
    </row>
    <row r="2" spans="1:9" ht="15" x14ac:dyDescent="0.2">
      <c r="A2" s="301" t="s">
        <v>1632</v>
      </c>
      <c r="B2" s="301"/>
      <c r="C2" s="301"/>
      <c r="D2" s="301"/>
      <c r="E2" s="301"/>
      <c r="F2" s="301"/>
      <c r="G2" s="301"/>
      <c r="H2" s="301"/>
    </row>
    <row r="3" spans="1:9" ht="15.75" x14ac:dyDescent="0.25">
      <c r="A3" s="244" t="s">
        <v>1581</v>
      </c>
      <c r="B3" s="245" t="s">
        <v>1613</v>
      </c>
      <c r="C3" s="243"/>
      <c r="D3" s="243"/>
      <c r="E3" s="243"/>
      <c r="F3" s="243"/>
      <c r="G3" s="243"/>
      <c r="H3" s="243"/>
      <c r="I3" t="s">
        <v>1613</v>
      </c>
    </row>
    <row r="4" spans="1:9" x14ac:dyDescent="0.2">
      <c r="I4" t="s">
        <v>1614</v>
      </c>
    </row>
    <row r="5" spans="1:9" ht="15.75" x14ac:dyDescent="0.25">
      <c r="A5" s="239" t="s">
        <v>908</v>
      </c>
      <c r="B5" s="302" t="str">
        <f>'DOE25'!A2</f>
        <v>Stark</v>
      </c>
      <c r="C5" s="303"/>
      <c r="D5" s="303"/>
      <c r="E5" s="303"/>
      <c r="F5" s="303"/>
    </row>
    <row r="8" spans="1:9" ht="18" x14ac:dyDescent="0.25">
      <c r="A8" s="240" t="s">
        <v>1568</v>
      </c>
      <c r="F8" s="247" t="s">
        <v>1586</v>
      </c>
    </row>
    <row r="9" spans="1:9" ht="15" x14ac:dyDescent="0.2">
      <c r="A9" s="238" t="s">
        <v>1569</v>
      </c>
      <c r="B9" s="241">
        <f>'DOE25'!G97</f>
        <v>1719.8</v>
      </c>
      <c r="F9" s="238" t="s">
        <v>1582</v>
      </c>
    </row>
    <row r="10" spans="1:9" ht="15" x14ac:dyDescent="0.2">
      <c r="A10" s="238" t="s">
        <v>1570</v>
      </c>
      <c r="B10" s="241">
        <f>'DOE25'!G112-'DOE25'!G97</f>
        <v>1081.7900000000002</v>
      </c>
      <c r="F10" s="238" t="s">
        <v>1583</v>
      </c>
    </row>
    <row r="11" spans="1:9" ht="15" x14ac:dyDescent="0.2">
      <c r="A11" s="238" t="s">
        <v>1571</v>
      </c>
      <c r="B11" s="241">
        <f>'DOE25'!G140</f>
        <v>252.19</v>
      </c>
      <c r="F11" s="238" t="s">
        <v>1584</v>
      </c>
    </row>
    <row r="12" spans="1:9" ht="15" x14ac:dyDescent="0.2">
      <c r="A12" s="238" t="s">
        <v>1572</v>
      </c>
      <c r="B12" s="241">
        <f>'DOE25'!G170</f>
        <v>23153.57</v>
      </c>
      <c r="F12" s="238" t="s">
        <v>1585</v>
      </c>
    </row>
    <row r="13" spans="1:9" ht="15" x14ac:dyDescent="0.2">
      <c r="A13" s="238" t="s">
        <v>1573</v>
      </c>
      <c r="B13" s="241">
        <f>'DOE25'!G193-'DOE25'!G180</f>
        <v>0</v>
      </c>
      <c r="F13" s="238" t="s">
        <v>1595</v>
      </c>
    </row>
    <row r="14" spans="1:9" ht="18" x14ac:dyDescent="0.25">
      <c r="A14" s="240" t="s">
        <v>732</v>
      </c>
      <c r="B14" s="242">
        <f>SUM(B9:B13)</f>
        <v>26207.35</v>
      </c>
    </row>
    <row r="16" spans="1:9" ht="18" x14ac:dyDescent="0.25">
      <c r="A16" s="240" t="s">
        <v>786</v>
      </c>
      <c r="F16" s="247" t="s">
        <v>1587</v>
      </c>
    </row>
    <row r="17" spans="1:6" ht="15" x14ac:dyDescent="0.2">
      <c r="A17" s="238" t="s">
        <v>1574</v>
      </c>
      <c r="B17" s="241">
        <f>'DOE25'!L363-'DOE25'!L362</f>
        <v>36350.29</v>
      </c>
      <c r="F17" s="238" t="s">
        <v>1588</v>
      </c>
    </row>
    <row r="18" spans="1:6" ht="15" x14ac:dyDescent="0.2">
      <c r="A18" s="238" t="s">
        <v>1575</v>
      </c>
      <c r="B18" s="251"/>
      <c r="F18" s="247" t="s">
        <v>1612</v>
      </c>
    </row>
    <row r="19" spans="1:6" ht="18" x14ac:dyDescent="0.25">
      <c r="A19" s="240" t="s">
        <v>725</v>
      </c>
      <c r="B19" s="242">
        <f>SUM(B17:B18)</f>
        <v>36350.29</v>
      </c>
    </row>
    <row r="21" spans="1:6" ht="18.75" thickBot="1" x14ac:dyDescent="0.3">
      <c r="A21" s="240" t="s">
        <v>1576</v>
      </c>
    </row>
    <row r="22" spans="1:6" ht="18.75" thickTop="1" x14ac:dyDescent="0.25">
      <c r="A22" s="240" t="s">
        <v>1577</v>
      </c>
      <c r="B22" s="246">
        <f>B14-B19</f>
        <v>-10142.940000000002</v>
      </c>
      <c r="F22" s="238" t="s">
        <v>1589</v>
      </c>
    </row>
    <row r="26" spans="1:6" ht="18" x14ac:dyDescent="0.25">
      <c r="A26" s="240" t="s">
        <v>186</v>
      </c>
    </row>
    <row r="27" spans="1:6" ht="15" x14ac:dyDescent="0.2">
      <c r="A27" s="238" t="s">
        <v>1578</v>
      </c>
      <c r="B27" s="241">
        <f>'DOE25'!G180</f>
        <v>10142.94</v>
      </c>
      <c r="F27" s="238" t="s">
        <v>1590</v>
      </c>
    </row>
    <row r="28" spans="1:6" ht="15" x14ac:dyDescent="0.2">
      <c r="A28" s="238" t="s">
        <v>1580</v>
      </c>
      <c r="B28" s="241">
        <f>'DOE25'!L362</f>
        <v>0</v>
      </c>
      <c r="F28" s="238" t="s">
        <v>1591</v>
      </c>
    </row>
    <row r="31" spans="1:6" ht="15" x14ac:dyDescent="0.2">
      <c r="A31" s="238" t="s">
        <v>1634</v>
      </c>
      <c r="B31" s="241">
        <f>'DOE25'!G466</f>
        <v>0</v>
      </c>
      <c r="F31" s="238" t="s">
        <v>1592</v>
      </c>
    </row>
    <row r="33" spans="1:6" ht="15" x14ac:dyDescent="0.2">
      <c r="A33" s="238" t="s">
        <v>1635</v>
      </c>
      <c r="B33" s="241">
        <f>'DOE25'!G477</f>
        <v>0</v>
      </c>
      <c r="F33" s="238" t="s">
        <v>1593</v>
      </c>
    </row>
    <row r="36" spans="1:6" ht="15" x14ac:dyDescent="0.2">
      <c r="A36" s="238" t="s">
        <v>1579</v>
      </c>
      <c r="B36" s="252">
        <v>2321.77</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Stark</v>
      </c>
      <c r="C1" s="175" t="s">
        <v>824</v>
      </c>
    </row>
    <row r="2" spans="1:3" x14ac:dyDescent="0.2">
      <c r="A2" s="171"/>
      <c r="B2" s="170"/>
    </row>
    <row r="3" spans="1:3" x14ac:dyDescent="0.2">
      <c r="A3" s="300" t="s">
        <v>780</v>
      </c>
      <c r="B3" s="300"/>
      <c r="C3" s="300"/>
    </row>
    <row r="4" spans="1:3" x14ac:dyDescent="0.2">
      <c r="A4" s="174"/>
      <c r="B4" s="24" t="str">
        <f>'DOE25'!H1</f>
        <v>DOE 25  2021-2022</v>
      </c>
      <c r="C4" s="174"/>
    </row>
    <row r="5" spans="1:3" x14ac:dyDescent="0.2">
      <c r="A5" s="171"/>
      <c r="B5" s="170"/>
    </row>
    <row r="6" spans="1:3" x14ac:dyDescent="0.2">
      <c r="A6" s="165"/>
      <c r="B6" s="306" t="s">
        <v>779</v>
      </c>
      <c r="C6" s="306"/>
    </row>
    <row r="7" spans="1:3" x14ac:dyDescent="0.2">
      <c r="A7" s="176" t="s">
        <v>782</v>
      </c>
      <c r="B7" s="304" t="s">
        <v>778</v>
      </c>
      <c r="C7" s="305"/>
    </row>
    <row r="8" spans="1:3" x14ac:dyDescent="0.2">
      <c r="B8" s="166" t="s">
        <v>54</v>
      </c>
      <c r="C8" s="166" t="s">
        <v>772</v>
      </c>
    </row>
    <row r="9" spans="1:3" x14ac:dyDescent="0.2">
      <c r="A9" s="32" t="s">
        <v>773</v>
      </c>
      <c r="B9" s="167">
        <f>'DOE25'!F198+'DOE25'!F216+'DOE25'!F234+'DOE25'!F277+'DOE25'!F296+'DOE25'!F315</f>
        <v>147858.04999999999</v>
      </c>
      <c r="C9" s="167">
        <f>'DOE25'!G198+'DOE25'!G216+'DOE25'!G234+'DOE25'!G277+'DOE25'!G296+'DOE25'!G315</f>
        <v>57693.48</v>
      </c>
    </row>
    <row r="10" spans="1:3" x14ac:dyDescent="0.2">
      <c r="A10" t="s">
        <v>775</v>
      </c>
      <c r="B10" s="177">
        <v>126675.99</v>
      </c>
      <c r="C10" s="177">
        <v>55219.05</v>
      </c>
    </row>
    <row r="11" spans="1:3" x14ac:dyDescent="0.2">
      <c r="A11" t="s">
        <v>776</v>
      </c>
      <c r="B11" s="177">
        <v>9539.42</v>
      </c>
      <c r="C11" s="177">
        <f>729.77+1341.24</f>
        <v>2071.0100000000002</v>
      </c>
    </row>
    <row r="12" spans="1:3" x14ac:dyDescent="0.2">
      <c r="A12" t="s">
        <v>777</v>
      </c>
      <c r="B12" s="177">
        <f>6369.24+5273.4</f>
        <v>11642.64</v>
      </c>
      <c r="C12" s="177">
        <v>403.42</v>
      </c>
    </row>
    <row r="13" spans="1:3" x14ac:dyDescent="0.2">
      <c r="A13" t="str">
        <f>IF(B9=B13,IF(C9=C13,"Check Total OK","Check Total Error"),"Check Total Error")</f>
        <v>Check Total OK</v>
      </c>
      <c r="B13" s="169">
        <f>SUM(B10:B12)</f>
        <v>147858.04999999999</v>
      </c>
      <c r="C13" s="169">
        <f>SUM(C10:C12)</f>
        <v>57693.48</v>
      </c>
    </row>
    <row r="14" spans="1:3" x14ac:dyDescent="0.2">
      <c r="B14" s="168"/>
      <c r="C14" s="168"/>
    </row>
    <row r="15" spans="1:3" x14ac:dyDescent="0.2">
      <c r="B15" s="306" t="s">
        <v>779</v>
      </c>
      <c r="C15" s="306"/>
    </row>
    <row r="16" spans="1:3" x14ac:dyDescent="0.2">
      <c r="A16" s="176" t="s">
        <v>783</v>
      </c>
      <c r="B16" s="304" t="s">
        <v>703</v>
      </c>
      <c r="C16" s="305"/>
    </row>
    <row r="17" spans="1:3" x14ac:dyDescent="0.2">
      <c r="B17" s="166" t="s">
        <v>54</v>
      </c>
      <c r="C17" s="166" t="s">
        <v>772</v>
      </c>
    </row>
    <row r="18" spans="1:3" x14ac:dyDescent="0.2">
      <c r="A18" s="32" t="s">
        <v>773</v>
      </c>
      <c r="B18" s="167">
        <f>'DOE25'!F199+'DOE25'!F217+'DOE25'!F235+'DOE25'!F278+'DOE25'!F297+'DOE25'!F316</f>
        <v>21502.42</v>
      </c>
      <c r="C18" s="167">
        <f>'DOE25'!G199+'DOE25'!G217+'DOE25'!G235+'DOE25'!G278+'DOE25'!G297+'DOE25'!G316</f>
        <v>3218.09</v>
      </c>
    </row>
    <row r="19" spans="1:3" x14ac:dyDescent="0.2">
      <c r="A19" t="s">
        <v>775</v>
      </c>
      <c r="B19" s="177">
        <v>7124.01</v>
      </c>
      <c r="C19" s="177">
        <v>2118.14</v>
      </c>
    </row>
    <row r="20" spans="1:3" x14ac:dyDescent="0.2">
      <c r="A20" t="s">
        <v>776</v>
      </c>
      <c r="B20" s="177">
        <v>14293.41</v>
      </c>
      <c r="C20" s="177">
        <v>1093.45</v>
      </c>
    </row>
    <row r="21" spans="1:3" x14ac:dyDescent="0.2">
      <c r="A21" t="s">
        <v>777</v>
      </c>
      <c r="B21" s="177">
        <v>85</v>
      </c>
      <c r="C21" s="177">
        <v>6.5</v>
      </c>
    </row>
    <row r="22" spans="1:3" x14ac:dyDescent="0.2">
      <c r="A22" t="str">
        <f>IF(B18=B22,IF(C18=C22,"Check Total OK","Check Total Error"),"Check Total Error")</f>
        <v>Check Total OK</v>
      </c>
      <c r="B22" s="169">
        <f>SUM(B19:B21)</f>
        <v>21502.42</v>
      </c>
      <c r="C22" s="169">
        <f>SUM(C19:C21)</f>
        <v>3218.09</v>
      </c>
    </row>
    <row r="23" spans="1:3" x14ac:dyDescent="0.2">
      <c r="B23" s="168"/>
      <c r="C23" s="168"/>
    </row>
    <row r="24" spans="1:3" x14ac:dyDescent="0.2">
      <c r="B24" s="306" t="s">
        <v>779</v>
      </c>
      <c r="C24" s="306"/>
    </row>
    <row r="25" spans="1:3" x14ac:dyDescent="0.2">
      <c r="A25" s="176" t="s">
        <v>784</v>
      </c>
      <c r="B25" s="304" t="s">
        <v>704</v>
      </c>
      <c r="C25" s="305"/>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6" t="s">
        <v>779</v>
      </c>
      <c r="C33" s="306"/>
    </row>
    <row r="34" spans="1:3" x14ac:dyDescent="0.2">
      <c r="A34" s="176" t="s">
        <v>785</v>
      </c>
      <c r="B34" s="304" t="s">
        <v>705</v>
      </c>
      <c r="C34" s="305"/>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v>0</v>
      </c>
      <c r="C37" s="177">
        <v>0</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3"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6" t="s">
        <v>892</v>
      </c>
      <c r="B1" s="309"/>
      <c r="C1" s="309"/>
      <c r="D1" s="309"/>
      <c r="E1" s="309"/>
      <c r="F1" s="309"/>
      <c r="G1" s="309"/>
      <c r="H1" s="309"/>
      <c r="I1" s="131"/>
    </row>
    <row r="2" spans="1:9" x14ac:dyDescent="0.2">
      <c r="A2" s="32" t="s">
        <v>713</v>
      </c>
      <c r="B2" s="196" t="str">
        <f>'DOE25'!A2</f>
        <v>Stark</v>
      </c>
      <c r="C2" s="208"/>
      <c r="D2" s="131" t="s">
        <v>787</v>
      </c>
      <c r="E2" s="131" t="s">
        <v>789</v>
      </c>
      <c r="F2" s="307" t="s">
        <v>891</v>
      </c>
      <c r="G2" s="308"/>
      <c r="H2" s="308"/>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691234.34000000008</v>
      </c>
      <c r="D5" s="19">
        <f>SUM('DOE25'!L198:L201)+SUM('DOE25'!L216:L219)+SUM('DOE25'!L234:L237)-F5-G5-H5</f>
        <v>688654.27000000014</v>
      </c>
      <c r="E5" s="180"/>
      <c r="F5" s="181"/>
      <c r="G5" s="19">
        <f>SUM('DOE25'!J198:J201)+SUM('DOE25'!J216:J219)+SUM('DOE25'!J234:J237)</f>
        <v>2580.0700000000002</v>
      </c>
      <c r="H5" s="19">
        <f>SUM('DOE25'!K198:K201)+SUM('DOE25'!K216:K219)+SUM('DOE25'!K234:K237)</f>
        <v>0</v>
      </c>
      <c r="I5" s="192"/>
    </row>
    <row r="6" spans="1:9" x14ac:dyDescent="0.2">
      <c r="A6" s="31">
        <v>2100</v>
      </c>
      <c r="B6" t="s">
        <v>796</v>
      </c>
      <c r="C6" s="206">
        <f t="shared" si="0"/>
        <v>14569.82</v>
      </c>
      <c r="D6" s="19">
        <f>'DOE25'!L203+'DOE25'!L221+'DOE25'!L239-F6-G6-H6</f>
        <v>14569.82</v>
      </c>
      <c r="E6" s="180"/>
      <c r="F6" s="181"/>
      <c r="G6" s="19">
        <f>'DOE25'!J203+'DOE25'!J221+'DOE25'!J239</f>
        <v>0</v>
      </c>
      <c r="H6" s="19">
        <f>'DOE25'!K203+'DOE25'!K221+'DOE25'!K239</f>
        <v>0</v>
      </c>
      <c r="I6" s="192"/>
    </row>
    <row r="7" spans="1:9" x14ac:dyDescent="0.2">
      <c r="A7" s="31">
        <v>2200</v>
      </c>
      <c r="B7" t="s">
        <v>821</v>
      </c>
      <c r="C7" s="206">
        <f t="shared" si="0"/>
        <v>1245.01</v>
      </c>
      <c r="D7" s="19">
        <f>'DOE25'!L204+'DOE25'!L222+'DOE25'!L240-F7-G7-H7</f>
        <v>1245.01</v>
      </c>
      <c r="E7" s="180"/>
      <c r="F7" s="181"/>
      <c r="G7" s="19">
        <f>'DOE25'!J204+'DOE25'!J222+'DOE25'!J240</f>
        <v>0</v>
      </c>
      <c r="H7" s="19">
        <f>'DOE25'!K204+'DOE25'!K222+'DOE25'!K240</f>
        <v>0</v>
      </c>
      <c r="I7" s="192"/>
    </row>
    <row r="8" spans="1:9" x14ac:dyDescent="0.2">
      <c r="A8" s="31">
        <v>2300</v>
      </c>
      <c r="B8" t="s">
        <v>797</v>
      </c>
      <c r="C8" s="206">
        <f t="shared" si="0"/>
        <v>79830.49000000002</v>
      </c>
      <c r="D8" s="180"/>
      <c r="E8" s="19">
        <f>'DOE25'!L205+'DOE25'!L223+'DOE25'!L241-F8-G8-H8-D9-D11</f>
        <v>77524.080000000016</v>
      </c>
      <c r="F8" s="181"/>
      <c r="G8" s="19">
        <f>'DOE25'!J205+'DOE25'!J223+'DOE25'!J241</f>
        <v>0</v>
      </c>
      <c r="H8" s="19">
        <f>'DOE25'!K205+'DOE25'!K223+'DOE25'!K241</f>
        <v>2306.41</v>
      </c>
      <c r="I8" s="192"/>
    </row>
    <row r="9" spans="1:9" ht="14.25" x14ac:dyDescent="0.2">
      <c r="A9" s="31">
        <v>2310</v>
      </c>
      <c r="B9" s="71" t="s">
        <v>888</v>
      </c>
      <c r="C9" s="206">
        <f t="shared" si="0"/>
        <v>28217.200000000001</v>
      </c>
      <c r="D9" s="181">
        <v>28217.200000000001</v>
      </c>
      <c r="E9" s="180"/>
      <c r="F9" s="180"/>
      <c r="G9" s="180"/>
      <c r="H9" s="180"/>
      <c r="I9" s="192"/>
    </row>
    <row r="10" spans="1:9" ht="14.25" x14ac:dyDescent="0.2">
      <c r="A10" s="31">
        <v>2317</v>
      </c>
      <c r="B10" s="71" t="s">
        <v>889</v>
      </c>
      <c r="C10" s="206">
        <f t="shared" si="0"/>
        <v>8725</v>
      </c>
      <c r="D10" s="180"/>
      <c r="E10" s="181">
        <v>8725</v>
      </c>
      <c r="F10" s="180"/>
      <c r="G10" s="180"/>
      <c r="H10" s="180"/>
      <c r="I10" s="192"/>
    </row>
    <row r="11" spans="1:9" ht="14.25" x14ac:dyDescent="0.2">
      <c r="A11" s="31">
        <v>2321</v>
      </c>
      <c r="B11" s="71" t="s">
        <v>890</v>
      </c>
      <c r="C11" s="206">
        <f t="shared" si="0"/>
        <v>27088.51</v>
      </c>
      <c r="D11" s="181">
        <v>27088.51</v>
      </c>
      <c r="E11" s="180"/>
      <c r="F11" s="180"/>
      <c r="G11" s="180"/>
      <c r="H11" s="180"/>
      <c r="I11" s="192"/>
    </row>
    <row r="12" spans="1:9" x14ac:dyDescent="0.2">
      <c r="A12" s="31">
        <v>2400</v>
      </c>
      <c r="B12" t="s">
        <v>711</v>
      </c>
      <c r="C12" s="206">
        <f t="shared" si="0"/>
        <v>52915.59</v>
      </c>
      <c r="D12" s="19">
        <f>'DOE25'!L206+'DOE25'!L224+'DOE25'!L242-F12-G12-H12</f>
        <v>50514.7</v>
      </c>
      <c r="E12" s="180"/>
      <c r="F12" s="181"/>
      <c r="G12" s="19">
        <f>'DOE25'!J206+'DOE25'!J224+'DOE25'!J242</f>
        <v>436</v>
      </c>
      <c r="H12" s="19">
        <f>'DOE25'!K206+'DOE25'!K224+'DOE25'!K242</f>
        <v>1964.89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51935.75</v>
      </c>
      <c r="D14" s="19">
        <f>'DOE25'!L208+'DOE25'!L226+'DOE25'!L244-F14-G14-H14</f>
        <v>51569.06</v>
      </c>
      <c r="E14" s="180"/>
      <c r="F14" s="181"/>
      <c r="G14" s="19">
        <f>'DOE25'!J208+'DOE25'!J226+'DOE25'!J244</f>
        <v>366.69</v>
      </c>
      <c r="H14" s="19">
        <f>'DOE25'!K208+'DOE25'!K226+'DOE25'!K244</f>
        <v>0</v>
      </c>
      <c r="I14" s="192"/>
    </row>
    <row r="15" spans="1:9" x14ac:dyDescent="0.2">
      <c r="A15" s="31">
        <v>2700</v>
      </c>
      <c r="B15" t="s">
        <v>799</v>
      </c>
      <c r="C15" s="206">
        <f t="shared" si="0"/>
        <v>54331.75</v>
      </c>
      <c r="D15" s="19">
        <f>'DOE25'!L209+'DOE25'!L227+'DOE25'!L245-F15-G15-H15</f>
        <v>25000</v>
      </c>
      <c r="E15" s="180"/>
      <c r="F15" s="181">
        <v>29331.75</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36350.29</v>
      </c>
      <c r="D29" s="212">
        <f>'DOE25'!L359+'DOE25'!L360+'DOE25'!L361-'DOE25'!I368-F29-G29-H29</f>
        <v>28017.61</v>
      </c>
      <c r="E29" s="180"/>
      <c r="F29" s="181">
        <v>8332.68</v>
      </c>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30217.149999999998</v>
      </c>
      <c r="D31" s="19">
        <f>'DOE25'!L291+'DOE25'!L310+'DOE25'!L329+'DOE25'!L334+'DOE25'!L335+'DOE25'!L336-F31-G31-H31</f>
        <v>25285.41</v>
      </c>
      <c r="E31" s="180"/>
      <c r="F31" s="181"/>
      <c r="G31" s="19">
        <f>'DOE25'!J291+'DOE25'!J310+'DOE25'!J329+'DOE25'!J334+'DOE25'!J335+'DOE25'!J336</f>
        <v>1340.1</v>
      </c>
      <c r="H31" s="19">
        <f>'DOE25'!K291+'DOE25'!K310+'DOE25'!K329+'DOE25'!K334+'DOE25'!K335+'DOE25'!K336</f>
        <v>3591.6400000000003</v>
      </c>
      <c r="I31" s="192"/>
    </row>
    <row r="32" spans="1:9" ht="12" thickBot="1" x14ac:dyDescent="0.25">
      <c r="C32" s="207"/>
      <c r="G32" s="188"/>
      <c r="H32" s="188"/>
      <c r="I32" s="194"/>
    </row>
    <row r="33" spans="1:9" ht="12" thickTop="1" x14ac:dyDescent="0.2">
      <c r="B33" t="s">
        <v>809</v>
      </c>
      <c r="D33" s="182">
        <f t="shared" ref="D33:I33" si="1">SUM(D5:D31)</f>
        <v>940161.59000000008</v>
      </c>
      <c r="E33" s="182">
        <f t="shared" si="1"/>
        <v>86249.080000000016</v>
      </c>
      <c r="F33" s="182">
        <f t="shared" si="1"/>
        <v>37664.43</v>
      </c>
      <c r="G33" s="182">
        <f t="shared" si="1"/>
        <v>4722.8600000000006</v>
      </c>
      <c r="H33" s="182">
        <f t="shared" si="1"/>
        <v>7862.9400000000005</v>
      </c>
      <c r="I33" s="182">
        <f t="shared" si="1"/>
        <v>0</v>
      </c>
    </row>
    <row r="35" spans="1:9" ht="12" thickBot="1" x14ac:dyDescent="0.25">
      <c r="B35" s="188" t="s">
        <v>831</v>
      </c>
      <c r="D35" s="189">
        <f>E33</f>
        <v>86249.080000000016</v>
      </c>
      <c r="E35" s="185"/>
      <c r="F35" s="255" t="s">
        <v>1617</v>
      </c>
      <c r="G35" s="256"/>
      <c r="H35" s="256"/>
      <c r="I35" s="256"/>
    </row>
    <row r="36" spans="1:9" ht="12" thickTop="1" x14ac:dyDescent="0.2">
      <c r="B36" t="s">
        <v>810</v>
      </c>
      <c r="D36" s="19">
        <f>D33</f>
        <v>940161.59000000008</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10" t="s">
        <v>900</v>
      </c>
      <c r="C53" s="310"/>
      <c r="D53" s="310"/>
      <c r="E53" s="310"/>
      <c r="F53" s="310"/>
      <c r="G53" s="310"/>
      <c r="H53" s="310"/>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Stark</v>
      </c>
      <c r="B2">
        <f>'DOE25'!B2</f>
        <v>499</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573730.61</v>
      </c>
      <c r="G4" s="229">
        <f>'DOE25'!L212+'DOE25'!L291</f>
        <v>573730.6100000001</v>
      </c>
      <c r="H4" s="267">
        <f>F4-G4</f>
        <v>0</v>
      </c>
      <c r="I4" s="311"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2"/>
      <c r="N5"/>
    </row>
    <row r="6" spans="1:18" x14ac:dyDescent="0.2">
      <c r="A6" t="str" cm="1">
        <f t="array" ref="A6">IFERROR(INDEX('School Tables'!$A$4:$G$325,'School Tables'!$J4,3),"")</f>
        <v>Stark Village School</v>
      </c>
      <c r="B6" s="230">
        <f>IFERROR(VLOOKUP(A6,'School Tables'!$C$3:$D$365,2,FALSE),"")</f>
        <v>22910</v>
      </c>
      <c r="C6" s="223" t="str">
        <f>IFERROR(INDEX('School Tables'!$B$3:$B$365,MATCH('School Level Expenditures'!B6,'School Tables'!$D$3:$D$365,0)),"")</f>
        <v>Stark</v>
      </c>
      <c r="D6" s="299">
        <v>543513.46</v>
      </c>
      <c r="E6" s="299">
        <v>30217.15</v>
      </c>
      <c r="F6" s="232">
        <f t="shared" ref="F6:F20" si="0">D6+E6</f>
        <v>573730.61</v>
      </c>
      <c r="G6" s="223"/>
      <c r="H6" s="223"/>
      <c r="I6" s="312"/>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543513.46</v>
      </c>
      <c r="E21" s="265">
        <f>SUM(E5:E20)</f>
        <v>30217.15</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0</v>
      </c>
      <c r="G24" s="229">
        <f>'DOE25'!L230+'DOE25'!L310</f>
        <v>0</v>
      </c>
      <c r="H24" s="267">
        <f>F24-G24</f>
        <v>0</v>
      </c>
      <c r="I24" s="311" t="str">
        <f>IF(H24=0,"","ISSUES!! Please review page 8 and 12 totals in comparison with total on this page")</f>
        <v/>
      </c>
      <c r="N24"/>
    </row>
    <row r="25" spans="1:14" x14ac:dyDescent="0.2">
      <c r="A25" t="s">
        <v>1548</v>
      </c>
      <c r="B25" s="230">
        <v>99999</v>
      </c>
      <c r="C25" s="223" t="s">
        <v>1548</v>
      </c>
      <c r="D25" s="220">
        <v>0</v>
      </c>
      <c r="E25" s="220"/>
      <c r="F25" s="232">
        <f>D25+E25</f>
        <v>0</v>
      </c>
      <c r="G25" s="223"/>
      <c r="H25" s="223"/>
      <c r="I25" s="312"/>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2"/>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0</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457855</v>
      </c>
      <c r="G36" s="229">
        <f>'DOE25'!L248+'DOE25'!L329</f>
        <v>457855</v>
      </c>
      <c r="H36" s="267">
        <f>F36-G36</f>
        <v>0</v>
      </c>
      <c r="I36" s="311" t="str">
        <f>IF(H36=0,"","ISSUES!! Please review page 9 and 13 totals in comparison with total on this page")</f>
        <v/>
      </c>
      <c r="N36"/>
    </row>
    <row r="37" spans="1:14" x14ac:dyDescent="0.2">
      <c r="A37" t="s">
        <v>1548</v>
      </c>
      <c r="B37" s="230">
        <v>99999</v>
      </c>
      <c r="C37" s="223" t="s">
        <v>1548</v>
      </c>
      <c r="D37" s="220">
        <v>457855</v>
      </c>
      <c r="E37" s="220"/>
      <c r="F37" s="232">
        <f t="shared" ref="F37:F42" si="2">D37+E37</f>
        <v>457855</v>
      </c>
      <c r="G37" s="223"/>
      <c r="H37" s="223"/>
      <c r="I37" s="312"/>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2"/>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457855</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10"/>
      <c r="B58" s="310"/>
      <c r="C58" s="310"/>
      <c r="D58" s="310"/>
      <c r="E58" s="310"/>
      <c r="F58" s="310"/>
      <c r="G58" s="310"/>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2" priority="19" operator="equal">
      <formula>0</formula>
    </cfRule>
    <cfRule type="cellIs" dxfId="11" priority="20" operator="notEqual">
      <formula>0</formula>
    </cfRule>
  </conditionalFormatting>
  <conditionalFormatting sqref="H24">
    <cfRule type="cellIs" dxfId="10" priority="5" operator="equal">
      <formula>0</formula>
    </cfRule>
    <cfRule type="cellIs" dxfId="9" priority="6" operator="notEqual">
      <formula>0</formula>
    </cfRule>
  </conditionalFormatting>
  <conditionalFormatting sqref="H36">
    <cfRule type="cellIs" dxfId="8" priority="1" operator="equal">
      <formula>0</formula>
    </cfRule>
    <cfRule type="cellIs" dxfId="7"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Stark</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118637.29</v>
      </c>
      <c r="D8" s="73">
        <f>'DOE25'!G9</f>
        <v>0</v>
      </c>
      <c r="E8" s="73">
        <f>'DOE25'!H9</f>
        <v>0</v>
      </c>
      <c r="F8" s="73">
        <f>'DOE25'!I9</f>
        <v>0</v>
      </c>
      <c r="G8" s="73">
        <f>'DOE25'!J9</f>
        <v>330138.39</v>
      </c>
      <c r="H8" s="90">
        <f>SUM(C8:G8)</f>
        <v>448775.67999999999</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28267.919999999998</v>
      </c>
      <c r="D11" s="73">
        <f>'DOE25'!G12</f>
        <v>0</v>
      </c>
      <c r="E11" s="73">
        <f>'DOE25'!H12</f>
        <v>0</v>
      </c>
      <c r="F11" s="73">
        <f>'DOE25'!I12</f>
        <v>0</v>
      </c>
      <c r="G11" s="73">
        <f>'DOE25'!J12</f>
        <v>0</v>
      </c>
      <c r="H11" s="90">
        <f t="shared" si="0"/>
        <v>28267.919999999998</v>
      </c>
      <c r="I11" s="90"/>
    </row>
    <row r="12" spans="1:9" x14ac:dyDescent="0.2">
      <c r="A12" s="1" t="s">
        <v>143</v>
      </c>
      <c r="B12" s="6">
        <v>140</v>
      </c>
      <c r="C12" s="73">
        <f>'DOE25'!F13</f>
        <v>0</v>
      </c>
      <c r="D12" s="73">
        <f>'DOE25'!G13</f>
        <v>0</v>
      </c>
      <c r="E12" s="73">
        <f>'DOE25'!H13</f>
        <v>0</v>
      </c>
      <c r="F12" s="73">
        <f>'DOE25'!I13</f>
        <v>0</v>
      </c>
      <c r="G12" s="73">
        <f>'DOE25'!J13</f>
        <v>0</v>
      </c>
      <c r="H12" s="90">
        <f t="shared" si="0"/>
        <v>0</v>
      </c>
      <c r="I12" s="90"/>
    </row>
    <row r="13" spans="1:9" x14ac:dyDescent="0.2">
      <c r="A13" s="1" t="s">
        <v>144</v>
      </c>
      <c r="B13" s="6">
        <v>150</v>
      </c>
      <c r="C13" s="73">
        <f>'DOE25'!F14</f>
        <v>0</v>
      </c>
      <c r="D13" s="73">
        <f>'DOE25'!G14</f>
        <v>6414.9</v>
      </c>
      <c r="E13" s="73">
        <f>'DOE25'!H14</f>
        <v>21853.02</v>
      </c>
      <c r="F13" s="73">
        <f>'DOE25'!I14</f>
        <v>0</v>
      </c>
      <c r="G13" s="73">
        <f>'DOE25'!J14</f>
        <v>0</v>
      </c>
      <c r="H13" s="90">
        <f t="shared" si="0"/>
        <v>28267.919999999998</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146905.21</v>
      </c>
      <c r="D18" s="38">
        <f>SUM(D8:D17)</f>
        <v>6414.9</v>
      </c>
      <c r="E18" s="38">
        <f>SUM(E8:E17)</f>
        <v>21853.02</v>
      </c>
      <c r="F18" s="38">
        <f>SUM(F8:F17)</f>
        <v>0</v>
      </c>
      <c r="G18" s="38">
        <f>SUM(G8:G17)</f>
        <v>330138.39</v>
      </c>
      <c r="H18" s="38">
        <f t="shared" si="0"/>
        <v>505311.52</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6414.9</v>
      </c>
      <c r="E21" s="73">
        <f>'DOE25'!H22</f>
        <v>21853.02</v>
      </c>
      <c r="F21" s="73">
        <f>'DOE25'!I22</f>
        <v>0</v>
      </c>
      <c r="G21" s="73">
        <f>'DOE25'!J22</f>
        <v>0</v>
      </c>
      <c r="H21" s="90">
        <f t="shared" ref="H21:H31" si="1">SUM(C21:G21)</f>
        <v>28267.919999999998</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0</v>
      </c>
      <c r="D23" s="73">
        <f>'DOE25'!G24</f>
        <v>0</v>
      </c>
      <c r="E23" s="73">
        <f>'DOE25'!H24</f>
        <v>0</v>
      </c>
      <c r="F23" s="73">
        <f>'DOE25'!I24</f>
        <v>0</v>
      </c>
      <c r="G23" s="73">
        <f>'DOE25'!J24</f>
        <v>0</v>
      </c>
      <c r="H23" s="90">
        <f t="shared" si="1"/>
        <v>0</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514.29999999999995</v>
      </c>
      <c r="D29" s="73">
        <f>'DOE25'!G30</f>
        <v>0</v>
      </c>
      <c r="E29" s="73">
        <f>'DOE25'!H30</f>
        <v>0</v>
      </c>
      <c r="F29" s="73">
        <f>'DOE25'!I30</f>
        <v>0</v>
      </c>
      <c r="G29" s="23" t="s">
        <v>288</v>
      </c>
      <c r="H29" s="90">
        <f t="shared" si="1"/>
        <v>514.29999999999995</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514.29999999999995</v>
      </c>
      <c r="D31" s="38">
        <f>SUM(D21:D30)</f>
        <v>6414.9</v>
      </c>
      <c r="E31" s="38">
        <f>SUM(E21:E30)</f>
        <v>21853.02</v>
      </c>
      <c r="F31" s="38">
        <f>SUM(F21:F30)</f>
        <v>0</v>
      </c>
      <c r="G31" s="38">
        <f>SUM(G21:G30)</f>
        <v>0</v>
      </c>
      <c r="H31" s="38">
        <f t="shared" si="1"/>
        <v>28782.22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330138.39</v>
      </c>
      <c r="H42" s="90">
        <f t="shared" si="2"/>
        <v>330138.39</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39100.1</v>
      </c>
      <c r="D45" s="23" t="s">
        <v>288</v>
      </c>
      <c r="E45" s="23" t="s">
        <v>288</v>
      </c>
      <c r="F45" s="23" t="s">
        <v>288</v>
      </c>
      <c r="G45" s="23" t="s">
        <v>288</v>
      </c>
      <c r="H45" s="90">
        <f t="shared" si="2"/>
        <v>39100.1</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0</v>
      </c>
      <c r="F47" s="73">
        <f>'DOE25'!I48</f>
        <v>0</v>
      </c>
      <c r="G47" s="73">
        <f>'DOE25'!J48</f>
        <v>0</v>
      </c>
      <c r="H47" s="90">
        <f t="shared" si="2"/>
        <v>0</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107290.81</v>
      </c>
      <c r="D49" s="23" t="s">
        <v>288</v>
      </c>
      <c r="E49" s="23" t="s">
        <v>288</v>
      </c>
      <c r="F49" s="23" t="s">
        <v>288</v>
      </c>
      <c r="G49" s="23" t="s">
        <v>288</v>
      </c>
      <c r="H49" s="90">
        <f t="shared" si="2"/>
        <v>107290.81</v>
      </c>
      <c r="I49" s="90"/>
    </row>
    <row r="50" spans="1:9" ht="12.75" thickTop="1" thickBot="1" x14ac:dyDescent="0.25">
      <c r="A50" s="35" t="s">
        <v>884</v>
      </c>
      <c r="B50" s="44"/>
      <c r="C50" s="38">
        <f>SUM(C34:C49)</f>
        <v>146390.91</v>
      </c>
      <c r="D50" s="38">
        <f>SUM(D34:D49)</f>
        <v>0</v>
      </c>
      <c r="E50" s="38">
        <f>SUM(E34:E49)</f>
        <v>0</v>
      </c>
      <c r="F50" s="38">
        <f>SUM(F34:F49)</f>
        <v>0</v>
      </c>
      <c r="G50" s="38">
        <f>SUM(G34:G49)</f>
        <v>330138.39</v>
      </c>
      <c r="H50" s="38">
        <f t="shared" si="2"/>
        <v>476529.30000000005</v>
      </c>
      <c r="I50" s="90"/>
    </row>
    <row r="51" spans="1:9" ht="12" thickTop="1" x14ac:dyDescent="0.2">
      <c r="A51" s="35" t="s">
        <v>885</v>
      </c>
      <c r="B51" s="2"/>
      <c r="C51" s="38">
        <f>C50+C31</f>
        <v>146905.21</v>
      </c>
      <c r="D51" s="38">
        <f>D50+D31</f>
        <v>6414.9</v>
      </c>
      <c r="E51" s="38">
        <f>E50+E31</f>
        <v>21853.02</v>
      </c>
      <c r="F51" s="38">
        <f>F50+F31</f>
        <v>0</v>
      </c>
      <c r="G51" s="38">
        <f>G50+G31</f>
        <v>330138.39</v>
      </c>
      <c r="H51" s="38">
        <f t="shared" si="2"/>
        <v>505311.52</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671505</v>
      </c>
      <c r="D56" s="73">
        <f>'DOE25'!G60</f>
        <v>0</v>
      </c>
      <c r="E56" s="73">
        <f>'DOE25'!H60</f>
        <v>0</v>
      </c>
      <c r="F56" s="73">
        <f>'DOE25'!I60</f>
        <v>0</v>
      </c>
      <c r="G56" s="73">
        <f>'DOE25'!J60</f>
        <v>0</v>
      </c>
      <c r="H56" s="90">
        <f t="shared" ref="H56:H63" si="3">SUM(C56:G56)</f>
        <v>671505</v>
      </c>
      <c r="I56"/>
    </row>
    <row r="57" spans="1:9" x14ac:dyDescent="0.2">
      <c r="A57" s="1" t="s">
        <v>164</v>
      </c>
      <c r="B57" s="6" t="s">
        <v>165</v>
      </c>
      <c r="C57" s="73">
        <f>'DOE25'!F79</f>
        <v>0</v>
      </c>
      <c r="D57" s="23" t="s">
        <v>288</v>
      </c>
      <c r="E57" s="73">
        <f>'DOE25'!H79</f>
        <v>0</v>
      </c>
      <c r="F57" s="23" t="s">
        <v>288</v>
      </c>
      <c r="G57" s="23" t="s">
        <v>288</v>
      </c>
      <c r="H57" s="90">
        <f t="shared" si="3"/>
        <v>0</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261</v>
      </c>
      <c r="D59" s="73">
        <f>'DOE25'!G96</f>
        <v>0</v>
      </c>
      <c r="E59" s="73">
        <f>'DOE25'!H96</f>
        <v>0</v>
      </c>
      <c r="F59" s="73">
        <f>'DOE25'!I96</f>
        <v>0</v>
      </c>
      <c r="G59" s="73">
        <f>'DOE25'!J96</f>
        <v>0</v>
      </c>
      <c r="H59" s="90">
        <f t="shared" si="3"/>
        <v>261</v>
      </c>
      <c r="I59"/>
    </row>
    <row r="60" spans="1:9" x14ac:dyDescent="0.2">
      <c r="A60" s="1" t="s">
        <v>170</v>
      </c>
      <c r="B60" s="22" t="s">
        <v>171</v>
      </c>
      <c r="C60" s="23" t="s">
        <v>288</v>
      </c>
      <c r="D60" s="73">
        <f>'DOE25'!G97</f>
        <v>1719.8</v>
      </c>
      <c r="E60" s="23" t="s">
        <v>288</v>
      </c>
      <c r="F60" s="23" t="s">
        <v>288</v>
      </c>
      <c r="G60" s="23" t="s">
        <v>288</v>
      </c>
      <c r="H60" s="90">
        <f t="shared" si="3"/>
        <v>1719.8</v>
      </c>
      <c r="I60"/>
    </row>
    <row r="61" spans="1:9" ht="12" thickBot="1" x14ac:dyDescent="0.25">
      <c r="A61" s="1" t="s">
        <v>172</v>
      </c>
      <c r="B61" s="22" t="s">
        <v>173</v>
      </c>
      <c r="C61" s="73">
        <f>SUM('DOE25'!F98:F110)</f>
        <v>185</v>
      </c>
      <c r="D61" s="73">
        <f>SUM('DOE25'!G98:G110)</f>
        <v>1081.79</v>
      </c>
      <c r="E61" s="73">
        <f>SUM('DOE25'!H98:H110)</f>
        <v>0</v>
      </c>
      <c r="F61" s="73">
        <f>SUM('DOE25'!I98:I110)</f>
        <v>0</v>
      </c>
      <c r="G61" s="73">
        <f>SUM('DOE25'!J98:J110)</f>
        <v>0</v>
      </c>
      <c r="H61" s="90">
        <f t="shared" si="3"/>
        <v>1266.79</v>
      </c>
      <c r="I61"/>
    </row>
    <row r="62" spans="1:9" ht="12.75" thickTop="1" thickBot="1" x14ac:dyDescent="0.25">
      <c r="A62" s="28" t="s">
        <v>174</v>
      </c>
      <c r="B62" s="6"/>
      <c r="C62" s="93">
        <f>SUM(C57:C61)</f>
        <v>446</v>
      </c>
      <c r="D62" s="93">
        <f>SUM(D57:D61)</f>
        <v>2801.59</v>
      </c>
      <c r="E62" s="93">
        <f>SUM(E57:E61)</f>
        <v>0</v>
      </c>
      <c r="F62" s="93">
        <f>SUM(F57:F61)</f>
        <v>0</v>
      </c>
      <c r="G62" s="93">
        <f>SUM(G57:G61)</f>
        <v>0</v>
      </c>
      <c r="H62" s="90">
        <f t="shared" si="3"/>
        <v>3247.59</v>
      </c>
      <c r="I62"/>
    </row>
    <row r="63" spans="1:9" ht="12" thickTop="1" x14ac:dyDescent="0.2">
      <c r="A63" s="28" t="s">
        <v>175</v>
      </c>
      <c r="B63" s="6"/>
      <c r="C63" s="21">
        <f>C56+C62</f>
        <v>671951</v>
      </c>
      <c r="D63" s="21">
        <f>D56+D62</f>
        <v>2801.59</v>
      </c>
      <c r="E63" s="21">
        <f>E56+E62</f>
        <v>0</v>
      </c>
      <c r="F63" s="21">
        <f>F56+F62</f>
        <v>0</v>
      </c>
      <c r="G63" s="21">
        <f>G56+G62</f>
        <v>0</v>
      </c>
      <c r="H63" s="90">
        <f t="shared" si="3"/>
        <v>674752.59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309841.38</v>
      </c>
      <c r="D66" s="23" t="s">
        <v>288</v>
      </c>
      <c r="E66" s="23" t="s">
        <v>288</v>
      </c>
      <c r="F66" s="23" t="s">
        <v>288</v>
      </c>
      <c r="G66" s="23" t="s">
        <v>288</v>
      </c>
      <c r="H66" s="90">
        <f t="shared" ref="H66:H81" si="4">SUM(C66:G66)</f>
        <v>309841.38</v>
      </c>
      <c r="I66"/>
    </row>
    <row r="67" spans="1:9" x14ac:dyDescent="0.2">
      <c r="A67" s="1" t="s">
        <v>770</v>
      </c>
      <c r="B67" s="6">
        <v>3112</v>
      </c>
      <c r="C67" s="73">
        <f>'DOE25'!F118</f>
        <v>110497</v>
      </c>
      <c r="D67" s="23"/>
      <c r="E67" s="23"/>
      <c r="F67" s="23"/>
      <c r="G67" s="23"/>
      <c r="H67" s="90">
        <f t="shared" si="4"/>
        <v>110497</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90">
        <f t="shared" si="4"/>
        <v>0</v>
      </c>
      <c r="I69"/>
    </row>
    <row r="70" spans="1:9" ht="12" thickTop="1" x14ac:dyDescent="0.2">
      <c r="A70" s="28" t="s">
        <v>252</v>
      </c>
      <c r="B70" s="2"/>
      <c r="C70" s="97">
        <f>SUM(C66:C69)</f>
        <v>420338.38</v>
      </c>
      <c r="D70" s="97">
        <f>D69</f>
        <v>0</v>
      </c>
      <c r="E70" s="97">
        <f>E69</f>
        <v>0</v>
      </c>
      <c r="F70" s="97">
        <f>F69</f>
        <v>0</v>
      </c>
      <c r="G70" s="97">
        <f>G69</f>
        <v>0</v>
      </c>
      <c r="H70" s="90">
        <f t="shared" si="4"/>
        <v>420338.38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0</v>
      </c>
      <c r="D75" s="23" t="s">
        <v>288</v>
      </c>
      <c r="E75" s="23" t="s">
        <v>288</v>
      </c>
      <c r="F75" s="23" t="s">
        <v>288</v>
      </c>
      <c r="G75" s="23" t="s">
        <v>288</v>
      </c>
      <c r="H75" s="90">
        <f t="shared" si="4"/>
        <v>0</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252.19</v>
      </c>
      <c r="E77" s="73">
        <f>SUM('DOE25'!H131:H135)</f>
        <v>0</v>
      </c>
      <c r="F77" s="73">
        <f>SUM('DOE25'!I131:I135)</f>
        <v>0</v>
      </c>
      <c r="G77" s="73">
        <f>SUM('DOE25'!J131:J135)</f>
        <v>0</v>
      </c>
      <c r="H77" s="90">
        <f t="shared" si="4"/>
        <v>252.19</v>
      </c>
      <c r="I77"/>
    </row>
    <row r="78" spans="1:9" ht="12.75" thickTop="1" thickBot="1" x14ac:dyDescent="0.25">
      <c r="A78" s="28" t="s">
        <v>259</v>
      </c>
      <c r="B78" s="6"/>
      <c r="C78" s="93">
        <f>SUM(C72:C77)</f>
        <v>0</v>
      </c>
      <c r="D78" s="93">
        <f>SUM(D72:D77)</f>
        <v>252.19</v>
      </c>
      <c r="E78" s="93">
        <f>SUM(E72:E77)</f>
        <v>0</v>
      </c>
      <c r="F78" s="93">
        <f>SUM(F72:F77)</f>
        <v>0</v>
      </c>
      <c r="G78" s="93">
        <f>SUM(G72:G77)</f>
        <v>0</v>
      </c>
      <c r="H78" s="90">
        <f t="shared" si="4"/>
        <v>252.19</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420338.38</v>
      </c>
      <c r="D81" s="93">
        <f>SUM(D79:D80)+D78+D70</f>
        <v>252.19</v>
      </c>
      <c r="E81" s="93">
        <f>SUM(E79:E80)+E78+E70</f>
        <v>0</v>
      </c>
      <c r="F81" s="93">
        <f>SUM(F79:F80)+F78+F70</f>
        <v>0</v>
      </c>
      <c r="G81" s="93">
        <f>SUM(G79:G80)+G78+G70</f>
        <v>0</v>
      </c>
      <c r="H81" s="93">
        <f t="shared" si="4"/>
        <v>420590.57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511.15</v>
      </c>
      <c r="D88" s="253">
        <f>SUM('DOE25'!G153:G162)</f>
        <v>23153.57</v>
      </c>
      <c r="E88" s="253">
        <f>SUM('DOE25'!H153:H162)</f>
        <v>30217.15</v>
      </c>
      <c r="F88" s="253">
        <f>SUM('DOE25'!I153:I162)</f>
        <v>0</v>
      </c>
      <c r="G88" s="23" t="s">
        <v>288</v>
      </c>
      <c r="H88" s="90">
        <f t="shared" si="5"/>
        <v>53881.87</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7038.29</v>
      </c>
      <c r="D90" s="23" t="s">
        <v>288</v>
      </c>
      <c r="E90" s="23" t="s">
        <v>288</v>
      </c>
      <c r="F90" s="23" t="s">
        <v>288</v>
      </c>
      <c r="G90" s="23" t="s">
        <v>288</v>
      </c>
      <c r="H90" s="90">
        <f t="shared" si="5"/>
        <v>7038.29</v>
      </c>
    </row>
    <row r="91" spans="1:9" ht="12.75" thickTop="1" thickBot="1" x14ac:dyDescent="0.25">
      <c r="A91" s="32" t="s">
        <v>750</v>
      </c>
      <c r="C91" s="94">
        <f>SUM(C85:C90)</f>
        <v>7549.44</v>
      </c>
      <c r="D91" s="94">
        <f>SUM(D85:D90)</f>
        <v>23153.57</v>
      </c>
      <c r="E91" s="94">
        <f>SUM(E85:E90)</f>
        <v>30217.15</v>
      </c>
      <c r="F91" s="94">
        <f>SUM(F85:F90)</f>
        <v>0</v>
      </c>
      <c r="G91" s="23" t="s">
        <v>288</v>
      </c>
      <c r="H91" s="90">
        <f t="shared" si="5"/>
        <v>60920.160000000003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10142.94</v>
      </c>
      <c r="E96" s="73">
        <f>'DOE25'!H180</f>
        <v>0</v>
      </c>
      <c r="F96" s="73">
        <f>'DOE25'!I180</f>
        <v>0</v>
      </c>
      <c r="G96" s="73">
        <f>'DOE25'!J180</f>
        <v>0</v>
      </c>
      <c r="H96" s="90">
        <f t="shared" si="5"/>
        <v>10142.94</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17100</v>
      </c>
      <c r="D100" s="73">
        <f>SUM('DOE25'!G187:G188)</f>
        <v>0</v>
      </c>
      <c r="E100" s="73">
        <f>SUM('DOE25'!H187:H188)</f>
        <v>0</v>
      </c>
      <c r="F100" s="73">
        <f>SUM('DOE25'!I187:I188)</f>
        <v>0</v>
      </c>
      <c r="G100" s="23" t="s">
        <v>288</v>
      </c>
      <c r="H100" s="90">
        <f t="shared" si="5"/>
        <v>17100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17100</v>
      </c>
      <c r="D103" s="68">
        <f>SUM(D93:D102)</f>
        <v>10142.94</v>
      </c>
      <c r="E103" s="68">
        <f>SUM(E93:E102)</f>
        <v>0</v>
      </c>
      <c r="F103" s="68">
        <f>SUM(F93:F102)</f>
        <v>0</v>
      </c>
      <c r="G103" s="68">
        <f>SUM(G93:G102)</f>
        <v>0</v>
      </c>
      <c r="H103" s="68">
        <f t="shared" si="5"/>
        <v>27242.940000000002</v>
      </c>
    </row>
    <row r="104" spans="1:8" ht="12.75" thickTop="1" thickBot="1" x14ac:dyDescent="0.25">
      <c r="A104" s="32" t="s">
        <v>761</v>
      </c>
      <c r="C104" s="68">
        <f>C63+C81+C91+C103</f>
        <v>1116938.8199999998</v>
      </c>
      <c r="D104" s="68">
        <f>D63+D81+D91+D103</f>
        <v>36350.29</v>
      </c>
      <c r="E104" s="68">
        <f>E63+E81+E91+E103</f>
        <v>30217.15</v>
      </c>
      <c r="F104" s="68">
        <f>F63+F81+F91+F103</f>
        <v>0</v>
      </c>
      <c r="G104" s="68">
        <f>G63+G81+G103</f>
        <v>0</v>
      </c>
      <c r="H104" s="68">
        <f t="shared" si="5"/>
        <v>1183506.2599999998</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666449.08000000007</v>
      </c>
      <c r="D109" s="23" t="s">
        <v>288</v>
      </c>
      <c r="E109" s="73">
        <f>('DOE25'!L277)+('DOE25'!L296)+('DOE25'!L315)</f>
        <v>8656.17</v>
      </c>
      <c r="F109" s="23" t="s">
        <v>288</v>
      </c>
      <c r="G109" s="23" t="s">
        <v>288</v>
      </c>
      <c r="H109" s="90">
        <f t="shared" ref="H109:H115" si="6">SUM(C109:G109)</f>
        <v>675105.25000000012</v>
      </c>
    </row>
    <row r="110" spans="1:8" x14ac:dyDescent="0.2">
      <c r="A110" t="s">
        <v>198</v>
      </c>
      <c r="B110" s="31" t="s">
        <v>199</v>
      </c>
      <c r="C110" s="73">
        <f>('DOE25'!L199)+('DOE25'!L217)+('DOE25'!L235)</f>
        <v>24785.26</v>
      </c>
      <c r="D110" s="23" t="s">
        <v>288</v>
      </c>
      <c r="E110" s="73">
        <f>('DOE25'!L278)+('DOE25'!L297)+('DOE25'!L316)</f>
        <v>0</v>
      </c>
      <c r="F110" s="23" t="s">
        <v>288</v>
      </c>
      <c r="G110" s="23" t="s">
        <v>288</v>
      </c>
      <c r="H110" s="90">
        <f t="shared" si="6"/>
        <v>24785.26</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0</v>
      </c>
      <c r="D112" s="23" t="s">
        <v>288</v>
      </c>
      <c r="E112" s="73">
        <f>+('DOE25'!L280)+('DOE25'!L299)+('DOE25'!L318)</f>
        <v>0</v>
      </c>
      <c r="F112" s="23" t="s">
        <v>288</v>
      </c>
      <c r="G112" s="23" t="s">
        <v>288</v>
      </c>
      <c r="H112" s="90">
        <f t="shared" si="6"/>
        <v>0</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691234.34000000008</v>
      </c>
      <c r="D115" s="68">
        <f>SUM(D109:D114)</f>
        <v>0</v>
      </c>
      <c r="E115" s="68">
        <f>SUM(E109:E114)</f>
        <v>8656.17</v>
      </c>
      <c r="F115" s="68">
        <f>SUM(F109:F114)</f>
        <v>0</v>
      </c>
      <c r="G115" s="68">
        <f>SUM(G109:G114)</f>
        <v>0</v>
      </c>
      <c r="H115" s="68">
        <f t="shared" si="6"/>
        <v>699890.51000000013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14569.82</v>
      </c>
      <c r="D118" s="23" t="s">
        <v>288</v>
      </c>
      <c r="E118" s="73">
        <f>+('DOE25'!L282)+('DOE25'!L301)+('DOE25'!L320)</f>
        <v>15019.92</v>
      </c>
      <c r="F118" s="23" t="s">
        <v>288</v>
      </c>
      <c r="G118" s="23" t="s">
        <v>288</v>
      </c>
      <c r="H118" s="90">
        <f t="shared" ref="H118:H145" si="7">SUM(C118:G118)</f>
        <v>29589.739999999998</v>
      </c>
    </row>
    <row r="119" spans="1:8" x14ac:dyDescent="0.2">
      <c r="A119" t="s">
        <v>208</v>
      </c>
      <c r="B119" s="31" t="s">
        <v>209</v>
      </c>
      <c r="C119" s="73">
        <f>('DOE25'!L204)+('DOE25'!L222)+('DOE25'!L240)</f>
        <v>1245.01</v>
      </c>
      <c r="D119" s="23" t="s">
        <v>288</v>
      </c>
      <c r="E119" s="73">
        <f>+('DOE25'!L283)+('DOE25'!L302)+('DOE25'!L321)</f>
        <v>4481.26</v>
      </c>
      <c r="F119" s="23" t="s">
        <v>288</v>
      </c>
      <c r="G119" s="23" t="s">
        <v>288</v>
      </c>
      <c r="H119" s="90">
        <f t="shared" si="7"/>
        <v>5726.27</v>
      </c>
    </row>
    <row r="120" spans="1:8" x14ac:dyDescent="0.2">
      <c r="A120" t="s">
        <v>210</v>
      </c>
      <c r="B120" s="31" t="s">
        <v>211</v>
      </c>
      <c r="C120" s="73">
        <f>('DOE25'!L205)+('DOE25'!L223)+('DOE25'!L241)</f>
        <v>135136.20000000001</v>
      </c>
      <c r="D120" s="23" t="s">
        <v>288</v>
      </c>
      <c r="E120" s="73">
        <f>+('DOE25'!L284)+('DOE25'!L303)+('DOE25'!L322)</f>
        <v>0</v>
      </c>
      <c r="F120" s="23" t="s">
        <v>288</v>
      </c>
      <c r="G120" s="23" t="s">
        <v>288</v>
      </c>
      <c r="H120" s="90">
        <f t="shared" si="7"/>
        <v>135136.20000000001</v>
      </c>
    </row>
    <row r="121" spans="1:8" x14ac:dyDescent="0.2">
      <c r="A121" t="s">
        <v>212</v>
      </c>
      <c r="B121" s="31" t="s">
        <v>213</v>
      </c>
      <c r="C121" s="73">
        <f>('DOE25'!L206)+('DOE25'!L224)+('DOE25'!L242)</f>
        <v>52915.59</v>
      </c>
      <c r="D121" s="23" t="s">
        <v>288</v>
      </c>
      <c r="E121" s="73">
        <f>+('DOE25'!L285)+('DOE25'!L304)+('DOE25'!L323)</f>
        <v>0</v>
      </c>
      <c r="F121" s="23" t="s">
        <v>288</v>
      </c>
      <c r="G121" s="23" t="s">
        <v>288</v>
      </c>
      <c r="H121" s="90">
        <f t="shared" si="7"/>
        <v>52915.59</v>
      </c>
    </row>
    <row r="122" spans="1:8" x14ac:dyDescent="0.2">
      <c r="A122" t="s">
        <v>214</v>
      </c>
      <c r="B122" s="31" t="s">
        <v>215</v>
      </c>
      <c r="C122" s="73">
        <f>('DOE25'!L207)+('DOE25'!L225)+('DOE25'!L243)</f>
        <v>0</v>
      </c>
      <c r="D122" s="23" t="s">
        <v>288</v>
      </c>
      <c r="E122" s="73">
        <f>+('DOE25'!L286)+('DOE25'!L305)+('DOE25'!L324)</f>
        <v>0</v>
      </c>
      <c r="F122" s="23" t="s">
        <v>288</v>
      </c>
      <c r="G122" s="23" t="s">
        <v>288</v>
      </c>
      <c r="H122" s="90">
        <f t="shared" si="7"/>
        <v>0</v>
      </c>
    </row>
    <row r="123" spans="1:8" x14ac:dyDescent="0.2">
      <c r="A123" t="s">
        <v>216</v>
      </c>
      <c r="B123" s="31" t="s">
        <v>217</v>
      </c>
      <c r="C123" s="73">
        <f>('DOE25'!L208)+('DOE25'!L226)+('DOE25'!L244)</f>
        <v>51935.75</v>
      </c>
      <c r="D123" s="23" t="s">
        <v>288</v>
      </c>
      <c r="E123" s="73">
        <f>+('DOE25'!L287)+('DOE25'!L306)+('DOE25'!L325)</f>
        <v>2059.7999999999997</v>
      </c>
      <c r="F123" s="23" t="s">
        <v>288</v>
      </c>
      <c r="G123" s="23" t="s">
        <v>288</v>
      </c>
      <c r="H123" s="90">
        <f t="shared" si="7"/>
        <v>53995.55</v>
      </c>
    </row>
    <row r="124" spans="1:8" x14ac:dyDescent="0.2">
      <c r="A124" t="s">
        <v>218</v>
      </c>
      <c r="B124" s="31" t="s">
        <v>219</v>
      </c>
      <c r="C124" s="73">
        <f>('DOE25'!L209)+('DOE25'!L227)+('DOE25'!L245+'DOE25'!L255)</f>
        <v>54331.75</v>
      </c>
      <c r="D124" s="23" t="s">
        <v>288</v>
      </c>
      <c r="E124" s="73">
        <f>+('DOE25'!L288)+('DOE25'!L307)+('DOE25'!L326)</f>
        <v>0</v>
      </c>
      <c r="F124" s="23" t="s">
        <v>288</v>
      </c>
      <c r="G124" s="23" t="s">
        <v>288</v>
      </c>
      <c r="H124" s="90">
        <f t="shared" si="7"/>
        <v>54331.75</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36350.29</v>
      </c>
      <c r="E127" s="23" t="s">
        <v>288</v>
      </c>
      <c r="F127" s="23" t="s">
        <v>288</v>
      </c>
      <c r="G127" s="23" t="s">
        <v>288</v>
      </c>
      <c r="H127" s="90">
        <f t="shared" si="7"/>
        <v>36350.29</v>
      </c>
    </row>
    <row r="128" spans="1:8" ht="12.75" thickTop="1" thickBot="1" x14ac:dyDescent="0.25">
      <c r="A128" s="32" t="s">
        <v>226</v>
      </c>
      <c r="C128" s="68">
        <f>SUM(C118:C127)</f>
        <v>310134.12</v>
      </c>
      <c r="D128" s="68">
        <f>SUM(D118:D127)</f>
        <v>36350.29</v>
      </c>
      <c r="E128" s="68">
        <f>SUM(E118:E127)</f>
        <v>21560.98</v>
      </c>
      <c r="F128" s="68">
        <f>SUM(F118:F127)</f>
        <v>0</v>
      </c>
      <c r="G128" s="68">
        <f>SUM(G118:G127)</f>
        <v>0</v>
      </c>
      <c r="H128" s="68">
        <f t="shared" si="7"/>
        <v>368045.38999999996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0</v>
      </c>
      <c r="D131" s="23" t="s">
        <v>288</v>
      </c>
      <c r="E131" s="92">
        <f>'DOE25'!L342</f>
        <v>0</v>
      </c>
      <c r="F131" s="23" t="s">
        <v>288</v>
      </c>
      <c r="G131" s="23" t="s">
        <v>288</v>
      </c>
      <c r="H131" s="90">
        <f t="shared" si="7"/>
        <v>0</v>
      </c>
    </row>
    <row r="132" spans="1:8" x14ac:dyDescent="0.2">
      <c r="A132" t="s">
        <v>230</v>
      </c>
      <c r="B132" s="31">
        <v>5120</v>
      </c>
      <c r="C132" s="73">
        <f>'DOE25'!L262</f>
        <v>0</v>
      </c>
      <c r="D132" s="23" t="s">
        <v>288</v>
      </c>
      <c r="E132" s="92">
        <f>'DOE25'!L343</f>
        <v>0</v>
      </c>
      <c r="F132" s="23" t="s">
        <v>288</v>
      </c>
      <c r="G132" s="23" t="s">
        <v>288</v>
      </c>
      <c r="H132" s="90">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17100</v>
      </c>
      <c r="H134" s="90">
        <f t="shared" si="7"/>
        <v>17100</v>
      </c>
    </row>
    <row r="135" spans="1:8" x14ac:dyDescent="0.2">
      <c r="A135" t="s">
        <v>233</v>
      </c>
      <c r="B135" s="31" t="s">
        <v>234</v>
      </c>
      <c r="C135" s="73">
        <f>'DOE25'!L264</f>
        <v>10142.94</v>
      </c>
      <c r="D135" s="23" t="s">
        <v>288</v>
      </c>
      <c r="E135" s="92">
        <f>'DOE25'!L346</f>
        <v>0</v>
      </c>
      <c r="F135" s="23" t="s">
        <v>288</v>
      </c>
      <c r="G135" s="23" t="s">
        <v>288</v>
      </c>
      <c r="H135" s="90">
        <f t="shared" si="7"/>
        <v>10142.94</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0</v>
      </c>
      <c r="D139" s="23" t="s">
        <v>288</v>
      </c>
      <c r="E139" s="23" t="s">
        <v>288</v>
      </c>
      <c r="F139" s="23" t="s">
        <v>288</v>
      </c>
      <c r="G139" s="23" t="s">
        <v>288</v>
      </c>
      <c r="H139" s="90">
        <f t="shared" si="7"/>
        <v>0</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0</v>
      </c>
      <c r="D141" s="23" t="s">
        <v>288</v>
      </c>
      <c r="E141" s="23" t="s">
        <v>288</v>
      </c>
      <c r="F141" s="23" t="s">
        <v>288</v>
      </c>
      <c r="G141" s="23" t="s">
        <v>288</v>
      </c>
      <c r="H141" s="90">
        <f t="shared" si="7"/>
        <v>0</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10142.94</v>
      </c>
      <c r="D144" s="98">
        <f>SUM(D130:D143)</f>
        <v>0</v>
      </c>
      <c r="E144" s="98">
        <f>SUM(E130:E143)</f>
        <v>0</v>
      </c>
      <c r="F144" s="98">
        <f>SUM(F130:F143)</f>
        <v>0</v>
      </c>
      <c r="G144" s="98">
        <f>SUM(G130:G143)</f>
        <v>17100</v>
      </c>
      <c r="H144" s="98">
        <f t="shared" si="7"/>
        <v>27242.940000000002</v>
      </c>
    </row>
    <row r="145" spans="1:9" ht="12.75" thickTop="1" thickBot="1" x14ac:dyDescent="0.25">
      <c r="A145" s="32" t="s">
        <v>244</v>
      </c>
      <c r="C145" s="68">
        <f>(C115+C128+C144)</f>
        <v>1011511.4</v>
      </c>
      <c r="D145" s="68">
        <f>(D115+D128+D144)</f>
        <v>36350.29</v>
      </c>
      <c r="E145" s="68">
        <f>(E115+E128+E144)</f>
        <v>30217.15</v>
      </c>
      <c r="F145" s="68">
        <f>(F115+F128+F144)</f>
        <v>0</v>
      </c>
      <c r="G145" s="68">
        <f>(G115+G128+G144)</f>
        <v>17100</v>
      </c>
      <c r="H145" s="68">
        <f t="shared" si="7"/>
        <v>1095178.8400000001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7"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3" t="s">
        <v>736</v>
      </c>
      <c r="B1" s="313"/>
      <c r="C1" s="313"/>
      <c r="D1" s="313"/>
    </row>
    <row r="2" spans="1:4" x14ac:dyDescent="0.2">
      <c r="A2" s="136" t="s">
        <v>713</v>
      </c>
      <c r="B2" s="135" t="str">
        <f>'DOE25'!A2</f>
        <v>Stark</v>
      </c>
    </row>
    <row r="3" spans="1:4" x14ac:dyDescent="0.2">
      <c r="B3" s="137" t="s">
        <v>1799</v>
      </c>
    </row>
    <row r="4" spans="1:4" x14ac:dyDescent="0.2">
      <c r="B4" t="s">
        <v>61</v>
      </c>
      <c r="C4" s="129">
        <f>IF('DOE25'!F666+'DOE25'!F671=0,0,ROUND('DOE25'!F673,0))</f>
        <v>22242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22242</v>
      </c>
    </row>
    <row r="9" spans="1:4" x14ac:dyDescent="0.2">
      <c r="A9" s="136" t="s">
        <v>94</v>
      </c>
      <c r="B9" s="137" t="s">
        <v>1800</v>
      </c>
      <c r="C9" s="131" t="s">
        <v>720</v>
      </c>
      <c r="D9" s="131" t="s">
        <v>721</v>
      </c>
    </row>
    <row r="10" spans="1:4" x14ac:dyDescent="0.2">
      <c r="A10">
        <v>1100</v>
      </c>
      <c r="B10" t="s">
        <v>702</v>
      </c>
      <c r="C10" s="129">
        <f>ROUND('DOE25'!L198+'DOE25'!L216+'DOE25'!L234+'DOE25'!L277+'DOE25'!L296+'DOE25'!L315,0)</f>
        <v>675105</v>
      </c>
      <c r="D10" s="132">
        <f>ROUND((C10/$C$28)*100,1)</f>
        <v>63.4</v>
      </c>
    </row>
    <row r="11" spans="1:4" x14ac:dyDescent="0.2">
      <c r="A11">
        <v>1200</v>
      </c>
      <c r="B11" t="s">
        <v>703</v>
      </c>
      <c r="C11" s="129">
        <f>ROUND('DOE25'!L199+'DOE25'!L217+'DOE25'!L235+'DOE25'!L278+'DOE25'!L297+'DOE25'!L316,0)</f>
        <v>24785</v>
      </c>
      <c r="D11" s="132">
        <f>ROUND((C11/$C$28)*100,1)</f>
        <v>2.2999999999999998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29590</v>
      </c>
      <c r="D15" s="132">
        <f t="shared" ref="D15:D27" si="0">ROUND((C15/$C$28)*100,1)</f>
        <v>2.8</v>
      </c>
    </row>
    <row r="16" spans="1:4" x14ac:dyDescent="0.2">
      <c r="A16">
        <v>2200</v>
      </c>
      <c r="B16" t="s">
        <v>707</v>
      </c>
      <c r="C16" s="129">
        <f>ROUND('DOE25'!L204+'DOE25'!L222+'DOE25'!L240+'DOE25'!L283+'DOE25'!L302+'DOE25'!L321,0)</f>
        <v>5726</v>
      </c>
      <c r="D16" s="132">
        <f t="shared" si="0"/>
        <v>0.5</v>
      </c>
    </row>
    <row r="17" spans="1:4" x14ac:dyDescent="0.2">
      <c r="A17" s="133" t="s">
        <v>723</v>
      </c>
      <c r="B17" t="s">
        <v>738</v>
      </c>
      <c r="C17" s="129">
        <f>ROUND('DOE25'!L205+'DOE25'!L210+'DOE25'!L223+'DOE25'!L228+'DOE25'!L241+'DOE25'!L246+'DOE25'!L284+'DOE25'!L289+'DOE25'!L303+'DOE25'!L308+'DOE25'!L322+'DOE25'!L327,0)</f>
        <v>135136</v>
      </c>
      <c r="D17" s="132">
        <f t="shared" si="0"/>
        <v>12.7</v>
      </c>
    </row>
    <row r="18" spans="1:4" x14ac:dyDescent="0.2">
      <c r="A18">
        <v>2400</v>
      </c>
      <c r="B18" t="s">
        <v>711</v>
      </c>
      <c r="C18" s="129">
        <f>ROUND('DOE25'!L206+'DOE25'!L224+'DOE25'!L242+'DOE25'!L285+'DOE25'!L304+'DOE25'!L323,0)</f>
        <v>52916</v>
      </c>
      <c r="D18" s="132">
        <f t="shared" si="0"/>
        <v>5</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53996</v>
      </c>
      <c r="D20" s="132">
        <f t="shared" si="0"/>
        <v>5.0999999999999996</v>
      </c>
    </row>
    <row r="21" spans="1:4" x14ac:dyDescent="0.2">
      <c r="A21">
        <v>2700</v>
      </c>
      <c r="B21" t="s">
        <v>710</v>
      </c>
      <c r="C21" s="129">
        <f>ROUND('DOE25'!L209+'DOE25'!L227+'DOE25'!L245+'DOE25'!L288+'DOE25'!L307+'DOE25'!L326,0)</f>
        <v>54332</v>
      </c>
      <c r="D21" s="132">
        <f t="shared" si="0"/>
        <v>5.0999999999999996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33548.410000000003</v>
      </c>
      <c r="D27" s="132">
        <f t="shared" si="0"/>
        <v>3.1</v>
      </c>
    </row>
    <row r="28" spans="1:4" x14ac:dyDescent="0.2">
      <c r="B28" s="136" t="s">
        <v>719</v>
      </c>
      <c r="C28" s="130">
        <f>SUM(C10:C27)</f>
        <v>1065134.4099999999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1065134.4099999999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671505</v>
      </c>
      <c r="D35" s="132">
        <f t="shared" ref="D35:D40" si="1">ROUND((C35/$C$41)*100,1)</f>
        <v>58.2</v>
      </c>
    </row>
    <row r="36" spans="1:4" x14ac:dyDescent="0.2">
      <c r="B36" s="71" t="s">
        <v>739</v>
      </c>
      <c r="C36" s="129">
        <f>SUM('DOE25'!F112:J112)-SUM('DOE25'!G97:G110)+('DOE25'!F175+'DOE25'!F176+'DOE25'!I175+'DOE25'!I176)-C35</f>
        <v>446</v>
      </c>
      <c r="D36" s="132">
        <f t="shared" si="1"/>
        <v>0</v>
      </c>
    </row>
    <row r="37" spans="1:4" x14ac:dyDescent="0.2">
      <c r="A37" s="133" t="s">
        <v>835</v>
      </c>
      <c r="B37" s="71" t="s">
        <v>728</v>
      </c>
      <c r="C37" s="129">
        <f>ROUND('DOE25'!F117+'DOE25'!F118,0)</f>
        <v>420338</v>
      </c>
      <c r="D37" s="132">
        <f t="shared" si="1"/>
        <v>36.4</v>
      </c>
    </row>
    <row r="38" spans="1:4" x14ac:dyDescent="0.2">
      <c r="A38" s="133" t="s">
        <v>734</v>
      </c>
      <c r="B38" s="71" t="s">
        <v>729</v>
      </c>
      <c r="C38" s="129">
        <f>ROUND(SUM('DOE25'!F140:J140)-SUM('DOE25'!F117:F119),0)</f>
        <v>252</v>
      </c>
      <c r="D38" s="132">
        <f t="shared" si="1"/>
        <v>0</v>
      </c>
    </row>
    <row r="39" spans="1:4" x14ac:dyDescent="0.2">
      <c r="A39">
        <v>4000</v>
      </c>
      <c r="B39" s="71" t="s">
        <v>730</v>
      </c>
      <c r="C39" s="129">
        <f>ROUND('DOE25'!F170+'DOE25'!G170+'DOE25'!H170+'DOE25'!I170,0)</f>
        <v>60920</v>
      </c>
      <c r="D39" s="132">
        <f t="shared" si="1"/>
        <v>5.3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1153461</v>
      </c>
      <c r="D41" s="134">
        <f>SUM(D35:D40)</f>
        <v>99.899999999999991</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3" sqref="C23:M23"/>
    </sheetView>
  </sheetViews>
  <sheetFormatPr defaultRowHeight="11.25" x14ac:dyDescent="0.2"/>
  <cols>
    <col min="1" max="1" width="10.33203125" customWidth="1"/>
    <col min="14" max="14" width="6.1640625" customWidth="1"/>
  </cols>
  <sheetData>
    <row r="1" spans="1:13" ht="16.5" thickTop="1" x14ac:dyDescent="0.25">
      <c r="A1" s="321" t="s">
        <v>766</v>
      </c>
      <c r="B1" s="322"/>
      <c r="C1" s="322"/>
      <c r="D1" s="322"/>
      <c r="E1" s="322"/>
      <c r="F1" s="322"/>
      <c r="G1" s="322"/>
      <c r="H1" s="322"/>
      <c r="I1" s="322"/>
      <c r="J1" s="155"/>
      <c r="K1" s="155"/>
      <c r="L1" s="155"/>
      <c r="M1" s="156"/>
    </row>
    <row r="2" spans="1:13" ht="12.75" x14ac:dyDescent="0.2">
      <c r="A2" s="326" t="s">
        <v>763</v>
      </c>
      <c r="B2" s="327"/>
      <c r="C2" s="327"/>
      <c r="D2" s="327"/>
      <c r="E2" s="327"/>
      <c r="F2" s="324" t="str">
        <f>'DOE25'!A2</f>
        <v>Stark</v>
      </c>
      <c r="G2" s="325"/>
      <c r="H2" s="325"/>
      <c r="I2" s="325"/>
      <c r="M2" s="157"/>
    </row>
    <row r="3" spans="1:13" x14ac:dyDescent="0.2">
      <c r="A3" s="158" t="s">
        <v>764</v>
      </c>
      <c r="B3" s="131" t="s">
        <v>765</v>
      </c>
      <c r="C3" s="306" t="s">
        <v>767</v>
      </c>
      <c r="D3" s="306"/>
      <c r="E3" s="306"/>
      <c r="F3" s="306"/>
      <c r="G3" s="306"/>
      <c r="H3" s="306"/>
      <c r="I3" s="306"/>
      <c r="J3" s="306"/>
      <c r="K3" s="306"/>
      <c r="L3" s="306"/>
      <c r="M3" s="323"/>
    </row>
    <row r="4" spans="1:13" x14ac:dyDescent="0.2">
      <c r="A4" s="159"/>
      <c r="B4" s="150"/>
      <c r="C4" s="314" t="s">
        <v>1803</v>
      </c>
      <c r="D4" s="314"/>
      <c r="E4" s="314"/>
      <c r="F4" s="314"/>
      <c r="G4" s="314"/>
      <c r="H4" s="314"/>
      <c r="I4" s="314"/>
      <c r="J4" s="314"/>
      <c r="K4" s="314"/>
      <c r="L4" s="314"/>
      <c r="M4" s="315"/>
    </row>
    <row r="5" spans="1:13" x14ac:dyDescent="0.2">
      <c r="A5" s="159"/>
      <c r="B5" s="150"/>
      <c r="C5" s="314" t="s">
        <v>1804</v>
      </c>
      <c r="D5" s="314"/>
      <c r="E5" s="314"/>
      <c r="F5" s="314"/>
      <c r="G5" s="314"/>
      <c r="H5" s="314"/>
      <c r="I5" s="314"/>
      <c r="J5" s="314"/>
      <c r="K5" s="314"/>
      <c r="L5" s="314"/>
      <c r="M5" s="315"/>
    </row>
    <row r="6" spans="1:13" x14ac:dyDescent="0.2">
      <c r="A6" s="159"/>
      <c r="B6" s="150"/>
      <c r="C6" s="314"/>
      <c r="D6" s="314"/>
      <c r="E6" s="314"/>
      <c r="F6" s="314"/>
      <c r="G6" s="314"/>
      <c r="H6" s="314"/>
      <c r="I6" s="314"/>
      <c r="J6" s="314"/>
      <c r="K6" s="314"/>
      <c r="L6" s="314"/>
      <c r="M6" s="315"/>
    </row>
    <row r="7" spans="1:13" x14ac:dyDescent="0.2">
      <c r="A7" s="159"/>
      <c r="B7" s="150"/>
      <c r="C7" s="314"/>
      <c r="D7" s="314"/>
      <c r="E7" s="314"/>
      <c r="F7" s="314"/>
      <c r="G7" s="314"/>
      <c r="H7" s="314"/>
      <c r="I7" s="314"/>
      <c r="J7" s="314"/>
      <c r="K7" s="314"/>
      <c r="L7" s="314"/>
      <c r="M7" s="315"/>
    </row>
    <row r="8" spans="1:13" x14ac:dyDescent="0.2">
      <c r="A8" s="159"/>
      <c r="B8" s="150"/>
      <c r="C8" s="314"/>
      <c r="D8" s="314"/>
      <c r="E8" s="314"/>
      <c r="F8" s="314"/>
      <c r="G8" s="314"/>
      <c r="H8" s="314"/>
      <c r="I8" s="314"/>
      <c r="J8" s="314"/>
      <c r="K8" s="314"/>
      <c r="L8" s="314"/>
      <c r="M8" s="315"/>
    </row>
    <row r="9" spans="1:13" x14ac:dyDescent="0.2">
      <c r="A9" s="159"/>
      <c r="B9" s="150"/>
      <c r="C9" s="314"/>
      <c r="D9" s="314"/>
      <c r="E9" s="314"/>
      <c r="F9" s="314"/>
      <c r="G9" s="314"/>
      <c r="H9" s="314"/>
      <c r="I9" s="314"/>
      <c r="J9" s="314"/>
      <c r="K9" s="314"/>
      <c r="L9" s="314"/>
      <c r="M9" s="315"/>
    </row>
    <row r="10" spans="1:13" x14ac:dyDescent="0.2">
      <c r="A10" s="159"/>
      <c r="B10" s="150"/>
      <c r="C10" s="314"/>
      <c r="D10" s="314"/>
      <c r="E10" s="314"/>
      <c r="F10" s="314"/>
      <c r="G10" s="314"/>
      <c r="H10" s="314"/>
      <c r="I10" s="314"/>
      <c r="J10" s="314"/>
      <c r="K10" s="314"/>
      <c r="L10" s="314"/>
      <c r="M10" s="315"/>
    </row>
    <row r="11" spans="1:13" x14ac:dyDescent="0.2">
      <c r="A11" s="159"/>
      <c r="B11" s="150"/>
      <c r="C11" s="314"/>
      <c r="D11" s="314"/>
      <c r="E11" s="314"/>
      <c r="F11" s="314"/>
      <c r="G11" s="314"/>
      <c r="H11" s="314"/>
      <c r="I11" s="314"/>
      <c r="J11" s="314"/>
      <c r="K11" s="314"/>
      <c r="L11" s="314"/>
      <c r="M11" s="315"/>
    </row>
    <row r="12" spans="1:13" x14ac:dyDescent="0.2">
      <c r="A12" s="159"/>
      <c r="B12" s="150"/>
      <c r="C12" s="314"/>
      <c r="D12" s="314"/>
      <c r="E12" s="314"/>
      <c r="F12" s="314"/>
      <c r="G12" s="314"/>
      <c r="H12" s="314"/>
      <c r="I12" s="314"/>
      <c r="J12" s="314"/>
      <c r="K12" s="314"/>
      <c r="L12" s="314"/>
      <c r="M12" s="315"/>
    </row>
    <row r="13" spans="1:13" x14ac:dyDescent="0.2">
      <c r="A13" s="159"/>
      <c r="B13" s="150"/>
      <c r="C13" s="314"/>
      <c r="D13" s="314"/>
      <c r="E13" s="314"/>
      <c r="F13" s="314"/>
      <c r="G13" s="314"/>
      <c r="H13" s="314"/>
      <c r="I13" s="314"/>
      <c r="J13" s="314"/>
      <c r="K13" s="314"/>
      <c r="L13" s="314"/>
      <c r="M13" s="315"/>
    </row>
    <row r="14" spans="1:13" x14ac:dyDescent="0.2">
      <c r="A14" s="159"/>
      <c r="B14" s="150"/>
      <c r="C14" s="314"/>
      <c r="D14" s="314"/>
      <c r="E14" s="314"/>
      <c r="F14" s="314"/>
      <c r="G14" s="314"/>
      <c r="H14" s="314"/>
      <c r="I14" s="314"/>
      <c r="J14" s="314"/>
      <c r="K14" s="314"/>
      <c r="L14" s="314"/>
      <c r="M14" s="315"/>
    </row>
    <row r="15" spans="1:13" x14ac:dyDescent="0.2">
      <c r="A15" s="159"/>
      <c r="B15" s="150"/>
      <c r="C15" s="314"/>
      <c r="D15" s="314"/>
      <c r="E15" s="314"/>
      <c r="F15" s="314"/>
      <c r="G15" s="314"/>
      <c r="H15" s="314"/>
      <c r="I15" s="314"/>
      <c r="J15" s="314"/>
      <c r="K15" s="314"/>
      <c r="L15" s="314"/>
      <c r="M15" s="315"/>
    </row>
    <row r="16" spans="1:13" x14ac:dyDescent="0.2">
      <c r="A16" s="159"/>
      <c r="B16" s="150"/>
      <c r="C16" s="314"/>
      <c r="D16" s="314"/>
      <c r="E16" s="314"/>
      <c r="F16" s="314"/>
      <c r="G16" s="314"/>
      <c r="H16" s="314"/>
      <c r="I16" s="314"/>
      <c r="J16" s="314"/>
      <c r="K16" s="314"/>
      <c r="L16" s="314"/>
      <c r="M16" s="315"/>
    </row>
    <row r="17" spans="1:256" x14ac:dyDescent="0.2">
      <c r="A17" s="159"/>
      <c r="B17" s="150"/>
      <c r="C17" s="314"/>
      <c r="D17" s="314"/>
      <c r="E17" s="314"/>
      <c r="F17" s="314"/>
      <c r="G17" s="314"/>
      <c r="H17" s="314"/>
      <c r="I17" s="314"/>
      <c r="J17" s="314"/>
      <c r="K17" s="314"/>
      <c r="L17" s="314"/>
      <c r="M17" s="315"/>
    </row>
    <row r="18" spans="1:256" x14ac:dyDescent="0.2">
      <c r="A18" s="159"/>
      <c r="B18" s="150"/>
      <c r="C18" s="314"/>
      <c r="D18" s="314"/>
      <c r="E18" s="314"/>
      <c r="F18" s="314"/>
      <c r="G18" s="314"/>
      <c r="H18" s="314"/>
      <c r="I18" s="314"/>
      <c r="J18" s="314"/>
      <c r="K18" s="314"/>
      <c r="L18" s="314"/>
      <c r="M18" s="315"/>
    </row>
    <row r="19" spans="1:256" x14ac:dyDescent="0.2">
      <c r="A19" s="159"/>
      <c r="B19" s="150"/>
      <c r="C19" s="314"/>
      <c r="D19" s="314"/>
      <c r="E19" s="314"/>
      <c r="F19" s="314"/>
      <c r="G19" s="314"/>
      <c r="H19" s="314"/>
      <c r="I19" s="314"/>
      <c r="J19" s="314"/>
      <c r="K19" s="314"/>
      <c r="L19" s="314"/>
      <c r="M19" s="315"/>
    </row>
    <row r="20" spans="1:256" x14ac:dyDescent="0.2">
      <c r="A20" s="159"/>
      <c r="B20" s="150"/>
      <c r="C20" s="314"/>
      <c r="D20" s="314"/>
      <c r="E20" s="314"/>
      <c r="F20" s="314"/>
      <c r="G20" s="314"/>
      <c r="H20" s="314"/>
      <c r="I20" s="314"/>
      <c r="J20" s="314"/>
      <c r="K20" s="314"/>
      <c r="L20" s="314"/>
      <c r="M20" s="315"/>
    </row>
    <row r="21" spans="1:256" x14ac:dyDescent="0.2">
      <c r="A21" s="159"/>
      <c r="B21" s="150"/>
      <c r="C21" s="314"/>
      <c r="D21" s="314"/>
      <c r="E21" s="314"/>
      <c r="F21" s="314"/>
      <c r="G21" s="314"/>
      <c r="H21" s="314"/>
      <c r="I21" s="314"/>
      <c r="J21" s="314"/>
      <c r="K21" s="314"/>
      <c r="L21" s="314"/>
      <c r="M21" s="315"/>
    </row>
    <row r="22" spans="1:256" x14ac:dyDescent="0.2">
      <c r="A22" s="159"/>
      <c r="B22" s="150"/>
      <c r="C22" s="314"/>
      <c r="D22" s="314"/>
      <c r="E22" s="314"/>
      <c r="F22" s="314"/>
      <c r="G22" s="314"/>
      <c r="H22" s="314"/>
      <c r="I22" s="314"/>
      <c r="J22" s="314"/>
      <c r="K22" s="314"/>
      <c r="L22" s="314"/>
      <c r="M22" s="315"/>
    </row>
    <row r="23" spans="1:256" x14ac:dyDescent="0.2">
      <c r="A23" s="159"/>
      <c r="B23" s="150"/>
      <c r="C23" s="314"/>
      <c r="D23" s="314"/>
      <c r="E23" s="314"/>
      <c r="F23" s="314"/>
      <c r="G23" s="314"/>
      <c r="H23" s="314"/>
      <c r="I23" s="314"/>
      <c r="J23" s="314"/>
      <c r="K23" s="314"/>
      <c r="L23" s="314"/>
      <c r="M23" s="315"/>
    </row>
    <row r="24" spans="1:256" x14ac:dyDescent="0.2">
      <c r="A24" s="159"/>
      <c r="B24" s="150"/>
      <c r="C24" s="314"/>
      <c r="D24" s="314"/>
      <c r="E24" s="314"/>
      <c r="F24" s="314"/>
      <c r="G24" s="314"/>
      <c r="H24" s="314"/>
      <c r="I24" s="314"/>
      <c r="J24" s="314"/>
      <c r="K24" s="314"/>
      <c r="L24" s="314"/>
      <c r="M24" s="315"/>
    </row>
    <row r="25" spans="1:256" x14ac:dyDescent="0.2">
      <c r="A25" s="159"/>
      <c r="B25" s="150"/>
      <c r="C25" s="314"/>
      <c r="D25" s="314"/>
      <c r="E25" s="314"/>
      <c r="F25" s="314"/>
      <c r="G25" s="314"/>
      <c r="H25" s="314"/>
      <c r="I25" s="314"/>
      <c r="J25" s="314"/>
      <c r="K25" s="314"/>
      <c r="L25" s="314"/>
      <c r="M25" s="315"/>
    </row>
    <row r="26" spans="1:256" x14ac:dyDescent="0.2">
      <c r="A26" s="159"/>
      <c r="B26" s="150"/>
      <c r="C26" s="314"/>
      <c r="D26" s="314"/>
      <c r="E26" s="314"/>
      <c r="F26" s="314"/>
      <c r="G26" s="314"/>
      <c r="H26" s="314"/>
      <c r="I26" s="314"/>
      <c r="J26" s="314"/>
      <c r="K26" s="314"/>
      <c r="L26" s="314"/>
      <c r="M26" s="315"/>
    </row>
    <row r="27" spans="1:256" x14ac:dyDescent="0.2">
      <c r="A27" s="159"/>
      <c r="B27" s="150"/>
      <c r="C27" s="314"/>
      <c r="D27" s="314"/>
      <c r="E27" s="314"/>
      <c r="F27" s="314"/>
      <c r="G27" s="314"/>
      <c r="H27" s="314"/>
      <c r="I27" s="314"/>
      <c r="J27" s="314"/>
      <c r="K27" s="314"/>
      <c r="L27" s="314"/>
      <c r="M27" s="315"/>
    </row>
    <row r="28" spans="1:256" x14ac:dyDescent="0.2">
      <c r="A28" s="159"/>
      <c r="B28" s="150"/>
      <c r="C28" s="314"/>
      <c r="D28" s="314"/>
      <c r="E28" s="314"/>
      <c r="F28" s="314"/>
      <c r="G28" s="314"/>
      <c r="H28" s="314"/>
      <c r="I28" s="314"/>
      <c r="J28" s="314"/>
      <c r="K28" s="314"/>
      <c r="L28" s="314"/>
      <c r="M28" s="315"/>
    </row>
    <row r="29" spans="1:256" x14ac:dyDescent="0.2">
      <c r="A29" s="159"/>
      <c r="B29" s="150"/>
      <c r="C29" s="314"/>
      <c r="D29" s="314"/>
      <c r="E29" s="314"/>
      <c r="F29" s="314"/>
      <c r="G29" s="314"/>
      <c r="H29" s="314"/>
      <c r="I29" s="314"/>
      <c r="J29" s="314"/>
      <c r="K29" s="314"/>
      <c r="L29" s="314"/>
      <c r="M29" s="315"/>
      <c r="N29" s="153"/>
      <c r="O29" s="153"/>
      <c r="P29" s="319"/>
      <c r="Q29" s="319"/>
      <c r="R29" s="319"/>
      <c r="S29" s="319"/>
      <c r="T29" s="319"/>
      <c r="U29" s="319"/>
      <c r="V29" s="319"/>
      <c r="W29" s="319"/>
      <c r="X29" s="319"/>
      <c r="Y29" s="319"/>
      <c r="Z29" s="319"/>
      <c r="AA29" s="150"/>
      <c r="AB29" s="150"/>
      <c r="AC29" s="314"/>
      <c r="AD29" s="314"/>
      <c r="AE29" s="314"/>
      <c r="AF29" s="314"/>
      <c r="AG29" s="314"/>
      <c r="AH29" s="314"/>
      <c r="AI29" s="314"/>
      <c r="AJ29" s="314"/>
      <c r="AK29" s="314"/>
      <c r="AL29" s="314"/>
      <c r="AM29" s="314"/>
      <c r="AN29" s="150"/>
      <c r="AO29" s="150"/>
      <c r="AP29" s="314"/>
      <c r="AQ29" s="314"/>
      <c r="AR29" s="314"/>
      <c r="AS29" s="314"/>
      <c r="AT29" s="314"/>
      <c r="AU29" s="314"/>
      <c r="AV29" s="314"/>
      <c r="AW29" s="314"/>
      <c r="AX29" s="314"/>
      <c r="AY29" s="314"/>
      <c r="AZ29" s="314"/>
      <c r="BA29" s="150"/>
      <c r="BB29" s="150"/>
      <c r="BC29" s="314"/>
      <c r="BD29" s="314"/>
      <c r="BE29" s="314"/>
      <c r="BF29" s="314"/>
      <c r="BG29" s="314"/>
      <c r="BH29" s="314"/>
      <c r="BI29" s="314"/>
      <c r="BJ29" s="314"/>
      <c r="BK29" s="314"/>
      <c r="BL29" s="314"/>
      <c r="BM29" s="314"/>
      <c r="BN29" s="150"/>
      <c r="BO29" s="150"/>
      <c r="BP29" s="314"/>
      <c r="BQ29" s="314"/>
      <c r="BR29" s="314"/>
      <c r="BS29" s="314"/>
      <c r="BT29" s="314"/>
      <c r="BU29" s="314"/>
      <c r="BV29" s="314"/>
      <c r="BW29" s="314"/>
      <c r="BX29" s="314"/>
      <c r="BY29" s="314"/>
      <c r="BZ29" s="314"/>
      <c r="CA29" s="150"/>
      <c r="CB29" s="150"/>
      <c r="CC29" s="314"/>
      <c r="CD29" s="314"/>
      <c r="CE29" s="314"/>
      <c r="CF29" s="314"/>
      <c r="CG29" s="314"/>
      <c r="CH29" s="314"/>
      <c r="CI29" s="314"/>
      <c r="CJ29" s="314"/>
      <c r="CK29" s="314"/>
      <c r="CL29" s="314"/>
      <c r="CM29" s="314"/>
      <c r="CN29" s="150"/>
      <c r="CO29" s="150"/>
      <c r="CP29" s="314"/>
      <c r="CQ29" s="314"/>
      <c r="CR29" s="314"/>
      <c r="CS29" s="314"/>
      <c r="CT29" s="314"/>
      <c r="CU29" s="314"/>
      <c r="CV29" s="314"/>
      <c r="CW29" s="314"/>
      <c r="CX29" s="314"/>
      <c r="CY29" s="314"/>
      <c r="CZ29" s="314"/>
      <c r="DA29" s="150"/>
      <c r="DB29" s="150"/>
      <c r="DC29" s="314"/>
      <c r="DD29" s="314"/>
      <c r="DE29" s="314"/>
      <c r="DF29" s="314"/>
      <c r="DG29" s="314"/>
      <c r="DH29" s="314"/>
      <c r="DI29" s="314"/>
      <c r="DJ29" s="314"/>
      <c r="DK29" s="314"/>
      <c r="DL29" s="314"/>
      <c r="DM29" s="314"/>
      <c r="DN29" s="150"/>
      <c r="DO29" s="150"/>
      <c r="DP29" s="314"/>
      <c r="DQ29" s="314"/>
      <c r="DR29" s="314"/>
      <c r="DS29" s="314"/>
      <c r="DT29" s="314"/>
      <c r="DU29" s="314"/>
      <c r="DV29" s="314"/>
      <c r="DW29" s="314"/>
      <c r="DX29" s="314"/>
      <c r="DY29" s="314"/>
      <c r="DZ29" s="314"/>
      <c r="EA29" s="150"/>
      <c r="EB29" s="150"/>
      <c r="EC29" s="314"/>
      <c r="ED29" s="314"/>
      <c r="EE29" s="314"/>
      <c r="EF29" s="314"/>
      <c r="EG29" s="314"/>
      <c r="EH29" s="314"/>
      <c r="EI29" s="314"/>
      <c r="EJ29" s="314"/>
      <c r="EK29" s="314"/>
      <c r="EL29" s="314"/>
      <c r="EM29" s="314"/>
      <c r="EN29" s="150"/>
      <c r="EO29" s="150"/>
      <c r="EP29" s="314"/>
      <c r="EQ29" s="314"/>
      <c r="ER29" s="314"/>
      <c r="ES29" s="314"/>
      <c r="ET29" s="314"/>
      <c r="EU29" s="314"/>
      <c r="EV29" s="314"/>
      <c r="EW29" s="314"/>
      <c r="EX29" s="314"/>
      <c r="EY29" s="314"/>
      <c r="EZ29" s="314"/>
      <c r="FA29" s="150"/>
      <c r="FB29" s="150"/>
      <c r="FC29" s="314"/>
      <c r="FD29" s="314"/>
      <c r="FE29" s="314"/>
      <c r="FF29" s="314"/>
      <c r="FG29" s="314"/>
      <c r="FH29" s="314"/>
      <c r="FI29" s="314"/>
      <c r="FJ29" s="314"/>
      <c r="FK29" s="314"/>
      <c r="FL29" s="314"/>
      <c r="FM29" s="314"/>
      <c r="FN29" s="150"/>
      <c r="FO29" s="150"/>
      <c r="FP29" s="314"/>
      <c r="FQ29" s="314"/>
      <c r="FR29" s="314"/>
      <c r="FS29" s="314"/>
      <c r="FT29" s="314"/>
      <c r="FU29" s="314"/>
      <c r="FV29" s="314"/>
      <c r="FW29" s="314"/>
      <c r="FX29" s="314"/>
      <c r="FY29" s="314"/>
      <c r="FZ29" s="314"/>
      <c r="GA29" s="150"/>
      <c r="GB29" s="150"/>
      <c r="GC29" s="314"/>
      <c r="GD29" s="314"/>
      <c r="GE29" s="314"/>
      <c r="GF29" s="314"/>
      <c r="GG29" s="314"/>
      <c r="GH29" s="314"/>
      <c r="GI29" s="314"/>
      <c r="GJ29" s="314"/>
      <c r="GK29" s="314"/>
      <c r="GL29" s="314"/>
      <c r="GM29" s="314"/>
      <c r="GN29" s="150"/>
      <c r="GO29" s="150"/>
      <c r="GP29" s="314"/>
      <c r="GQ29" s="314"/>
      <c r="GR29" s="314"/>
      <c r="GS29" s="314"/>
      <c r="GT29" s="314"/>
      <c r="GU29" s="314"/>
      <c r="GV29" s="314"/>
      <c r="GW29" s="314"/>
      <c r="GX29" s="314"/>
      <c r="GY29" s="314"/>
      <c r="GZ29" s="314"/>
      <c r="HA29" s="150"/>
      <c r="HB29" s="150"/>
      <c r="HC29" s="314"/>
      <c r="HD29" s="314"/>
      <c r="HE29" s="314"/>
      <c r="HF29" s="314"/>
      <c r="HG29" s="314"/>
      <c r="HH29" s="314"/>
      <c r="HI29" s="314"/>
      <c r="HJ29" s="314"/>
      <c r="HK29" s="314"/>
      <c r="HL29" s="314"/>
      <c r="HM29" s="314"/>
      <c r="HN29" s="150"/>
      <c r="HO29" s="150"/>
      <c r="HP29" s="314"/>
      <c r="HQ29" s="314"/>
      <c r="HR29" s="314"/>
      <c r="HS29" s="314"/>
      <c r="HT29" s="314"/>
      <c r="HU29" s="314"/>
      <c r="HV29" s="314"/>
      <c r="HW29" s="314"/>
      <c r="HX29" s="314"/>
      <c r="HY29" s="314"/>
      <c r="HZ29" s="314"/>
      <c r="IA29" s="150"/>
      <c r="IB29" s="150"/>
      <c r="IC29" s="314"/>
      <c r="ID29" s="314"/>
      <c r="IE29" s="314"/>
      <c r="IF29" s="314"/>
      <c r="IG29" s="314"/>
      <c r="IH29" s="314"/>
      <c r="II29" s="314"/>
      <c r="IJ29" s="314"/>
      <c r="IK29" s="314"/>
      <c r="IL29" s="314"/>
      <c r="IM29" s="314"/>
      <c r="IN29" s="150"/>
      <c r="IO29" s="150"/>
      <c r="IP29" s="314"/>
      <c r="IQ29" s="314"/>
      <c r="IR29" s="314"/>
      <c r="IS29" s="314"/>
      <c r="IT29" s="314"/>
      <c r="IU29" s="314"/>
      <c r="IV29" s="314"/>
    </row>
    <row r="30" spans="1:256" x14ac:dyDescent="0.2">
      <c r="A30" s="159"/>
      <c r="B30" s="150"/>
      <c r="C30" s="314"/>
      <c r="D30" s="314"/>
      <c r="E30" s="314"/>
      <c r="F30" s="314"/>
      <c r="G30" s="314"/>
      <c r="H30" s="314"/>
      <c r="I30" s="314"/>
      <c r="J30" s="314"/>
      <c r="K30" s="314"/>
      <c r="L30" s="314"/>
      <c r="M30" s="315"/>
      <c r="N30" s="153"/>
      <c r="O30" s="153"/>
      <c r="P30" s="319"/>
      <c r="Q30" s="319"/>
      <c r="R30" s="319"/>
      <c r="S30" s="319"/>
      <c r="T30" s="319"/>
      <c r="U30" s="319"/>
      <c r="V30" s="319"/>
      <c r="W30" s="319"/>
      <c r="X30" s="319"/>
      <c r="Y30" s="319"/>
      <c r="Z30" s="319"/>
      <c r="AA30" s="150"/>
      <c r="AB30" s="150"/>
      <c r="AC30" s="314"/>
      <c r="AD30" s="314"/>
      <c r="AE30" s="314"/>
      <c r="AF30" s="314"/>
      <c r="AG30" s="314"/>
      <c r="AH30" s="314"/>
      <c r="AI30" s="314"/>
      <c r="AJ30" s="314"/>
      <c r="AK30" s="314"/>
      <c r="AL30" s="314"/>
      <c r="AM30" s="314"/>
      <c r="AN30" s="150"/>
      <c r="AO30" s="150"/>
      <c r="AP30" s="314"/>
      <c r="AQ30" s="314"/>
      <c r="AR30" s="314"/>
      <c r="AS30" s="314"/>
      <c r="AT30" s="314"/>
      <c r="AU30" s="314"/>
      <c r="AV30" s="314"/>
      <c r="AW30" s="314"/>
      <c r="AX30" s="314"/>
      <c r="AY30" s="314"/>
      <c r="AZ30" s="314"/>
      <c r="BA30" s="150"/>
      <c r="BB30" s="150"/>
      <c r="BC30" s="314"/>
      <c r="BD30" s="314"/>
      <c r="BE30" s="314"/>
      <c r="BF30" s="314"/>
      <c r="BG30" s="314"/>
      <c r="BH30" s="314"/>
      <c r="BI30" s="314"/>
      <c r="BJ30" s="314"/>
      <c r="BK30" s="314"/>
      <c r="BL30" s="314"/>
      <c r="BM30" s="314"/>
      <c r="BN30" s="150"/>
      <c r="BO30" s="150"/>
      <c r="BP30" s="314"/>
      <c r="BQ30" s="314"/>
      <c r="BR30" s="314"/>
      <c r="BS30" s="314"/>
      <c r="BT30" s="314"/>
      <c r="BU30" s="314"/>
      <c r="BV30" s="314"/>
      <c r="BW30" s="314"/>
      <c r="BX30" s="314"/>
      <c r="BY30" s="314"/>
      <c r="BZ30" s="314"/>
      <c r="CA30" s="150"/>
      <c r="CB30" s="150"/>
      <c r="CC30" s="314"/>
      <c r="CD30" s="314"/>
      <c r="CE30" s="314"/>
      <c r="CF30" s="314"/>
      <c r="CG30" s="314"/>
      <c r="CH30" s="314"/>
      <c r="CI30" s="314"/>
      <c r="CJ30" s="314"/>
      <c r="CK30" s="314"/>
      <c r="CL30" s="314"/>
      <c r="CM30" s="314"/>
      <c r="CN30" s="150"/>
      <c r="CO30" s="150"/>
      <c r="CP30" s="314"/>
      <c r="CQ30" s="314"/>
      <c r="CR30" s="314"/>
      <c r="CS30" s="314"/>
      <c r="CT30" s="314"/>
      <c r="CU30" s="314"/>
      <c r="CV30" s="314"/>
      <c r="CW30" s="314"/>
      <c r="CX30" s="314"/>
      <c r="CY30" s="314"/>
      <c r="CZ30" s="314"/>
      <c r="DA30" s="150"/>
      <c r="DB30" s="150"/>
      <c r="DC30" s="314"/>
      <c r="DD30" s="314"/>
      <c r="DE30" s="314"/>
      <c r="DF30" s="314"/>
      <c r="DG30" s="314"/>
      <c r="DH30" s="314"/>
      <c r="DI30" s="314"/>
      <c r="DJ30" s="314"/>
      <c r="DK30" s="314"/>
      <c r="DL30" s="314"/>
      <c r="DM30" s="314"/>
      <c r="DN30" s="150"/>
      <c r="DO30" s="150"/>
      <c r="DP30" s="314"/>
      <c r="DQ30" s="314"/>
      <c r="DR30" s="314"/>
      <c r="DS30" s="314"/>
      <c r="DT30" s="314"/>
      <c r="DU30" s="314"/>
      <c r="DV30" s="314"/>
      <c r="DW30" s="314"/>
      <c r="DX30" s="314"/>
      <c r="DY30" s="314"/>
      <c r="DZ30" s="314"/>
      <c r="EA30" s="150"/>
      <c r="EB30" s="150"/>
      <c r="EC30" s="314"/>
      <c r="ED30" s="314"/>
      <c r="EE30" s="314"/>
      <c r="EF30" s="314"/>
      <c r="EG30" s="314"/>
      <c r="EH30" s="314"/>
      <c r="EI30" s="314"/>
      <c r="EJ30" s="314"/>
      <c r="EK30" s="314"/>
      <c r="EL30" s="314"/>
      <c r="EM30" s="314"/>
      <c r="EN30" s="150"/>
      <c r="EO30" s="150"/>
      <c r="EP30" s="314"/>
      <c r="EQ30" s="314"/>
      <c r="ER30" s="314"/>
      <c r="ES30" s="314"/>
      <c r="ET30" s="314"/>
      <c r="EU30" s="314"/>
      <c r="EV30" s="314"/>
      <c r="EW30" s="314"/>
      <c r="EX30" s="314"/>
      <c r="EY30" s="314"/>
      <c r="EZ30" s="314"/>
      <c r="FA30" s="150"/>
      <c r="FB30" s="150"/>
      <c r="FC30" s="314"/>
      <c r="FD30" s="314"/>
      <c r="FE30" s="314"/>
      <c r="FF30" s="314"/>
      <c r="FG30" s="314"/>
      <c r="FH30" s="314"/>
      <c r="FI30" s="314"/>
      <c r="FJ30" s="314"/>
      <c r="FK30" s="314"/>
      <c r="FL30" s="314"/>
      <c r="FM30" s="314"/>
      <c r="FN30" s="150"/>
      <c r="FO30" s="150"/>
      <c r="FP30" s="314"/>
      <c r="FQ30" s="314"/>
      <c r="FR30" s="314"/>
      <c r="FS30" s="314"/>
      <c r="FT30" s="314"/>
      <c r="FU30" s="314"/>
      <c r="FV30" s="314"/>
      <c r="FW30" s="314"/>
      <c r="FX30" s="314"/>
      <c r="FY30" s="314"/>
      <c r="FZ30" s="314"/>
      <c r="GA30" s="150"/>
      <c r="GB30" s="150"/>
      <c r="GC30" s="314"/>
      <c r="GD30" s="314"/>
      <c r="GE30" s="314"/>
      <c r="GF30" s="314"/>
      <c r="GG30" s="314"/>
      <c r="GH30" s="314"/>
      <c r="GI30" s="314"/>
      <c r="GJ30" s="314"/>
      <c r="GK30" s="314"/>
      <c r="GL30" s="314"/>
      <c r="GM30" s="314"/>
      <c r="GN30" s="150"/>
      <c r="GO30" s="150"/>
      <c r="GP30" s="314"/>
      <c r="GQ30" s="314"/>
      <c r="GR30" s="314"/>
      <c r="GS30" s="314"/>
      <c r="GT30" s="314"/>
      <c r="GU30" s="314"/>
      <c r="GV30" s="314"/>
      <c r="GW30" s="314"/>
      <c r="GX30" s="314"/>
      <c r="GY30" s="314"/>
      <c r="GZ30" s="314"/>
      <c r="HA30" s="150"/>
      <c r="HB30" s="150"/>
      <c r="HC30" s="314"/>
      <c r="HD30" s="314"/>
      <c r="HE30" s="314"/>
      <c r="HF30" s="314"/>
      <c r="HG30" s="314"/>
      <c r="HH30" s="314"/>
      <c r="HI30" s="314"/>
      <c r="HJ30" s="314"/>
      <c r="HK30" s="314"/>
      <c r="HL30" s="314"/>
      <c r="HM30" s="314"/>
      <c r="HN30" s="150"/>
      <c r="HO30" s="150"/>
      <c r="HP30" s="314"/>
      <c r="HQ30" s="314"/>
      <c r="HR30" s="314"/>
      <c r="HS30" s="314"/>
      <c r="HT30" s="314"/>
      <c r="HU30" s="314"/>
      <c r="HV30" s="314"/>
      <c r="HW30" s="314"/>
      <c r="HX30" s="314"/>
      <c r="HY30" s="314"/>
      <c r="HZ30" s="314"/>
      <c r="IA30" s="150"/>
      <c r="IB30" s="150"/>
      <c r="IC30" s="314"/>
      <c r="ID30" s="314"/>
      <c r="IE30" s="314"/>
      <c r="IF30" s="314"/>
      <c r="IG30" s="314"/>
      <c r="IH30" s="314"/>
      <c r="II30" s="314"/>
      <c r="IJ30" s="314"/>
      <c r="IK30" s="314"/>
      <c r="IL30" s="314"/>
      <c r="IM30" s="314"/>
      <c r="IN30" s="150"/>
      <c r="IO30" s="150"/>
      <c r="IP30" s="314"/>
      <c r="IQ30" s="314"/>
      <c r="IR30" s="314"/>
      <c r="IS30" s="314"/>
      <c r="IT30" s="314"/>
      <c r="IU30" s="314"/>
      <c r="IV30" s="314"/>
    </row>
    <row r="31" spans="1:256" x14ac:dyDescent="0.2">
      <c r="A31" s="159"/>
      <c r="B31" s="150"/>
      <c r="C31" s="314"/>
      <c r="D31" s="314"/>
      <c r="E31" s="314"/>
      <c r="F31" s="314"/>
      <c r="G31" s="314"/>
      <c r="H31" s="314"/>
      <c r="I31" s="314"/>
      <c r="J31" s="314"/>
      <c r="K31" s="314"/>
      <c r="L31" s="314"/>
      <c r="M31" s="315"/>
      <c r="N31" s="153"/>
      <c r="O31" s="153"/>
      <c r="P31" s="319"/>
      <c r="Q31" s="319"/>
      <c r="R31" s="319"/>
      <c r="S31" s="319"/>
      <c r="T31" s="319"/>
      <c r="U31" s="319"/>
      <c r="V31" s="319"/>
      <c r="W31" s="319"/>
      <c r="X31" s="319"/>
      <c r="Y31" s="319"/>
      <c r="Z31" s="319"/>
      <c r="AA31" s="150"/>
      <c r="AB31" s="150"/>
      <c r="AC31" s="314"/>
      <c r="AD31" s="314"/>
      <c r="AE31" s="314"/>
      <c r="AF31" s="314"/>
      <c r="AG31" s="314"/>
      <c r="AH31" s="314"/>
      <c r="AI31" s="314"/>
      <c r="AJ31" s="314"/>
      <c r="AK31" s="314"/>
      <c r="AL31" s="314"/>
      <c r="AM31" s="314"/>
      <c r="AN31" s="150"/>
      <c r="AO31" s="150"/>
      <c r="AP31" s="314"/>
      <c r="AQ31" s="314"/>
      <c r="AR31" s="314"/>
      <c r="AS31" s="314"/>
      <c r="AT31" s="314"/>
      <c r="AU31" s="314"/>
      <c r="AV31" s="314"/>
      <c r="AW31" s="314"/>
      <c r="AX31" s="314"/>
      <c r="AY31" s="314"/>
      <c r="AZ31" s="314"/>
      <c r="BA31" s="150"/>
      <c r="BB31" s="150"/>
      <c r="BC31" s="314"/>
      <c r="BD31" s="314"/>
      <c r="BE31" s="314"/>
      <c r="BF31" s="314"/>
      <c r="BG31" s="314"/>
      <c r="BH31" s="314"/>
      <c r="BI31" s="314"/>
      <c r="BJ31" s="314"/>
      <c r="BK31" s="314"/>
      <c r="BL31" s="314"/>
      <c r="BM31" s="314"/>
      <c r="BN31" s="150"/>
      <c r="BO31" s="150"/>
      <c r="BP31" s="314"/>
      <c r="BQ31" s="314"/>
      <c r="BR31" s="314"/>
      <c r="BS31" s="314"/>
      <c r="BT31" s="314"/>
      <c r="BU31" s="314"/>
      <c r="BV31" s="314"/>
      <c r="BW31" s="314"/>
      <c r="BX31" s="314"/>
      <c r="BY31" s="314"/>
      <c r="BZ31" s="314"/>
      <c r="CA31" s="150"/>
      <c r="CB31" s="150"/>
      <c r="CC31" s="314"/>
      <c r="CD31" s="314"/>
      <c r="CE31" s="314"/>
      <c r="CF31" s="314"/>
      <c r="CG31" s="314"/>
      <c r="CH31" s="314"/>
      <c r="CI31" s="314"/>
      <c r="CJ31" s="314"/>
      <c r="CK31" s="314"/>
      <c r="CL31" s="314"/>
      <c r="CM31" s="314"/>
      <c r="CN31" s="150"/>
      <c r="CO31" s="150"/>
      <c r="CP31" s="314"/>
      <c r="CQ31" s="314"/>
      <c r="CR31" s="314"/>
      <c r="CS31" s="314"/>
      <c r="CT31" s="314"/>
      <c r="CU31" s="314"/>
      <c r="CV31" s="314"/>
      <c r="CW31" s="314"/>
      <c r="CX31" s="314"/>
      <c r="CY31" s="314"/>
      <c r="CZ31" s="314"/>
      <c r="DA31" s="150"/>
      <c r="DB31" s="150"/>
      <c r="DC31" s="314"/>
      <c r="DD31" s="314"/>
      <c r="DE31" s="314"/>
      <c r="DF31" s="314"/>
      <c r="DG31" s="314"/>
      <c r="DH31" s="314"/>
      <c r="DI31" s="314"/>
      <c r="DJ31" s="314"/>
      <c r="DK31" s="314"/>
      <c r="DL31" s="314"/>
      <c r="DM31" s="314"/>
      <c r="DN31" s="150"/>
      <c r="DO31" s="150"/>
      <c r="DP31" s="314"/>
      <c r="DQ31" s="314"/>
      <c r="DR31" s="314"/>
      <c r="DS31" s="314"/>
      <c r="DT31" s="314"/>
      <c r="DU31" s="314"/>
      <c r="DV31" s="314"/>
      <c r="DW31" s="314"/>
      <c r="DX31" s="314"/>
      <c r="DY31" s="314"/>
      <c r="DZ31" s="314"/>
      <c r="EA31" s="150"/>
      <c r="EB31" s="150"/>
      <c r="EC31" s="314"/>
      <c r="ED31" s="314"/>
      <c r="EE31" s="314"/>
      <c r="EF31" s="314"/>
      <c r="EG31" s="314"/>
      <c r="EH31" s="314"/>
      <c r="EI31" s="314"/>
      <c r="EJ31" s="314"/>
      <c r="EK31" s="314"/>
      <c r="EL31" s="314"/>
      <c r="EM31" s="314"/>
      <c r="EN31" s="150"/>
      <c r="EO31" s="150"/>
      <c r="EP31" s="314"/>
      <c r="EQ31" s="314"/>
      <c r="ER31" s="314"/>
      <c r="ES31" s="314"/>
      <c r="ET31" s="314"/>
      <c r="EU31" s="314"/>
      <c r="EV31" s="314"/>
      <c r="EW31" s="314"/>
      <c r="EX31" s="314"/>
      <c r="EY31" s="314"/>
      <c r="EZ31" s="314"/>
      <c r="FA31" s="150"/>
      <c r="FB31" s="150"/>
      <c r="FC31" s="314"/>
      <c r="FD31" s="314"/>
      <c r="FE31" s="314"/>
      <c r="FF31" s="314"/>
      <c r="FG31" s="314"/>
      <c r="FH31" s="314"/>
      <c r="FI31" s="314"/>
      <c r="FJ31" s="314"/>
      <c r="FK31" s="314"/>
      <c r="FL31" s="314"/>
      <c r="FM31" s="314"/>
      <c r="FN31" s="150"/>
      <c r="FO31" s="150"/>
      <c r="FP31" s="314"/>
      <c r="FQ31" s="314"/>
      <c r="FR31" s="314"/>
      <c r="FS31" s="314"/>
      <c r="FT31" s="314"/>
      <c r="FU31" s="314"/>
      <c r="FV31" s="314"/>
      <c r="FW31" s="314"/>
      <c r="FX31" s="314"/>
      <c r="FY31" s="314"/>
      <c r="FZ31" s="314"/>
      <c r="GA31" s="150"/>
      <c r="GB31" s="150"/>
      <c r="GC31" s="314"/>
      <c r="GD31" s="314"/>
      <c r="GE31" s="314"/>
      <c r="GF31" s="314"/>
      <c r="GG31" s="314"/>
      <c r="GH31" s="314"/>
      <c r="GI31" s="314"/>
      <c r="GJ31" s="314"/>
      <c r="GK31" s="314"/>
      <c r="GL31" s="314"/>
      <c r="GM31" s="314"/>
      <c r="GN31" s="150"/>
      <c r="GO31" s="150"/>
      <c r="GP31" s="314"/>
      <c r="GQ31" s="314"/>
      <c r="GR31" s="314"/>
      <c r="GS31" s="314"/>
      <c r="GT31" s="314"/>
      <c r="GU31" s="314"/>
      <c r="GV31" s="314"/>
      <c r="GW31" s="314"/>
      <c r="GX31" s="314"/>
      <c r="GY31" s="314"/>
      <c r="GZ31" s="314"/>
      <c r="HA31" s="150"/>
      <c r="HB31" s="150"/>
      <c r="HC31" s="314"/>
      <c r="HD31" s="314"/>
      <c r="HE31" s="314"/>
      <c r="HF31" s="314"/>
      <c r="HG31" s="314"/>
      <c r="HH31" s="314"/>
      <c r="HI31" s="314"/>
      <c r="HJ31" s="314"/>
      <c r="HK31" s="314"/>
      <c r="HL31" s="314"/>
      <c r="HM31" s="314"/>
      <c r="HN31" s="150"/>
      <c r="HO31" s="150"/>
      <c r="HP31" s="314"/>
      <c r="HQ31" s="314"/>
      <c r="HR31" s="314"/>
      <c r="HS31" s="314"/>
      <c r="HT31" s="314"/>
      <c r="HU31" s="314"/>
      <c r="HV31" s="314"/>
      <c r="HW31" s="314"/>
      <c r="HX31" s="314"/>
      <c r="HY31" s="314"/>
      <c r="HZ31" s="314"/>
      <c r="IA31" s="150"/>
      <c r="IB31" s="150"/>
      <c r="IC31" s="314"/>
      <c r="ID31" s="314"/>
      <c r="IE31" s="314"/>
      <c r="IF31" s="314"/>
      <c r="IG31" s="314"/>
      <c r="IH31" s="314"/>
      <c r="II31" s="314"/>
      <c r="IJ31" s="314"/>
      <c r="IK31" s="314"/>
      <c r="IL31" s="314"/>
      <c r="IM31" s="314"/>
      <c r="IN31" s="150"/>
      <c r="IO31" s="150"/>
      <c r="IP31" s="314"/>
      <c r="IQ31" s="314"/>
      <c r="IR31" s="314"/>
      <c r="IS31" s="314"/>
      <c r="IT31" s="314"/>
      <c r="IU31" s="314"/>
      <c r="IV31" s="314"/>
    </row>
    <row r="32" spans="1:256" x14ac:dyDescent="0.2">
      <c r="A32" s="159"/>
      <c r="B32" s="150"/>
      <c r="C32" s="314"/>
      <c r="D32" s="314"/>
      <c r="E32" s="314"/>
      <c r="F32" s="314"/>
      <c r="G32" s="314"/>
      <c r="H32" s="314"/>
      <c r="I32" s="314"/>
      <c r="J32" s="314"/>
      <c r="K32" s="314"/>
      <c r="L32" s="314"/>
      <c r="M32" s="315"/>
      <c r="N32" s="153"/>
      <c r="O32" s="153"/>
      <c r="P32" s="319"/>
      <c r="Q32" s="319"/>
      <c r="R32" s="319"/>
      <c r="S32" s="319"/>
      <c r="T32" s="319"/>
      <c r="U32" s="319"/>
      <c r="V32" s="319"/>
      <c r="W32" s="319"/>
      <c r="X32" s="319"/>
      <c r="Y32" s="319"/>
      <c r="Z32" s="320"/>
      <c r="AA32" s="159"/>
      <c r="AB32" s="150"/>
      <c r="AC32" s="314"/>
      <c r="AD32" s="314"/>
      <c r="AE32" s="314"/>
      <c r="AF32" s="314"/>
      <c r="AG32" s="314"/>
      <c r="AH32" s="314"/>
      <c r="AI32" s="314"/>
      <c r="AJ32" s="314"/>
      <c r="AK32" s="314"/>
      <c r="AL32" s="314"/>
      <c r="AM32" s="315"/>
      <c r="AN32" s="159"/>
      <c r="AO32" s="150"/>
      <c r="AP32" s="314"/>
      <c r="AQ32" s="314"/>
      <c r="AR32" s="314"/>
      <c r="AS32" s="314"/>
      <c r="AT32" s="314"/>
      <c r="AU32" s="314"/>
      <c r="AV32" s="314"/>
      <c r="AW32" s="314"/>
      <c r="AX32" s="314"/>
      <c r="AY32" s="314"/>
      <c r="AZ32" s="315"/>
      <c r="BA32" s="159"/>
      <c r="BB32" s="150"/>
      <c r="BC32" s="314"/>
      <c r="BD32" s="314"/>
      <c r="BE32" s="314"/>
      <c r="BF32" s="314"/>
      <c r="BG32" s="314"/>
      <c r="BH32" s="314"/>
      <c r="BI32" s="314"/>
      <c r="BJ32" s="314"/>
      <c r="BK32" s="314"/>
      <c r="BL32" s="314"/>
      <c r="BM32" s="315"/>
      <c r="BN32" s="159"/>
      <c r="BO32" s="150"/>
      <c r="BP32" s="314"/>
      <c r="BQ32" s="314"/>
      <c r="BR32" s="314"/>
      <c r="BS32" s="314"/>
      <c r="BT32" s="314"/>
      <c r="BU32" s="314"/>
      <c r="BV32" s="314"/>
      <c r="BW32" s="314"/>
      <c r="BX32" s="314"/>
      <c r="BY32" s="314"/>
      <c r="BZ32" s="315"/>
      <c r="CA32" s="159"/>
      <c r="CB32" s="150"/>
      <c r="CC32" s="314"/>
      <c r="CD32" s="314"/>
      <c r="CE32" s="314"/>
      <c r="CF32" s="314"/>
      <c r="CG32" s="314"/>
      <c r="CH32" s="314"/>
      <c r="CI32" s="314"/>
      <c r="CJ32" s="314"/>
      <c r="CK32" s="314"/>
      <c r="CL32" s="314"/>
      <c r="CM32" s="315"/>
      <c r="CN32" s="159"/>
      <c r="CO32" s="150"/>
      <c r="CP32" s="314"/>
      <c r="CQ32" s="314"/>
      <c r="CR32" s="314"/>
      <c r="CS32" s="314"/>
      <c r="CT32" s="314"/>
      <c r="CU32" s="314"/>
      <c r="CV32" s="314"/>
      <c r="CW32" s="314"/>
      <c r="CX32" s="314"/>
      <c r="CY32" s="314"/>
      <c r="CZ32" s="315"/>
      <c r="DA32" s="159"/>
      <c r="DB32" s="150"/>
      <c r="DC32" s="314"/>
      <c r="DD32" s="314"/>
      <c r="DE32" s="314"/>
      <c r="DF32" s="314"/>
      <c r="DG32" s="314"/>
      <c r="DH32" s="314"/>
      <c r="DI32" s="314"/>
      <c r="DJ32" s="314"/>
      <c r="DK32" s="314"/>
      <c r="DL32" s="314"/>
      <c r="DM32" s="315"/>
      <c r="DN32" s="159"/>
      <c r="DO32" s="150"/>
      <c r="DP32" s="314"/>
      <c r="DQ32" s="314"/>
      <c r="DR32" s="314"/>
      <c r="DS32" s="314"/>
      <c r="DT32" s="314"/>
      <c r="DU32" s="314"/>
      <c r="DV32" s="314"/>
      <c r="DW32" s="314"/>
      <c r="DX32" s="314"/>
      <c r="DY32" s="314"/>
      <c r="DZ32" s="315"/>
      <c r="EA32" s="159"/>
      <c r="EB32" s="150"/>
      <c r="EC32" s="314"/>
      <c r="ED32" s="314"/>
      <c r="EE32" s="314"/>
      <c r="EF32" s="314"/>
      <c r="EG32" s="314"/>
      <c r="EH32" s="314"/>
      <c r="EI32" s="314"/>
      <c r="EJ32" s="314"/>
      <c r="EK32" s="314"/>
      <c r="EL32" s="314"/>
      <c r="EM32" s="315"/>
      <c r="EN32" s="159"/>
      <c r="EO32" s="150"/>
      <c r="EP32" s="314"/>
      <c r="EQ32" s="314"/>
      <c r="ER32" s="314"/>
      <c r="ES32" s="314"/>
      <c r="ET32" s="314"/>
      <c r="EU32" s="314"/>
      <c r="EV32" s="314"/>
      <c r="EW32" s="314"/>
      <c r="EX32" s="314"/>
      <c r="EY32" s="314"/>
      <c r="EZ32" s="315"/>
      <c r="FA32" s="159"/>
      <c r="FB32" s="150"/>
      <c r="FC32" s="314"/>
      <c r="FD32" s="314"/>
      <c r="FE32" s="314"/>
      <c r="FF32" s="314"/>
      <c r="FG32" s="314"/>
      <c r="FH32" s="314"/>
      <c r="FI32" s="314"/>
      <c r="FJ32" s="314"/>
      <c r="FK32" s="314"/>
      <c r="FL32" s="314"/>
      <c r="FM32" s="315"/>
      <c r="FN32" s="159"/>
      <c r="FO32" s="150"/>
      <c r="FP32" s="314"/>
      <c r="FQ32" s="314"/>
      <c r="FR32" s="314"/>
      <c r="FS32" s="314"/>
      <c r="FT32" s="314"/>
      <c r="FU32" s="314"/>
      <c r="FV32" s="314"/>
      <c r="FW32" s="314"/>
      <c r="FX32" s="314"/>
      <c r="FY32" s="314"/>
      <c r="FZ32" s="315"/>
      <c r="GA32" s="159"/>
      <c r="GB32" s="150"/>
      <c r="GC32" s="314"/>
      <c r="GD32" s="314"/>
      <c r="GE32" s="314"/>
      <c r="GF32" s="314"/>
      <c r="GG32" s="314"/>
      <c r="GH32" s="314"/>
      <c r="GI32" s="314"/>
      <c r="GJ32" s="314"/>
      <c r="GK32" s="314"/>
      <c r="GL32" s="314"/>
      <c r="GM32" s="315"/>
      <c r="GN32" s="159"/>
      <c r="GO32" s="150"/>
      <c r="GP32" s="314"/>
      <c r="GQ32" s="314"/>
      <c r="GR32" s="314"/>
      <c r="GS32" s="314"/>
      <c r="GT32" s="314"/>
      <c r="GU32" s="314"/>
      <c r="GV32" s="314"/>
      <c r="GW32" s="314"/>
      <c r="GX32" s="314"/>
      <c r="GY32" s="314"/>
      <c r="GZ32" s="315"/>
      <c r="HA32" s="159"/>
      <c r="HB32" s="150"/>
      <c r="HC32" s="314"/>
      <c r="HD32" s="314"/>
      <c r="HE32" s="314"/>
      <c r="HF32" s="314"/>
      <c r="HG32" s="314"/>
      <c r="HH32" s="314"/>
      <c r="HI32" s="314"/>
      <c r="HJ32" s="314"/>
      <c r="HK32" s="314"/>
      <c r="HL32" s="314"/>
      <c r="HM32" s="315"/>
      <c r="HN32" s="159"/>
      <c r="HO32" s="150"/>
      <c r="HP32" s="314"/>
      <c r="HQ32" s="314"/>
      <c r="HR32" s="314"/>
      <c r="HS32" s="314"/>
      <c r="HT32" s="314"/>
      <c r="HU32" s="314"/>
      <c r="HV32" s="314"/>
      <c r="HW32" s="314"/>
      <c r="HX32" s="314"/>
      <c r="HY32" s="314"/>
      <c r="HZ32" s="315"/>
      <c r="IA32" s="159"/>
      <c r="IB32" s="150"/>
      <c r="IC32" s="314"/>
      <c r="ID32" s="314"/>
      <c r="IE32" s="314"/>
      <c r="IF32" s="314"/>
      <c r="IG32" s="314"/>
      <c r="IH32" s="314"/>
      <c r="II32" s="314"/>
      <c r="IJ32" s="314"/>
      <c r="IK32" s="314"/>
      <c r="IL32" s="314"/>
      <c r="IM32" s="315"/>
      <c r="IN32" s="159"/>
      <c r="IO32" s="150"/>
      <c r="IP32" s="314"/>
      <c r="IQ32" s="314"/>
      <c r="IR32" s="314"/>
      <c r="IS32" s="314"/>
      <c r="IT32" s="314"/>
      <c r="IU32" s="314"/>
      <c r="IV32" s="314"/>
    </row>
    <row r="33" spans="1:256" x14ac:dyDescent="0.2">
      <c r="A33" s="159"/>
      <c r="B33" s="150"/>
      <c r="C33" s="314"/>
      <c r="D33" s="314"/>
      <c r="E33" s="314"/>
      <c r="F33" s="314"/>
      <c r="G33" s="314"/>
      <c r="H33" s="314"/>
      <c r="I33" s="314"/>
      <c r="J33" s="314"/>
      <c r="K33" s="314"/>
      <c r="L33" s="314"/>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4"/>
      <c r="D34" s="314"/>
      <c r="E34" s="314"/>
      <c r="F34" s="314"/>
      <c r="G34" s="314"/>
      <c r="H34" s="314"/>
      <c r="I34" s="314"/>
      <c r="J34" s="314"/>
      <c r="K34" s="314"/>
      <c r="L34" s="314"/>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4"/>
      <c r="D35" s="314"/>
      <c r="E35" s="314"/>
      <c r="F35" s="314"/>
      <c r="G35" s="314"/>
      <c r="H35" s="314"/>
      <c r="I35" s="314"/>
      <c r="J35" s="314"/>
      <c r="K35" s="314"/>
      <c r="L35" s="314"/>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4"/>
      <c r="D36" s="314"/>
      <c r="E36" s="314"/>
      <c r="F36" s="314"/>
      <c r="G36" s="314"/>
      <c r="H36" s="314"/>
      <c r="I36" s="314"/>
      <c r="J36" s="314"/>
      <c r="K36" s="314"/>
      <c r="L36" s="314"/>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4"/>
      <c r="D37" s="314"/>
      <c r="E37" s="314"/>
      <c r="F37" s="314"/>
      <c r="G37" s="314"/>
      <c r="H37" s="314"/>
      <c r="I37" s="314"/>
      <c r="J37" s="314"/>
      <c r="K37" s="314"/>
      <c r="L37" s="314"/>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4"/>
      <c r="D38" s="314"/>
      <c r="E38" s="314"/>
      <c r="F38" s="314"/>
      <c r="G38" s="314"/>
      <c r="H38" s="314"/>
      <c r="I38" s="314"/>
      <c r="J38" s="314"/>
      <c r="K38" s="314"/>
      <c r="L38" s="314"/>
      <c r="M38" s="315"/>
      <c r="N38" s="153"/>
      <c r="O38" s="153"/>
      <c r="P38" s="319"/>
      <c r="Q38" s="319"/>
      <c r="R38" s="319"/>
      <c r="S38" s="319"/>
      <c r="T38" s="319"/>
      <c r="U38" s="319"/>
      <c r="V38" s="319"/>
      <c r="W38" s="319"/>
      <c r="X38" s="319"/>
      <c r="Y38" s="319"/>
      <c r="Z38" s="319"/>
      <c r="AA38" s="150"/>
      <c r="AB38" s="150"/>
      <c r="AC38" s="314"/>
      <c r="AD38" s="314"/>
      <c r="AE38" s="314"/>
      <c r="AF38" s="314"/>
      <c r="AG38" s="314"/>
      <c r="AH38" s="314"/>
      <c r="AI38" s="314"/>
      <c r="AJ38" s="314"/>
      <c r="AK38" s="314"/>
      <c r="AL38" s="314"/>
      <c r="AM38" s="314"/>
      <c r="AN38" s="150"/>
      <c r="AO38" s="150"/>
      <c r="AP38" s="314"/>
      <c r="AQ38" s="314"/>
      <c r="AR38" s="314"/>
      <c r="AS38" s="314"/>
      <c r="AT38" s="314"/>
      <c r="AU38" s="314"/>
      <c r="AV38" s="314"/>
      <c r="AW38" s="314"/>
      <c r="AX38" s="314"/>
      <c r="AY38" s="314"/>
      <c r="AZ38" s="314"/>
      <c r="BA38" s="150"/>
      <c r="BB38" s="150"/>
      <c r="BC38" s="314"/>
      <c r="BD38" s="314"/>
      <c r="BE38" s="314"/>
      <c r="BF38" s="314"/>
      <c r="BG38" s="314"/>
      <c r="BH38" s="314"/>
      <c r="BI38" s="314"/>
      <c r="BJ38" s="314"/>
      <c r="BK38" s="314"/>
      <c r="BL38" s="314"/>
      <c r="BM38" s="314"/>
      <c r="BN38" s="150"/>
      <c r="BO38" s="150"/>
      <c r="BP38" s="314"/>
      <c r="BQ38" s="314"/>
      <c r="BR38" s="314"/>
      <c r="BS38" s="314"/>
      <c r="BT38" s="314"/>
      <c r="BU38" s="314"/>
      <c r="BV38" s="314"/>
      <c r="BW38" s="314"/>
      <c r="BX38" s="314"/>
      <c r="BY38" s="314"/>
      <c r="BZ38" s="314"/>
      <c r="CA38" s="150"/>
      <c r="CB38" s="150"/>
      <c r="CC38" s="314"/>
      <c r="CD38" s="314"/>
      <c r="CE38" s="314"/>
      <c r="CF38" s="314"/>
      <c r="CG38" s="314"/>
      <c r="CH38" s="314"/>
      <c r="CI38" s="314"/>
      <c r="CJ38" s="314"/>
      <c r="CK38" s="314"/>
      <c r="CL38" s="314"/>
      <c r="CM38" s="314"/>
      <c r="CN38" s="150"/>
      <c r="CO38" s="150"/>
      <c r="CP38" s="314"/>
      <c r="CQ38" s="314"/>
      <c r="CR38" s="314"/>
      <c r="CS38" s="314"/>
      <c r="CT38" s="314"/>
      <c r="CU38" s="314"/>
      <c r="CV38" s="314"/>
      <c r="CW38" s="314"/>
      <c r="CX38" s="314"/>
      <c r="CY38" s="314"/>
      <c r="CZ38" s="314"/>
      <c r="DA38" s="150"/>
      <c r="DB38" s="150"/>
      <c r="DC38" s="314"/>
      <c r="DD38" s="314"/>
      <c r="DE38" s="314"/>
      <c r="DF38" s="314"/>
      <c r="DG38" s="314"/>
      <c r="DH38" s="314"/>
      <c r="DI38" s="314"/>
      <c r="DJ38" s="314"/>
      <c r="DK38" s="314"/>
      <c r="DL38" s="314"/>
      <c r="DM38" s="314"/>
      <c r="DN38" s="150"/>
      <c r="DO38" s="150"/>
      <c r="DP38" s="314"/>
      <c r="DQ38" s="314"/>
      <c r="DR38" s="314"/>
      <c r="DS38" s="314"/>
      <c r="DT38" s="314"/>
      <c r="DU38" s="314"/>
      <c r="DV38" s="314"/>
      <c r="DW38" s="314"/>
      <c r="DX38" s="314"/>
      <c r="DY38" s="314"/>
      <c r="DZ38" s="314"/>
      <c r="EA38" s="150"/>
      <c r="EB38" s="150"/>
      <c r="EC38" s="314"/>
      <c r="ED38" s="314"/>
      <c r="EE38" s="314"/>
      <c r="EF38" s="314"/>
      <c r="EG38" s="314"/>
      <c r="EH38" s="314"/>
      <c r="EI38" s="314"/>
      <c r="EJ38" s="314"/>
      <c r="EK38" s="314"/>
      <c r="EL38" s="314"/>
      <c r="EM38" s="314"/>
      <c r="EN38" s="150"/>
      <c r="EO38" s="150"/>
      <c r="EP38" s="314"/>
      <c r="EQ38" s="314"/>
      <c r="ER38" s="314"/>
      <c r="ES38" s="314"/>
      <c r="ET38" s="314"/>
      <c r="EU38" s="314"/>
      <c r="EV38" s="314"/>
      <c r="EW38" s="314"/>
      <c r="EX38" s="314"/>
      <c r="EY38" s="314"/>
      <c r="EZ38" s="314"/>
      <c r="FA38" s="150"/>
      <c r="FB38" s="150"/>
      <c r="FC38" s="314"/>
      <c r="FD38" s="314"/>
      <c r="FE38" s="314"/>
      <c r="FF38" s="314"/>
      <c r="FG38" s="314"/>
      <c r="FH38" s="314"/>
      <c r="FI38" s="314"/>
      <c r="FJ38" s="314"/>
      <c r="FK38" s="314"/>
      <c r="FL38" s="314"/>
      <c r="FM38" s="314"/>
      <c r="FN38" s="150"/>
      <c r="FO38" s="150"/>
      <c r="FP38" s="314"/>
      <c r="FQ38" s="314"/>
      <c r="FR38" s="314"/>
      <c r="FS38" s="314"/>
      <c r="FT38" s="314"/>
      <c r="FU38" s="314"/>
      <c r="FV38" s="314"/>
      <c r="FW38" s="314"/>
      <c r="FX38" s="314"/>
      <c r="FY38" s="314"/>
      <c r="FZ38" s="314"/>
      <c r="GA38" s="150"/>
      <c r="GB38" s="150"/>
      <c r="GC38" s="314"/>
      <c r="GD38" s="314"/>
      <c r="GE38" s="314"/>
      <c r="GF38" s="314"/>
      <c r="GG38" s="314"/>
      <c r="GH38" s="314"/>
      <c r="GI38" s="314"/>
      <c r="GJ38" s="314"/>
      <c r="GK38" s="314"/>
      <c r="GL38" s="314"/>
      <c r="GM38" s="314"/>
      <c r="GN38" s="150"/>
      <c r="GO38" s="150"/>
      <c r="GP38" s="314"/>
      <c r="GQ38" s="314"/>
      <c r="GR38" s="314"/>
      <c r="GS38" s="314"/>
      <c r="GT38" s="314"/>
      <c r="GU38" s="314"/>
      <c r="GV38" s="314"/>
      <c r="GW38" s="314"/>
      <c r="GX38" s="314"/>
      <c r="GY38" s="314"/>
      <c r="GZ38" s="314"/>
      <c r="HA38" s="150"/>
      <c r="HB38" s="150"/>
      <c r="HC38" s="314"/>
      <c r="HD38" s="314"/>
      <c r="HE38" s="314"/>
      <c r="HF38" s="314"/>
      <c r="HG38" s="314"/>
      <c r="HH38" s="314"/>
      <c r="HI38" s="314"/>
      <c r="HJ38" s="314"/>
      <c r="HK38" s="314"/>
      <c r="HL38" s="314"/>
      <c r="HM38" s="314"/>
      <c r="HN38" s="150"/>
      <c r="HO38" s="150"/>
      <c r="HP38" s="314"/>
      <c r="HQ38" s="314"/>
      <c r="HR38" s="314"/>
      <c r="HS38" s="314"/>
      <c r="HT38" s="314"/>
      <c r="HU38" s="314"/>
      <c r="HV38" s="314"/>
      <c r="HW38" s="314"/>
      <c r="HX38" s="314"/>
      <c r="HY38" s="314"/>
      <c r="HZ38" s="314"/>
      <c r="IA38" s="150"/>
      <c r="IB38" s="150"/>
      <c r="IC38" s="314"/>
      <c r="ID38" s="314"/>
      <c r="IE38" s="314"/>
      <c r="IF38" s="314"/>
      <c r="IG38" s="314"/>
      <c r="IH38" s="314"/>
      <c r="II38" s="314"/>
      <c r="IJ38" s="314"/>
      <c r="IK38" s="314"/>
      <c r="IL38" s="314"/>
      <c r="IM38" s="314"/>
      <c r="IN38" s="150"/>
      <c r="IO38" s="150"/>
      <c r="IP38" s="314"/>
      <c r="IQ38" s="314"/>
      <c r="IR38" s="314"/>
      <c r="IS38" s="314"/>
      <c r="IT38" s="314"/>
      <c r="IU38" s="314"/>
      <c r="IV38" s="314"/>
    </row>
    <row r="39" spans="1:256" x14ac:dyDescent="0.2">
      <c r="A39" s="159"/>
      <c r="B39" s="150"/>
      <c r="C39" s="314"/>
      <c r="D39" s="314"/>
      <c r="E39" s="314"/>
      <c r="F39" s="314"/>
      <c r="G39" s="314"/>
      <c r="H39" s="314"/>
      <c r="I39" s="314"/>
      <c r="J39" s="314"/>
      <c r="K39" s="314"/>
      <c r="L39" s="314"/>
      <c r="M39" s="315"/>
      <c r="N39" s="153"/>
      <c r="O39" s="153"/>
      <c r="P39" s="319"/>
      <c r="Q39" s="319"/>
      <c r="R39" s="319"/>
      <c r="S39" s="319"/>
      <c r="T39" s="319"/>
      <c r="U39" s="319"/>
      <c r="V39" s="319"/>
      <c r="W39" s="319"/>
      <c r="X39" s="319"/>
      <c r="Y39" s="319"/>
      <c r="Z39" s="319"/>
      <c r="AA39" s="150"/>
      <c r="AB39" s="150"/>
      <c r="AC39" s="314"/>
      <c r="AD39" s="314"/>
      <c r="AE39" s="314"/>
      <c r="AF39" s="314"/>
      <c r="AG39" s="314"/>
      <c r="AH39" s="314"/>
      <c r="AI39" s="314"/>
      <c r="AJ39" s="314"/>
      <c r="AK39" s="314"/>
      <c r="AL39" s="314"/>
      <c r="AM39" s="314"/>
      <c r="AN39" s="150"/>
      <c r="AO39" s="150"/>
      <c r="AP39" s="314"/>
      <c r="AQ39" s="314"/>
      <c r="AR39" s="314"/>
      <c r="AS39" s="314"/>
      <c r="AT39" s="314"/>
      <c r="AU39" s="314"/>
      <c r="AV39" s="314"/>
      <c r="AW39" s="314"/>
      <c r="AX39" s="314"/>
      <c r="AY39" s="314"/>
      <c r="AZ39" s="314"/>
      <c r="BA39" s="150"/>
      <c r="BB39" s="150"/>
      <c r="BC39" s="314"/>
      <c r="BD39" s="314"/>
      <c r="BE39" s="314"/>
      <c r="BF39" s="314"/>
      <c r="BG39" s="314"/>
      <c r="BH39" s="314"/>
      <c r="BI39" s="314"/>
      <c r="BJ39" s="314"/>
      <c r="BK39" s="314"/>
      <c r="BL39" s="314"/>
      <c r="BM39" s="314"/>
      <c r="BN39" s="150"/>
      <c r="BO39" s="150"/>
      <c r="BP39" s="314"/>
      <c r="BQ39" s="314"/>
      <c r="BR39" s="314"/>
      <c r="BS39" s="314"/>
      <c r="BT39" s="314"/>
      <c r="BU39" s="314"/>
      <c r="BV39" s="314"/>
      <c r="BW39" s="314"/>
      <c r="BX39" s="314"/>
      <c r="BY39" s="314"/>
      <c r="BZ39" s="314"/>
      <c r="CA39" s="150"/>
      <c r="CB39" s="150"/>
      <c r="CC39" s="314"/>
      <c r="CD39" s="314"/>
      <c r="CE39" s="314"/>
      <c r="CF39" s="314"/>
      <c r="CG39" s="314"/>
      <c r="CH39" s="314"/>
      <c r="CI39" s="314"/>
      <c r="CJ39" s="314"/>
      <c r="CK39" s="314"/>
      <c r="CL39" s="314"/>
      <c r="CM39" s="314"/>
      <c r="CN39" s="150"/>
      <c r="CO39" s="150"/>
      <c r="CP39" s="314"/>
      <c r="CQ39" s="314"/>
      <c r="CR39" s="314"/>
      <c r="CS39" s="314"/>
      <c r="CT39" s="314"/>
      <c r="CU39" s="314"/>
      <c r="CV39" s="314"/>
      <c r="CW39" s="314"/>
      <c r="CX39" s="314"/>
      <c r="CY39" s="314"/>
      <c r="CZ39" s="314"/>
      <c r="DA39" s="150"/>
      <c r="DB39" s="150"/>
      <c r="DC39" s="314"/>
      <c r="DD39" s="314"/>
      <c r="DE39" s="314"/>
      <c r="DF39" s="314"/>
      <c r="DG39" s="314"/>
      <c r="DH39" s="314"/>
      <c r="DI39" s="314"/>
      <c r="DJ39" s="314"/>
      <c r="DK39" s="314"/>
      <c r="DL39" s="314"/>
      <c r="DM39" s="314"/>
      <c r="DN39" s="150"/>
      <c r="DO39" s="150"/>
      <c r="DP39" s="314"/>
      <c r="DQ39" s="314"/>
      <c r="DR39" s="314"/>
      <c r="DS39" s="314"/>
      <c r="DT39" s="314"/>
      <c r="DU39" s="314"/>
      <c r="DV39" s="314"/>
      <c r="DW39" s="314"/>
      <c r="DX39" s="314"/>
      <c r="DY39" s="314"/>
      <c r="DZ39" s="314"/>
      <c r="EA39" s="150"/>
      <c r="EB39" s="150"/>
      <c r="EC39" s="314"/>
      <c r="ED39" s="314"/>
      <c r="EE39" s="314"/>
      <c r="EF39" s="314"/>
      <c r="EG39" s="314"/>
      <c r="EH39" s="314"/>
      <c r="EI39" s="314"/>
      <c r="EJ39" s="314"/>
      <c r="EK39" s="314"/>
      <c r="EL39" s="314"/>
      <c r="EM39" s="314"/>
      <c r="EN39" s="150"/>
      <c r="EO39" s="150"/>
      <c r="EP39" s="314"/>
      <c r="EQ39" s="314"/>
      <c r="ER39" s="314"/>
      <c r="ES39" s="314"/>
      <c r="ET39" s="314"/>
      <c r="EU39" s="314"/>
      <c r="EV39" s="314"/>
      <c r="EW39" s="314"/>
      <c r="EX39" s="314"/>
      <c r="EY39" s="314"/>
      <c r="EZ39" s="314"/>
      <c r="FA39" s="150"/>
      <c r="FB39" s="150"/>
      <c r="FC39" s="314"/>
      <c r="FD39" s="314"/>
      <c r="FE39" s="314"/>
      <c r="FF39" s="314"/>
      <c r="FG39" s="314"/>
      <c r="FH39" s="314"/>
      <c r="FI39" s="314"/>
      <c r="FJ39" s="314"/>
      <c r="FK39" s="314"/>
      <c r="FL39" s="314"/>
      <c r="FM39" s="314"/>
      <c r="FN39" s="150"/>
      <c r="FO39" s="150"/>
      <c r="FP39" s="314"/>
      <c r="FQ39" s="314"/>
      <c r="FR39" s="314"/>
      <c r="FS39" s="314"/>
      <c r="FT39" s="314"/>
      <c r="FU39" s="314"/>
      <c r="FV39" s="314"/>
      <c r="FW39" s="314"/>
      <c r="FX39" s="314"/>
      <c r="FY39" s="314"/>
      <c r="FZ39" s="314"/>
      <c r="GA39" s="150"/>
      <c r="GB39" s="150"/>
      <c r="GC39" s="314"/>
      <c r="GD39" s="314"/>
      <c r="GE39" s="314"/>
      <c r="GF39" s="314"/>
      <c r="GG39" s="314"/>
      <c r="GH39" s="314"/>
      <c r="GI39" s="314"/>
      <c r="GJ39" s="314"/>
      <c r="GK39" s="314"/>
      <c r="GL39" s="314"/>
      <c r="GM39" s="314"/>
      <c r="GN39" s="150"/>
      <c r="GO39" s="150"/>
      <c r="GP39" s="314"/>
      <c r="GQ39" s="314"/>
      <c r="GR39" s="314"/>
      <c r="GS39" s="314"/>
      <c r="GT39" s="314"/>
      <c r="GU39" s="314"/>
      <c r="GV39" s="314"/>
      <c r="GW39" s="314"/>
      <c r="GX39" s="314"/>
      <c r="GY39" s="314"/>
      <c r="GZ39" s="314"/>
      <c r="HA39" s="150"/>
      <c r="HB39" s="150"/>
      <c r="HC39" s="314"/>
      <c r="HD39" s="314"/>
      <c r="HE39" s="314"/>
      <c r="HF39" s="314"/>
      <c r="HG39" s="314"/>
      <c r="HH39" s="314"/>
      <c r="HI39" s="314"/>
      <c r="HJ39" s="314"/>
      <c r="HK39" s="314"/>
      <c r="HL39" s="314"/>
      <c r="HM39" s="314"/>
      <c r="HN39" s="150"/>
      <c r="HO39" s="150"/>
      <c r="HP39" s="314"/>
      <c r="HQ39" s="314"/>
      <c r="HR39" s="314"/>
      <c r="HS39" s="314"/>
      <c r="HT39" s="314"/>
      <c r="HU39" s="314"/>
      <c r="HV39" s="314"/>
      <c r="HW39" s="314"/>
      <c r="HX39" s="314"/>
      <c r="HY39" s="314"/>
      <c r="HZ39" s="314"/>
      <c r="IA39" s="150"/>
      <c r="IB39" s="150"/>
      <c r="IC39" s="314"/>
      <c r="ID39" s="314"/>
      <c r="IE39" s="314"/>
      <c r="IF39" s="314"/>
      <c r="IG39" s="314"/>
      <c r="IH39" s="314"/>
      <c r="II39" s="314"/>
      <c r="IJ39" s="314"/>
      <c r="IK39" s="314"/>
      <c r="IL39" s="314"/>
      <c r="IM39" s="314"/>
      <c r="IN39" s="150"/>
      <c r="IO39" s="150"/>
      <c r="IP39" s="314"/>
      <c r="IQ39" s="314"/>
      <c r="IR39" s="314"/>
      <c r="IS39" s="314"/>
      <c r="IT39" s="314"/>
      <c r="IU39" s="314"/>
      <c r="IV39" s="314"/>
    </row>
    <row r="40" spans="1:256" x14ac:dyDescent="0.2">
      <c r="A40" s="159"/>
      <c r="B40" s="150"/>
      <c r="C40" s="314"/>
      <c r="D40" s="314"/>
      <c r="E40" s="314"/>
      <c r="F40" s="314"/>
      <c r="G40" s="314"/>
      <c r="H40" s="314"/>
      <c r="I40" s="314"/>
      <c r="J40" s="314"/>
      <c r="K40" s="314"/>
      <c r="L40" s="314"/>
      <c r="M40" s="315"/>
      <c r="N40" s="153"/>
      <c r="O40" s="153"/>
      <c r="P40" s="319"/>
      <c r="Q40" s="319"/>
      <c r="R40" s="319"/>
      <c r="S40" s="319"/>
      <c r="T40" s="319"/>
      <c r="U40" s="319"/>
      <c r="V40" s="319"/>
      <c r="W40" s="319"/>
      <c r="X40" s="319"/>
      <c r="Y40" s="319"/>
      <c r="Z40" s="319"/>
      <c r="AA40" s="150"/>
      <c r="AB40" s="150"/>
      <c r="AC40" s="314"/>
      <c r="AD40" s="314"/>
      <c r="AE40" s="314"/>
      <c r="AF40" s="314"/>
      <c r="AG40" s="314"/>
      <c r="AH40" s="314"/>
      <c r="AI40" s="314"/>
      <c r="AJ40" s="314"/>
      <c r="AK40" s="314"/>
      <c r="AL40" s="314"/>
      <c r="AM40" s="314"/>
      <c r="AN40" s="150"/>
      <c r="AO40" s="150"/>
      <c r="AP40" s="314"/>
      <c r="AQ40" s="314"/>
      <c r="AR40" s="314"/>
      <c r="AS40" s="314"/>
      <c r="AT40" s="314"/>
      <c r="AU40" s="314"/>
      <c r="AV40" s="314"/>
      <c r="AW40" s="314"/>
      <c r="AX40" s="314"/>
      <c r="AY40" s="314"/>
      <c r="AZ40" s="314"/>
      <c r="BA40" s="150"/>
      <c r="BB40" s="150"/>
      <c r="BC40" s="314"/>
      <c r="BD40" s="314"/>
      <c r="BE40" s="314"/>
      <c r="BF40" s="314"/>
      <c r="BG40" s="314"/>
      <c r="BH40" s="314"/>
      <c r="BI40" s="314"/>
      <c r="BJ40" s="314"/>
      <c r="BK40" s="314"/>
      <c r="BL40" s="314"/>
      <c r="BM40" s="314"/>
      <c r="BN40" s="150"/>
      <c r="BO40" s="150"/>
      <c r="BP40" s="314"/>
      <c r="BQ40" s="314"/>
      <c r="BR40" s="314"/>
      <c r="BS40" s="314"/>
      <c r="BT40" s="314"/>
      <c r="BU40" s="314"/>
      <c r="BV40" s="314"/>
      <c r="BW40" s="314"/>
      <c r="BX40" s="314"/>
      <c r="BY40" s="314"/>
      <c r="BZ40" s="314"/>
      <c r="CA40" s="150"/>
      <c r="CB40" s="150"/>
      <c r="CC40" s="314"/>
      <c r="CD40" s="314"/>
      <c r="CE40" s="314"/>
      <c r="CF40" s="314"/>
      <c r="CG40" s="314"/>
      <c r="CH40" s="314"/>
      <c r="CI40" s="314"/>
      <c r="CJ40" s="314"/>
      <c r="CK40" s="314"/>
      <c r="CL40" s="314"/>
      <c r="CM40" s="314"/>
      <c r="CN40" s="150"/>
      <c r="CO40" s="150"/>
      <c r="CP40" s="314"/>
      <c r="CQ40" s="314"/>
      <c r="CR40" s="314"/>
      <c r="CS40" s="314"/>
      <c r="CT40" s="314"/>
      <c r="CU40" s="314"/>
      <c r="CV40" s="314"/>
      <c r="CW40" s="314"/>
      <c r="CX40" s="314"/>
      <c r="CY40" s="314"/>
      <c r="CZ40" s="314"/>
      <c r="DA40" s="150"/>
      <c r="DB40" s="150"/>
      <c r="DC40" s="314"/>
      <c r="DD40" s="314"/>
      <c r="DE40" s="314"/>
      <c r="DF40" s="314"/>
      <c r="DG40" s="314"/>
      <c r="DH40" s="314"/>
      <c r="DI40" s="314"/>
      <c r="DJ40" s="314"/>
      <c r="DK40" s="314"/>
      <c r="DL40" s="314"/>
      <c r="DM40" s="314"/>
      <c r="DN40" s="150"/>
      <c r="DO40" s="150"/>
      <c r="DP40" s="314"/>
      <c r="DQ40" s="314"/>
      <c r="DR40" s="314"/>
      <c r="DS40" s="314"/>
      <c r="DT40" s="314"/>
      <c r="DU40" s="314"/>
      <c r="DV40" s="314"/>
      <c r="DW40" s="314"/>
      <c r="DX40" s="314"/>
      <c r="DY40" s="314"/>
      <c r="DZ40" s="314"/>
      <c r="EA40" s="150"/>
      <c r="EB40" s="150"/>
      <c r="EC40" s="314"/>
      <c r="ED40" s="314"/>
      <c r="EE40" s="314"/>
      <c r="EF40" s="314"/>
      <c r="EG40" s="314"/>
      <c r="EH40" s="314"/>
      <c r="EI40" s="314"/>
      <c r="EJ40" s="314"/>
      <c r="EK40" s="314"/>
      <c r="EL40" s="314"/>
      <c r="EM40" s="314"/>
      <c r="EN40" s="150"/>
      <c r="EO40" s="150"/>
      <c r="EP40" s="314"/>
      <c r="EQ40" s="314"/>
      <c r="ER40" s="314"/>
      <c r="ES40" s="314"/>
      <c r="ET40" s="314"/>
      <c r="EU40" s="314"/>
      <c r="EV40" s="314"/>
      <c r="EW40" s="314"/>
      <c r="EX40" s="314"/>
      <c r="EY40" s="314"/>
      <c r="EZ40" s="314"/>
      <c r="FA40" s="150"/>
      <c r="FB40" s="150"/>
      <c r="FC40" s="314"/>
      <c r="FD40" s="314"/>
      <c r="FE40" s="314"/>
      <c r="FF40" s="314"/>
      <c r="FG40" s="314"/>
      <c r="FH40" s="314"/>
      <c r="FI40" s="314"/>
      <c r="FJ40" s="314"/>
      <c r="FK40" s="314"/>
      <c r="FL40" s="314"/>
      <c r="FM40" s="314"/>
      <c r="FN40" s="150"/>
      <c r="FO40" s="150"/>
      <c r="FP40" s="314"/>
      <c r="FQ40" s="314"/>
      <c r="FR40" s="314"/>
      <c r="FS40" s="314"/>
      <c r="FT40" s="314"/>
      <c r="FU40" s="314"/>
      <c r="FV40" s="314"/>
      <c r="FW40" s="314"/>
      <c r="FX40" s="314"/>
      <c r="FY40" s="314"/>
      <c r="FZ40" s="314"/>
      <c r="GA40" s="150"/>
      <c r="GB40" s="150"/>
      <c r="GC40" s="314"/>
      <c r="GD40" s="314"/>
      <c r="GE40" s="314"/>
      <c r="GF40" s="314"/>
      <c r="GG40" s="314"/>
      <c r="GH40" s="314"/>
      <c r="GI40" s="314"/>
      <c r="GJ40" s="314"/>
      <c r="GK40" s="314"/>
      <c r="GL40" s="314"/>
      <c r="GM40" s="314"/>
      <c r="GN40" s="150"/>
      <c r="GO40" s="150"/>
      <c r="GP40" s="314"/>
      <c r="GQ40" s="314"/>
      <c r="GR40" s="314"/>
      <c r="GS40" s="314"/>
      <c r="GT40" s="314"/>
      <c r="GU40" s="314"/>
      <c r="GV40" s="314"/>
      <c r="GW40" s="314"/>
      <c r="GX40" s="314"/>
      <c r="GY40" s="314"/>
      <c r="GZ40" s="314"/>
      <c r="HA40" s="150"/>
      <c r="HB40" s="150"/>
      <c r="HC40" s="314"/>
      <c r="HD40" s="314"/>
      <c r="HE40" s="314"/>
      <c r="HF40" s="314"/>
      <c r="HG40" s="314"/>
      <c r="HH40" s="314"/>
      <c r="HI40" s="314"/>
      <c r="HJ40" s="314"/>
      <c r="HK40" s="314"/>
      <c r="HL40" s="314"/>
      <c r="HM40" s="314"/>
      <c r="HN40" s="150"/>
      <c r="HO40" s="150"/>
      <c r="HP40" s="314"/>
      <c r="HQ40" s="314"/>
      <c r="HR40" s="314"/>
      <c r="HS40" s="314"/>
      <c r="HT40" s="314"/>
      <c r="HU40" s="314"/>
      <c r="HV40" s="314"/>
      <c r="HW40" s="314"/>
      <c r="HX40" s="314"/>
      <c r="HY40" s="314"/>
      <c r="HZ40" s="314"/>
      <c r="IA40" s="150"/>
      <c r="IB40" s="150"/>
      <c r="IC40" s="314"/>
      <c r="ID40" s="314"/>
      <c r="IE40" s="314"/>
      <c r="IF40" s="314"/>
      <c r="IG40" s="314"/>
      <c r="IH40" s="314"/>
      <c r="II40" s="314"/>
      <c r="IJ40" s="314"/>
      <c r="IK40" s="314"/>
      <c r="IL40" s="314"/>
      <c r="IM40" s="314"/>
      <c r="IN40" s="150"/>
      <c r="IO40" s="150"/>
      <c r="IP40" s="314"/>
      <c r="IQ40" s="314"/>
      <c r="IR40" s="314"/>
      <c r="IS40" s="314"/>
      <c r="IT40" s="314"/>
      <c r="IU40" s="314"/>
      <c r="IV40" s="314"/>
    </row>
    <row r="41" spans="1:256" x14ac:dyDescent="0.2">
      <c r="A41" s="159"/>
      <c r="B41" s="150"/>
      <c r="C41" s="314"/>
      <c r="D41" s="314"/>
      <c r="E41" s="314"/>
      <c r="F41" s="314"/>
      <c r="G41" s="314"/>
      <c r="H41" s="314"/>
      <c r="I41" s="314"/>
      <c r="J41" s="314"/>
      <c r="K41" s="314"/>
      <c r="L41" s="314"/>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4"/>
      <c r="D42" s="314"/>
      <c r="E42" s="314"/>
      <c r="F42" s="314"/>
      <c r="G42" s="314"/>
      <c r="H42" s="314"/>
      <c r="I42" s="314"/>
      <c r="J42" s="314"/>
      <c r="K42" s="314"/>
      <c r="L42" s="314"/>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4"/>
      <c r="D43" s="314"/>
      <c r="E43" s="314"/>
      <c r="F43" s="314"/>
      <c r="G43" s="314"/>
      <c r="H43" s="314"/>
      <c r="I43" s="314"/>
      <c r="J43" s="314"/>
      <c r="K43" s="314"/>
      <c r="L43" s="314"/>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4"/>
      <c r="D44" s="314"/>
      <c r="E44" s="314"/>
      <c r="F44" s="314"/>
      <c r="G44" s="314"/>
      <c r="H44" s="314"/>
      <c r="I44" s="314"/>
      <c r="J44" s="314"/>
      <c r="K44" s="314"/>
      <c r="L44" s="314"/>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4"/>
      <c r="D45" s="314"/>
      <c r="E45" s="314"/>
      <c r="F45" s="314"/>
      <c r="G45" s="314"/>
      <c r="H45" s="314"/>
      <c r="I45" s="314"/>
      <c r="J45" s="314"/>
      <c r="K45" s="314"/>
      <c r="L45" s="314"/>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4"/>
      <c r="D46" s="314"/>
      <c r="E46" s="314"/>
      <c r="F46" s="314"/>
      <c r="G46" s="314"/>
      <c r="H46" s="314"/>
      <c r="I46" s="314"/>
      <c r="J46" s="314"/>
      <c r="K46" s="314"/>
      <c r="L46" s="314"/>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4"/>
      <c r="D47" s="314"/>
      <c r="E47" s="314"/>
      <c r="F47" s="314"/>
      <c r="G47" s="314"/>
      <c r="H47" s="314"/>
      <c r="I47" s="314"/>
      <c r="J47" s="314"/>
      <c r="K47" s="314"/>
      <c r="L47" s="314"/>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4"/>
      <c r="D48" s="314"/>
      <c r="E48" s="314"/>
      <c r="F48" s="314"/>
      <c r="G48" s="314"/>
      <c r="H48" s="314"/>
      <c r="I48" s="314"/>
      <c r="J48" s="314"/>
      <c r="K48" s="314"/>
      <c r="L48" s="314"/>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4"/>
      <c r="D49" s="314"/>
      <c r="E49" s="314"/>
      <c r="F49" s="314"/>
      <c r="G49" s="314"/>
      <c r="H49" s="314"/>
      <c r="I49" s="314"/>
      <c r="J49" s="314"/>
      <c r="K49" s="314"/>
      <c r="L49" s="314"/>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4"/>
      <c r="D50" s="314"/>
      <c r="E50" s="314"/>
      <c r="F50" s="314"/>
      <c r="G50" s="314"/>
      <c r="H50" s="314"/>
      <c r="I50" s="314"/>
      <c r="J50" s="314"/>
      <c r="K50" s="314"/>
      <c r="L50" s="314"/>
      <c r="M50" s="315"/>
    </row>
    <row r="51" spans="1:256" x14ac:dyDescent="0.2">
      <c r="A51" s="159"/>
      <c r="B51" s="150"/>
      <c r="C51" s="314"/>
      <c r="D51" s="314"/>
      <c r="E51" s="314"/>
      <c r="F51" s="314"/>
      <c r="G51" s="314"/>
      <c r="H51" s="314"/>
      <c r="I51" s="314"/>
      <c r="J51" s="314"/>
      <c r="K51" s="314"/>
      <c r="L51" s="314"/>
      <c r="M51" s="315"/>
    </row>
    <row r="52" spans="1:256" x14ac:dyDescent="0.2">
      <c r="A52" s="159"/>
      <c r="B52" s="150"/>
      <c r="C52" s="314"/>
      <c r="D52" s="314"/>
      <c r="E52" s="314"/>
      <c r="F52" s="314"/>
      <c r="G52" s="314"/>
      <c r="H52" s="314"/>
      <c r="I52" s="314"/>
      <c r="J52" s="314"/>
      <c r="K52" s="314"/>
      <c r="L52" s="314"/>
      <c r="M52" s="315"/>
    </row>
    <row r="53" spans="1:256" x14ac:dyDescent="0.2">
      <c r="A53" s="159"/>
      <c r="B53" s="150"/>
      <c r="C53" s="314"/>
      <c r="D53" s="314"/>
      <c r="E53" s="314"/>
      <c r="F53" s="314"/>
      <c r="G53" s="314"/>
      <c r="H53" s="314"/>
      <c r="I53" s="314"/>
      <c r="J53" s="314"/>
      <c r="K53" s="314"/>
      <c r="L53" s="314"/>
      <c r="M53" s="315"/>
    </row>
    <row r="54" spans="1:256" x14ac:dyDescent="0.2">
      <c r="A54" s="159"/>
      <c r="B54" s="150"/>
      <c r="C54" s="314"/>
      <c r="D54" s="314"/>
      <c r="E54" s="314"/>
      <c r="F54" s="314"/>
      <c r="G54" s="314"/>
      <c r="H54" s="314"/>
      <c r="I54" s="314"/>
      <c r="J54" s="314"/>
      <c r="K54" s="314"/>
      <c r="L54" s="314"/>
      <c r="M54" s="315"/>
    </row>
    <row r="55" spans="1:256" x14ac:dyDescent="0.2">
      <c r="A55" s="159"/>
      <c r="B55" s="150"/>
      <c r="C55" s="314"/>
      <c r="D55" s="314"/>
      <c r="E55" s="314"/>
      <c r="F55" s="314"/>
      <c r="G55" s="314"/>
      <c r="H55" s="314"/>
      <c r="I55" s="314"/>
      <c r="J55" s="314"/>
      <c r="K55" s="314"/>
      <c r="L55" s="314"/>
      <c r="M55" s="315"/>
    </row>
    <row r="56" spans="1:256" x14ac:dyDescent="0.2">
      <c r="A56" s="159"/>
      <c r="B56" s="150"/>
      <c r="C56" s="314"/>
      <c r="D56" s="314"/>
      <c r="E56" s="314"/>
      <c r="F56" s="314"/>
      <c r="G56" s="314"/>
      <c r="H56" s="314"/>
      <c r="I56" s="314"/>
      <c r="J56" s="314"/>
      <c r="K56" s="314"/>
      <c r="L56" s="314"/>
      <c r="M56" s="315"/>
    </row>
    <row r="57" spans="1:256" x14ac:dyDescent="0.2">
      <c r="A57" s="159"/>
      <c r="B57" s="150"/>
      <c r="C57" s="314"/>
      <c r="D57" s="314"/>
      <c r="E57" s="314"/>
      <c r="F57" s="314"/>
      <c r="G57" s="314"/>
      <c r="H57" s="314"/>
      <c r="I57" s="314"/>
      <c r="J57" s="314"/>
      <c r="K57" s="314"/>
      <c r="L57" s="314"/>
      <c r="M57" s="315"/>
    </row>
    <row r="58" spans="1:256" x14ac:dyDescent="0.2">
      <c r="A58" s="159"/>
      <c r="B58" s="150"/>
      <c r="C58" s="314"/>
      <c r="D58" s="314"/>
      <c r="E58" s="314"/>
      <c r="F58" s="314"/>
      <c r="G58" s="314"/>
      <c r="H58" s="314"/>
      <c r="I58" s="314"/>
      <c r="J58" s="314"/>
      <c r="K58" s="314"/>
      <c r="L58" s="314"/>
      <c r="M58" s="315"/>
    </row>
    <row r="59" spans="1:256" x14ac:dyDescent="0.2">
      <c r="A59" s="159"/>
      <c r="B59" s="150"/>
      <c r="C59" s="314"/>
      <c r="D59" s="314"/>
      <c r="E59" s="314"/>
      <c r="F59" s="314"/>
      <c r="G59" s="314"/>
      <c r="H59" s="314"/>
      <c r="I59" s="314"/>
      <c r="J59" s="314"/>
      <c r="K59" s="314"/>
      <c r="L59" s="314"/>
      <c r="M59" s="315"/>
    </row>
    <row r="60" spans="1:256" x14ac:dyDescent="0.2">
      <c r="A60" s="159"/>
      <c r="B60" s="150"/>
      <c r="C60" s="314"/>
      <c r="D60" s="314"/>
      <c r="E60" s="314"/>
      <c r="F60" s="314"/>
      <c r="G60" s="314"/>
      <c r="H60" s="314"/>
      <c r="I60" s="314"/>
      <c r="J60" s="314"/>
      <c r="K60" s="314"/>
      <c r="L60" s="314"/>
      <c r="M60" s="315"/>
    </row>
    <row r="61" spans="1:256" x14ac:dyDescent="0.2">
      <c r="A61" s="159"/>
      <c r="B61" s="150"/>
      <c r="C61" s="314"/>
      <c r="D61" s="314"/>
      <c r="E61" s="314"/>
      <c r="F61" s="314"/>
      <c r="G61" s="314"/>
      <c r="H61" s="314"/>
      <c r="I61" s="314"/>
      <c r="J61" s="314"/>
      <c r="K61" s="314"/>
      <c r="L61" s="314"/>
      <c r="M61" s="315"/>
    </row>
    <row r="62" spans="1:256" x14ac:dyDescent="0.2">
      <c r="A62" s="159"/>
      <c r="B62" s="150"/>
      <c r="C62" s="314"/>
      <c r="D62" s="314"/>
      <c r="E62" s="314"/>
      <c r="F62" s="314"/>
      <c r="G62" s="314"/>
      <c r="H62" s="314"/>
      <c r="I62" s="314"/>
      <c r="J62" s="314"/>
      <c r="K62" s="314"/>
      <c r="L62" s="314"/>
      <c r="M62" s="315"/>
    </row>
    <row r="63" spans="1:256" x14ac:dyDescent="0.2">
      <c r="A63" s="159"/>
      <c r="B63" s="150"/>
      <c r="C63" s="314"/>
      <c r="D63" s="314"/>
      <c r="E63" s="314"/>
      <c r="F63" s="314"/>
      <c r="G63" s="314"/>
      <c r="H63" s="314"/>
      <c r="I63" s="314"/>
      <c r="J63" s="314"/>
      <c r="K63" s="314"/>
      <c r="L63" s="314"/>
      <c r="M63" s="315"/>
    </row>
    <row r="64" spans="1:256" x14ac:dyDescent="0.2">
      <c r="A64" s="159"/>
      <c r="B64" s="150"/>
      <c r="C64" s="314"/>
      <c r="D64" s="314"/>
      <c r="E64" s="314"/>
      <c r="F64" s="314"/>
      <c r="G64" s="314"/>
      <c r="H64" s="314"/>
      <c r="I64" s="314"/>
      <c r="J64" s="314"/>
      <c r="K64" s="314"/>
      <c r="L64" s="314"/>
      <c r="M64" s="315"/>
    </row>
    <row r="65" spans="1:13" x14ac:dyDescent="0.2">
      <c r="A65" s="159"/>
      <c r="B65" s="150"/>
      <c r="C65" s="314"/>
      <c r="D65" s="314"/>
      <c r="E65" s="314"/>
      <c r="F65" s="314"/>
      <c r="G65" s="314"/>
      <c r="H65" s="314"/>
      <c r="I65" s="314"/>
      <c r="J65" s="314"/>
      <c r="K65" s="314"/>
      <c r="L65" s="314"/>
      <c r="M65" s="315"/>
    </row>
    <row r="66" spans="1:13" x14ac:dyDescent="0.2">
      <c r="A66" s="159"/>
      <c r="B66" s="150"/>
      <c r="C66" s="314"/>
      <c r="D66" s="314"/>
      <c r="E66" s="314"/>
      <c r="F66" s="314"/>
      <c r="G66" s="314"/>
      <c r="H66" s="314"/>
      <c r="I66" s="314"/>
      <c r="J66" s="314"/>
      <c r="K66" s="314"/>
      <c r="L66" s="314"/>
      <c r="M66" s="315"/>
    </row>
    <row r="67" spans="1:13" x14ac:dyDescent="0.2">
      <c r="A67" s="159"/>
      <c r="B67" s="150"/>
      <c r="C67" s="314"/>
      <c r="D67" s="314"/>
      <c r="E67" s="314"/>
      <c r="F67" s="314"/>
      <c r="G67" s="314"/>
      <c r="H67" s="314"/>
      <c r="I67" s="314"/>
      <c r="J67" s="314"/>
      <c r="K67" s="314"/>
      <c r="L67" s="314"/>
      <c r="M67" s="315"/>
    </row>
    <row r="68" spans="1:13" x14ac:dyDescent="0.2">
      <c r="A68" s="159"/>
      <c r="B68" s="150"/>
      <c r="C68" s="314"/>
      <c r="D68" s="314"/>
      <c r="E68" s="314"/>
      <c r="F68" s="314"/>
      <c r="G68" s="314"/>
      <c r="H68" s="314"/>
      <c r="I68" s="314"/>
      <c r="J68" s="314"/>
      <c r="K68" s="314"/>
      <c r="L68" s="314"/>
      <c r="M68" s="315"/>
    </row>
    <row r="69" spans="1:13" x14ac:dyDescent="0.2">
      <c r="A69" s="159"/>
      <c r="B69" s="150"/>
      <c r="C69" s="314"/>
      <c r="D69" s="314"/>
      <c r="E69" s="314"/>
      <c r="F69" s="314"/>
      <c r="G69" s="314"/>
      <c r="H69" s="314"/>
      <c r="I69" s="314"/>
      <c r="J69" s="314"/>
      <c r="K69" s="314"/>
      <c r="L69" s="314"/>
      <c r="M69" s="315"/>
    </row>
    <row r="70" spans="1:13" ht="12" thickBot="1" x14ac:dyDescent="0.25">
      <c r="A70" s="160"/>
      <c r="B70" s="161"/>
      <c r="C70" s="316"/>
      <c r="D70" s="316"/>
      <c r="E70" s="316"/>
      <c r="F70" s="316"/>
      <c r="G70" s="316"/>
      <c r="H70" s="316"/>
      <c r="I70" s="316"/>
      <c r="J70" s="316"/>
      <c r="K70" s="316"/>
      <c r="L70" s="316"/>
      <c r="M70" s="317"/>
    </row>
    <row r="71" spans="1:13" ht="12" thickTop="1" x14ac:dyDescent="0.2">
      <c r="A71" s="151"/>
      <c r="B71" s="151"/>
      <c r="C71" s="152"/>
      <c r="D71" s="152"/>
      <c r="E71" s="152"/>
      <c r="F71" s="152"/>
      <c r="G71" s="152"/>
      <c r="H71" s="152"/>
      <c r="I71" s="152"/>
      <c r="J71" s="152"/>
      <c r="K71" s="152"/>
      <c r="L71" s="152"/>
    </row>
    <row r="72" spans="1:13" ht="12.75" x14ac:dyDescent="0.2">
      <c r="A72" s="318" t="s">
        <v>832</v>
      </c>
      <c r="B72" s="318"/>
      <c r="C72" s="318"/>
      <c r="D72" s="318"/>
      <c r="E72" s="318"/>
    </row>
    <row r="73" spans="1:13" x14ac:dyDescent="0.2">
      <c r="A73" s="131" t="s">
        <v>764</v>
      </c>
      <c r="B73" s="131" t="s">
        <v>765</v>
      </c>
      <c r="C73" s="300"/>
      <c r="D73" s="300"/>
      <c r="E73" s="300"/>
      <c r="F73" s="300"/>
      <c r="G73" s="300"/>
      <c r="H73" s="300"/>
      <c r="I73" s="300"/>
      <c r="J73" s="300"/>
      <c r="K73" s="300"/>
      <c r="L73" s="300"/>
      <c r="M73" s="300"/>
    </row>
    <row r="74" spans="1:13" x14ac:dyDescent="0.2">
      <c r="A74" s="153"/>
      <c r="B74" s="153"/>
      <c r="C74" s="300"/>
      <c r="D74" s="300"/>
      <c r="E74" s="300"/>
      <c r="F74" s="300"/>
      <c r="G74" s="300"/>
      <c r="H74" s="300"/>
      <c r="I74" s="300"/>
      <c r="J74" s="300"/>
      <c r="K74" s="300"/>
      <c r="L74" s="300"/>
      <c r="M74" s="300"/>
    </row>
    <row r="75" spans="1:13" x14ac:dyDescent="0.2">
      <c r="A75" s="153"/>
      <c r="B75" s="153"/>
      <c r="C75" s="300"/>
      <c r="D75" s="300"/>
      <c r="E75" s="300"/>
      <c r="F75" s="300"/>
      <c r="G75" s="300"/>
      <c r="H75" s="300"/>
      <c r="I75" s="300"/>
      <c r="J75" s="300"/>
      <c r="K75" s="300"/>
      <c r="L75" s="300"/>
      <c r="M75" s="300"/>
    </row>
    <row r="76" spans="1:13" x14ac:dyDescent="0.2">
      <c r="A76" s="153"/>
      <c r="B76" s="153"/>
      <c r="C76" s="300"/>
      <c r="D76" s="300"/>
      <c r="E76" s="300"/>
      <c r="F76" s="300"/>
      <c r="G76" s="300"/>
      <c r="H76" s="300"/>
      <c r="I76" s="300"/>
      <c r="J76" s="300"/>
      <c r="K76" s="300"/>
      <c r="L76" s="300"/>
      <c r="M76" s="300"/>
    </row>
    <row r="77" spans="1:13" x14ac:dyDescent="0.2">
      <c r="A77" s="153"/>
      <c r="B77" s="153"/>
      <c r="C77" s="300"/>
      <c r="D77" s="300"/>
      <c r="E77" s="300"/>
      <c r="F77" s="300"/>
      <c r="G77" s="300"/>
      <c r="H77" s="300"/>
      <c r="I77" s="300"/>
      <c r="J77" s="300"/>
      <c r="K77" s="300"/>
      <c r="L77" s="300"/>
      <c r="M77" s="300"/>
    </row>
    <row r="78" spans="1:13" x14ac:dyDescent="0.2">
      <c r="A78" s="153"/>
      <c r="B78" s="153"/>
      <c r="C78" s="300"/>
      <c r="D78" s="300"/>
      <c r="E78" s="300"/>
      <c r="F78" s="300"/>
      <c r="G78" s="300"/>
      <c r="H78" s="300"/>
      <c r="I78" s="300"/>
      <c r="J78" s="300"/>
      <c r="K78" s="300"/>
      <c r="L78" s="300"/>
      <c r="M78" s="300"/>
    </row>
    <row r="79" spans="1:13" x14ac:dyDescent="0.2">
      <c r="A79" s="153"/>
      <c r="B79" s="153"/>
      <c r="C79" s="300"/>
      <c r="D79" s="300"/>
      <c r="E79" s="300"/>
      <c r="F79" s="300"/>
      <c r="G79" s="300"/>
      <c r="H79" s="300"/>
      <c r="I79" s="300"/>
      <c r="J79" s="300"/>
      <c r="K79" s="300"/>
      <c r="L79" s="300"/>
      <c r="M79" s="300"/>
    </row>
    <row r="80" spans="1:13" x14ac:dyDescent="0.2">
      <c r="A80" s="153"/>
      <c r="B80" s="153"/>
      <c r="C80" s="300"/>
      <c r="D80" s="300"/>
      <c r="E80" s="300"/>
      <c r="F80" s="300"/>
      <c r="G80" s="300"/>
      <c r="H80" s="300"/>
      <c r="I80" s="300"/>
      <c r="J80" s="300"/>
      <c r="K80" s="300"/>
      <c r="L80" s="300"/>
      <c r="M80" s="300"/>
    </row>
    <row r="81" spans="1:13" x14ac:dyDescent="0.2">
      <c r="A81" s="153"/>
      <c r="B81" s="153"/>
      <c r="C81" s="300"/>
      <c r="D81" s="300"/>
      <c r="E81" s="300"/>
      <c r="F81" s="300"/>
      <c r="G81" s="300"/>
      <c r="H81" s="300"/>
      <c r="I81" s="300"/>
      <c r="J81" s="300"/>
      <c r="K81" s="300"/>
      <c r="L81" s="300"/>
      <c r="M81" s="300"/>
    </row>
    <row r="82" spans="1:13" x14ac:dyDescent="0.2">
      <c r="A82" s="153"/>
      <c r="B82" s="153"/>
      <c r="C82" s="300"/>
      <c r="D82" s="300"/>
      <c r="E82" s="300"/>
      <c r="F82" s="300"/>
      <c r="G82" s="300"/>
      <c r="H82" s="300"/>
      <c r="I82" s="300"/>
      <c r="J82" s="300"/>
      <c r="K82" s="300"/>
      <c r="L82" s="300"/>
      <c r="M82" s="300"/>
    </row>
    <row r="83" spans="1:13" x14ac:dyDescent="0.2">
      <c r="A83" s="153"/>
      <c r="B83" s="153"/>
      <c r="C83" s="300"/>
      <c r="D83" s="300"/>
      <c r="E83" s="300"/>
      <c r="F83" s="300"/>
      <c r="G83" s="300"/>
      <c r="H83" s="300"/>
      <c r="I83" s="300"/>
      <c r="J83" s="300"/>
      <c r="K83" s="300"/>
      <c r="L83" s="300"/>
      <c r="M83" s="300"/>
    </row>
    <row r="84" spans="1:13" x14ac:dyDescent="0.2">
      <c r="A84" s="153"/>
      <c r="B84" s="153"/>
      <c r="C84" s="300"/>
      <c r="D84" s="300"/>
      <c r="E84" s="300"/>
      <c r="F84" s="300"/>
      <c r="G84" s="300"/>
      <c r="H84" s="300"/>
      <c r="I84" s="300"/>
      <c r="J84" s="300"/>
      <c r="K84" s="300"/>
      <c r="L84" s="300"/>
      <c r="M84" s="300"/>
    </row>
    <row r="85" spans="1:13" x14ac:dyDescent="0.2">
      <c r="A85" s="153"/>
      <c r="B85" s="153"/>
      <c r="C85" s="300"/>
      <c r="D85" s="300"/>
      <c r="E85" s="300"/>
      <c r="F85" s="300"/>
      <c r="G85" s="300"/>
      <c r="H85" s="300"/>
      <c r="I85" s="300"/>
      <c r="J85" s="300"/>
      <c r="K85" s="300"/>
      <c r="L85" s="300"/>
      <c r="M85" s="300"/>
    </row>
    <row r="86" spans="1:13" x14ac:dyDescent="0.2">
      <c r="A86" s="153"/>
      <c r="B86" s="153"/>
      <c r="C86" s="300"/>
      <c r="D86" s="300"/>
      <c r="E86" s="300"/>
      <c r="F86" s="300"/>
      <c r="G86" s="300"/>
      <c r="H86" s="300"/>
      <c r="I86" s="300"/>
      <c r="J86" s="300"/>
      <c r="K86" s="300"/>
      <c r="L86" s="300"/>
      <c r="M86" s="300"/>
    </row>
    <row r="87" spans="1:13" x14ac:dyDescent="0.2">
      <c r="A87" s="153"/>
      <c r="B87" s="153"/>
      <c r="C87" s="300"/>
      <c r="D87" s="300"/>
      <c r="E87" s="300"/>
      <c r="F87" s="300"/>
      <c r="G87" s="300"/>
      <c r="H87" s="300"/>
      <c r="I87" s="300"/>
      <c r="J87" s="300"/>
      <c r="K87" s="300"/>
      <c r="L87" s="300"/>
      <c r="M87" s="300"/>
    </row>
    <row r="88" spans="1:13" x14ac:dyDescent="0.2">
      <c r="A88" s="153"/>
      <c r="B88" s="153"/>
      <c r="C88" s="300"/>
      <c r="D88" s="300"/>
      <c r="E88" s="300"/>
      <c r="F88" s="300"/>
      <c r="G88" s="300"/>
      <c r="H88" s="300"/>
      <c r="I88" s="300"/>
      <c r="J88" s="300"/>
      <c r="K88" s="300"/>
      <c r="L88" s="300"/>
      <c r="M88" s="300"/>
    </row>
    <row r="89" spans="1:13" x14ac:dyDescent="0.2">
      <c r="A89" s="153"/>
      <c r="B89" s="153"/>
      <c r="C89" s="300"/>
      <c r="D89" s="300"/>
      <c r="E89" s="300"/>
      <c r="F89" s="300"/>
      <c r="G89" s="300"/>
      <c r="H89" s="300"/>
      <c r="I89" s="300"/>
      <c r="J89" s="300"/>
      <c r="K89" s="300"/>
      <c r="L89" s="300"/>
      <c r="M89" s="300"/>
    </row>
    <row r="90" spans="1:13" x14ac:dyDescent="0.2">
      <c r="A90" s="153"/>
      <c r="B90" s="153"/>
      <c r="C90" s="300"/>
      <c r="D90" s="300"/>
      <c r="E90" s="300"/>
      <c r="F90" s="300"/>
      <c r="G90" s="300"/>
      <c r="H90" s="300"/>
      <c r="I90" s="300"/>
      <c r="J90" s="300"/>
      <c r="K90" s="300"/>
      <c r="L90" s="300"/>
      <c r="M90" s="300"/>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276</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f>IF('School Level Expenditures'!$B$2=A279,'School Tables'!H279,"")</f>
        <v>276</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2022-06-03T13:02:42Z</cp:lastPrinted>
  <dcterms:created xsi:type="dcterms:W3CDTF">1997-12-04T19:04:30Z</dcterms:created>
  <dcterms:modified xsi:type="dcterms:W3CDTF">2024-03-22T17:50:42Z</dcterms:modified>
</cp:coreProperties>
</file>