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739AF5B4-5F1C-41D3-A17C-17F52A4B1314}"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78" i="1" l="1"/>
  <c r="H576" i="1"/>
  <c r="G527" i="1"/>
  <c r="F527" i="1"/>
  <c r="H522" i="1"/>
  <c r="G522" i="1"/>
  <c r="F522" i="1"/>
  <c r="G158" i="1" l="1"/>
  <c r="G132" i="1"/>
  <c r="G40" i="1"/>
  <c r="F110" i="1"/>
  <c r="F117" i="1"/>
  <c r="F128" i="1"/>
  <c r="D37" i="14"/>
  <c r="D6" i="14"/>
  <c r="F199" i="1"/>
  <c r="C39" i="12"/>
  <c r="B39" i="12"/>
  <c r="C20" i="12"/>
  <c r="B20" i="12"/>
  <c r="C10" i="12"/>
  <c r="B11" i="12"/>
  <c r="H155" i="1"/>
  <c r="B36" i="16"/>
  <c r="F473" i="1"/>
  <c r="G198" i="1"/>
  <c r="F50" i="1"/>
  <c r="F24" i="1"/>
  <c r="H593" i="1" l="1"/>
  <c r="H592" i="1"/>
  <c r="F369" i="1"/>
  <c r="F368" i="1"/>
  <c r="F160" i="1"/>
  <c r="F12" i="1"/>
  <c r="F278" i="1" l="1"/>
  <c r="H288" i="1"/>
  <c r="H283" i="1"/>
  <c r="F280" i="1"/>
  <c r="H209" i="1"/>
  <c r="F209" i="1"/>
  <c r="J208" i="1"/>
  <c r="I208" i="1"/>
  <c r="H208" i="1"/>
  <c r="G208" i="1"/>
  <c r="F208" i="1"/>
  <c r="G207" i="1"/>
  <c r="F207" i="1"/>
  <c r="J206" i="1"/>
  <c r="I206" i="1"/>
  <c r="H206" i="1"/>
  <c r="G206" i="1"/>
  <c r="F206" i="1"/>
  <c r="K205" i="1"/>
  <c r="I205" i="1"/>
  <c r="H205" i="1"/>
  <c r="G205" i="1"/>
  <c r="F205" i="1"/>
  <c r="I204" i="1"/>
  <c r="H204" i="1"/>
  <c r="G204" i="1"/>
  <c r="F204" i="1"/>
  <c r="K203" i="1"/>
  <c r="I203" i="1"/>
  <c r="H203" i="1"/>
  <c r="G203" i="1"/>
  <c r="F203" i="1"/>
  <c r="I201" i="1"/>
  <c r="H201" i="1"/>
  <c r="G201" i="1"/>
  <c r="F201" i="1"/>
  <c r="I198" i="1"/>
  <c r="H198" i="1"/>
  <c r="H234" i="1"/>
  <c r="H162" i="1"/>
  <c r="H22" i="1"/>
  <c r="H13" i="1"/>
  <c r="F63" i="1"/>
  <c r="F57" i="1"/>
  <c r="I359" i="1"/>
  <c r="G359" i="1"/>
  <c r="H359" i="1"/>
  <c r="F359" i="1"/>
  <c r="G97" i="1"/>
  <c r="F503" i="1"/>
  <c r="F502" i="1"/>
  <c r="F500" i="1"/>
  <c r="F499"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H29" i="13"/>
  <c r="L359" i="1"/>
  <c r="L360" i="1"/>
  <c r="L361" i="1"/>
  <c r="I368" i="1"/>
  <c r="J310" i="1"/>
  <c r="J329" i="1"/>
  <c r="K310" i="1"/>
  <c r="K329" i="1"/>
  <c r="L277" i="1"/>
  <c r="L278" i="1"/>
  <c r="L279" i="1"/>
  <c r="E111" i="2" s="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C119" i="2"/>
  <c r="C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477" i="1" l="1"/>
  <c r="H625" i="1" s="1"/>
  <c r="J625" i="1" s="1"/>
  <c r="G62" i="2"/>
  <c r="J652" i="1"/>
  <c r="H132" i="2"/>
  <c r="C120" i="2"/>
  <c r="E124" i="2"/>
  <c r="H44" i="2"/>
  <c r="C32" i="10"/>
  <c r="I409" i="1"/>
  <c r="H97" i="2"/>
  <c r="H22" i="2"/>
  <c r="J112" i="1"/>
  <c r="E121" i="2"/>
  <c r="H121" i="2" s="1"/>
  <c r="D6" i="13"/>
  <c r="C6" i="13" s="1"/>
  <c r="H125" i="2"/>
  <c r="H35" i="2"/>
  <c r="E120" i="2"/>
  <c r="C110" i="2"/>
  <c r="H38" i="2"/>
  <c r="E112" i="2"/>
  <c r="H112" i="2" s="1"/>
  <c r="H15" i="2"/>
  <c r="J291" i="1"/>
  <c r="J339" i="1" s="1"/>
  <c r="J353" i="1" s="1"/>
  <c r="G291" i="1"/>
  <c r="G339" i="1" s="1"/>
  <c r="G353" i="1" s="1"/>
  <c r="D144" i="2"/>
  <c r="H23" i="2"/>
  <c r="H135" i="2"/>
  <c r="H94" i="2"/>
  <c r="H29" i="2"/>
  <c r="H27" i="2"/>
  <c r="H24" i="2"/>
  <c r="H8" i="2"/>
  <c r="D18" i="13"/>
  <c r="C18" i="13" s="1"/>
  <c r="D15" i="13"/>
  <c r="C15" i="13" s="1"/>
  <c r="C12" i="10"/>
  <c r="H100" i="2"/>
  <c r="H73" i="2"/>
  <c r="H101" i="2"/>
  <c r="H99" i="2"/>
  <c r="H87" i="2"/>
  <c r="H36" i="2"/>
  <c r="H48" i="2"/>
  <c r="H61" i="2"/>
  <c r="H13" i="2"/>
  <c r="H96" i="2"/>
  <c r="H30" i="2"/>
  <c r="E13" i="13"/>
  <c r="C13" i="13" s="1"/>
  <c r="H43" i="2"/>
  <c r="H102" i="2"/>
  <c r="H137" i="2"/>
  <c r="H80" i="2"/>
  <c r="H34" i="2"/>
  <c r="H143" i="2"/>
  <c r="H98" i="2"/>
  <c r="H89" i="2"/>
  <c r="H72" i="2"/>
  <c r="H59" i="2"/>
  <c r="H9" i="2"/>
  <c r="C13" i="10"/>
  <c r="A40" i="12"/>
  <c r="H12" i="2"/>
  <c r="G409" i="1"/>
  <c r="H646" i="1" s="1"/>
  <c r="H11" i="2"/>
  <c r="H47" i="2"/>
  <c r="G477" i="1"/>
  <c r="H624" i="1" s="1"/>
  <c r="J624" i="1" s="1"/>
  <c r="G662" i="1"/>
  <c r="D78" i="2"/>
  <c r="H77" i="2"/>
  <c r="E119" i="2"/>
  <c r="H119" i="2" s="1"/>
  <c r="H409" i="1"/>
  <c r="H645" i="1" s="1"/>
  <c r="J645" i="1" s="1"/>
  <c r="J258" i="1"/>
  <c r="J272" i="1" s="1"/>
  <c r="E123" i="2"/>
  <c r="E110" i="2"/>
  <c r="J656" i="1"/>
  <c r="J572" i="1"/>
  <c r="D50" i="2"/>
  <c r="E131" i="2"/>
  <c r="H131" i="2" s="1"/>
  <c r="G553" i="1"/>
  <c r="H663" i="1"/>
  <c r="F258" i="1"/>
  <c r="F291" i="1" s="1"/>
  <c r="F339" i="1" s="1"/>
  <c r="F353" i="1" s="1"/>
  <c r="C20" i="10"/>
  <c r="I370" i="1"/>
  <c r="H635" i="1" s="1"/>
  <c r="J635" i="1" s="1"/>
  <c r="L257" i="1"/>
  <c r="H193" i="1"/>
  <c r="C11" i="10"/>
  <c r="A31" i="12"/>
  <c r="E114" i="2"/>
  <c r="E85" i="2"/>
  <c r="E91" i="2" s="1"/>
  <c r="H112" i="1"/>
  <c r="L402" i="1"/>
  <c r="C139" i="2" s="1"/>
  <c r="H139" i="2" s="1"/>
  <c r="C91" i="2"/>
  <c r="H462" i="1"/>
  <c r="H642" i="1" s="1"/>
  <c r="J642"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H122" i="2" s="1"/>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K258" i="1"/>
  <c r="G193" i="1"/>
  <c r="B13" i="16" s="1"/>
  <c r="F193" i="1"/>
  <c r="J553" i="1"/>
  <c r="I553" i="1"/>
  <c r="K550" i="1"/>
  <c r="F553" i="1"/>
  <c r="L352" i="1"/>
  <c r="F130" i="2"/>
  <c r="G170" i="1"/>
  <c r="B12" i="16" s="1"/>
  <c r="J618" i="1"/>
  <c r="K552" i="1"/>
  <c r="I25" i="13"/>
  <c r="K551" i="1"/>
  <c r="L535" i="1"/>
  <c r="K501" i="1"/>
  <c r="I461" i="1"/>
  <c r="I453" i="1"/>
  <c r="I447" i="1"/>
  <c r="G64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J651" i="1"/>
  <c r="L408" i="1"/>
  <c r="C140" i="2" s="1"/>
  <c r="H140" i="2" s="1"/>
  <c r="I193" i="1"/>
  <c r="J655" i="1"/>
  <c r="J654" i="1"/>
  <c r="G21" i="2"/>
  <c r="G31" i="2" s="1"/>
  <c r="J32" i="1"/>
  <c r="J435" i="1"/>
  <c r="F435" i="1"/>
  <c r="K435" i="1"/>
  <c r="G134" i="2" s="1"/>
  <c r="G144" i="2" s="1"/>
  <c r="G145" i="2" s="1"/>
  <c r="J194" i="1"/>
  <c r="G647" i="1" s="1"/>
  <c r="G140" i="1"/>
  <c r="B11" i="16" s="1"/>
  <c r="F140" i="1"/>
  <c r="G63" i="2"/>
  <c r="J619" i="1"/>
  <c r="G42" i="2"/>
  <c r="G50" i="2" s="1"/>
  <c r="J51" i="1"/>
  <c r="G16" i="2"/>
  <c r="G18" i="2" s="1"/>
  <c r="J19" i="1"/>
  <c r="G622" i="1" s="1"/>
  <c r="F546" i="1"/>
  <c r="H435" i="1"/>
  <c r="D103" i="2"/>
  <c r="I140" i="1"/>
  <c r="A22" i="12"/>
  <c r="J653" i="1"/>
  <c r="G572" i="1"/>
  <c r="I435" i="1"/>
  <c r="G435" i="1"/>
  <c r="I664" i="1"/>
  <c r="F272" i="1" l="1"/>
  <c r="E144" i="2"/>
  <c r="G31" i="13"/>
  <c r="G33" i="13" s="1"/>
  <c r="H120" i="2"/>
  <c r="H110" i="2"/>
  <c r="L572" i="1"/>
  <c r="H103" i="2"/>
  <c r="H123" i="2"/>
  <c r="H42" i="2"/>
  <c r="H85" i="2"/>
  <c r="G24" i="14"/>
  <c r="H24" i="14" s="1"/>
  <c r="I24" i="14" s="1"/>
  <c r="I272" i="1"/>
  <c r="I291" i="1" s="1"/>
  <c r="I339" i="1" s="1"/>
  <c r="I353" i="1" s="1"/>
  <c r="H16" i="2"/>
  <c r="H21" i="2"/>
  <c r="H134" i="2"/>
  <c r="H57" i="2"/>
  <c r="K272" i="1"/>
  <c r="K291" i="1"/>
  <c r="E51" i="2"/>
  <c r="H291" i="1"/>
  <c r="H339" i="1" s="1"/>
  <c r="H353" i="1" s="1"/>
  <c r="I663" i="1"/>
  <c r="E128" i="2"/>
  <c r="H118" i="2"/>
  <c r="E115" i="2"/>
  <c r="H109" i="2"/>
  <c r="F661" i="1"/>
  <c r="F665" i="1" s="1"/>
  <c r="F668" i="1" s="1"/>
  <c r="H91" i="2"/>
  <c r="H78" i="2"/>
  <c r="C81" i="2"/>
  <c r="F194" i="1"/>
  <c r="G628" i="1" s="1"/>
  <c r="J628" i="1" s="1"/>
  <c r="B33" i="16"/>
  <c r="H50" i="2"/>
  <c r="D128" i="2"/>
  <c r="H127" i="2"/>
  <c r="D81" i="2"/>
  <c r="D63" i="2"/>
  <c r="H62" i="2"/>
  <c r="D51" i="2"/>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C128" i="2"/>
  <c r="I462" i="1"/>
  <c r="H643" i="1" s="1"/>
  <c r="J643" i="1" s="1"/>
  <c r="G661" i="1"/>
  <c r="G665" i="1" s="1"/>
  <c r="G673" i="1" s="1"/>
  <c r="C5" i="10" s="1"/>
  <c r="C25" i="13"/>
  <c r="I33" i="13"/>
  <c r="K553" i="1"/>
  <c r="C51" i="2"/>
  <c r="G632" i="1"/>
  <c r="J632" i="1" s="1"/>
  <c r="G194" i="1"/>
  <c r="G629" i="1" s="1"/>
  <c r="J629" i="1" s="1"/>
  <c r="G627" i="1"/>
  <c r="J627" i="1" s="1"/>
  <c r="J52" i="1"/>
  <c r="H622" i="1" s="1"/>
  <c r="J622" i="1" s="1"/>
  <c r="C38" i="10"/>
  <c r="H31" i="13" l="1"/>
  <c r="K339" i="1"/>
  <c r="K353" i="1" s="1"/>
  <c r="H115" i="2"/>
  <c r="E145" i="2"/>
  <c r="H81" i="2"/>
  <c r="C104" i="2"/>
  <c r="H63" i="2"/>
  <c r="H51" i="2"/>
  <c r="D145" i="2"/>
  <c r="H128" i="2"/>
  <c r="D104" i="2"/>
  <c r="H673" i="1"/>
  <c r="C6" i="10" s="1"/>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C41" i="10"/>
  <c r="D38" i="10" s="1"/>
  <c r="H33" i="13" l="1"/>
  <c r="D31" i="13"/>
  <c r="H104" i="2"/>
  <c r="H657" i="1"/>
  <c r="C145" i="2"/>
  <c r="H145" i="2" s="1"/>
  <c r="I668" i="1"/>
  <c r="D28" i="10"/>
  <c r="D37" i="10"/>
  <c r="D36" i="10"/>
  <c r="D35" i="10"/>
  <c r="D40" i="10"/>
  <c r="D39" i="10"/>
  <c r="C31" i="13" l="1"/>
  <c r="D33" i="13"/>
  <c r="D36" i="13" s="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<sst xmlns="http://schemas.openxmlformats.org/spreadsheetml/2006/main" count="6533" uniqueCount="1805">
  <si>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</si>
  <si>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</si>
  <si>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</si>
  <si>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</si>
  <si>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</si>
  <si>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</si>
  <si>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</si>
  <si>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</si>
  <si>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</si>
  <si>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</si>
  <si>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</si>
  <si>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</si>
  <si>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</si>
  <si>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</si>
  <si>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</si>
  <si>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</si>
  <si>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</si>
  <si>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</si>
  <si>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</si>
  <si>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</si>
  <si>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</si>
  <si>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</si>
  <si>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</si>
  <si>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</si>
  <si>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</si>
  <si>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</si>
  <si>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</si>
  <si>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</si>
  <si>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</si>
  <si>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</si>
  <si>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</si>
  <si>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</si>
  <si>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</si>
  <si>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</si>
  <si>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</si>
  <si>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</si>
  <si>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</si>
  <si>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</si>
  <si>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</si>
  <si>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</si>
  <si>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</si>
  <si>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</si>
  <si>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</si>
  <si>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</si>
  <si>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</si>
  <si>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</si>
  <si>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</si>
  <si>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</si>
  <si>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</si>
  <si>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</si>
  <si>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</si>
  <si>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</si>
  <si>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</si>
  <si>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</si>
  <si>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</si>
  <si>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</si>
  <si>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</si>
  <si>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</si>
  <si>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</si>
  <si>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</si>
  <si>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</si>
  <si>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</si>
  <si>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</si>
  <si>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</si>
  <si>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</si>
  <si>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</si>
  <si>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</si>
  <si>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</si>
  <si>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</si>
  <si>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</si>
  <si>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</si>
  <si>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</si>
  <si>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</si>
  <si>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</si>
  <si>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</si>
  <si>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</si>
  <si>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</si>
  <si>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</si>
  <si>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</si>
  <si>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</si>
  <si>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</si>
  <si>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</si>
  <si>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</si>
  <si>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</si>
  <si>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</si>
  <si>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</si>
  <si>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</si>
  <si>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</si>
  <si>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</si>
  <si>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</si>
  <si>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</si>
  <si>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</si>
  <si>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</si>
  <si>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</si>
  <si>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</si>
  <si>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</si>
  <si>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</si>
  <si>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</si>
  <si>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</si>
  <si>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</si>
  <si>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</si>
  <si>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</si>
  <si>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</si>
  <si>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</si>
  <si>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</si>
  <si>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</si>
  <si>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</si>
  <si>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</si>
  <si>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</si>
  <si>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</si>
  <si>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</si>
  <si>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</si>
  <si>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</si>
  <si>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</si>
  <si>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</si>
  <si>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</si>
  <si>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</si>
  <si>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</si>
  <si>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</si>
  <si>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</si>
  <si>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</si>
  <si>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</si>
  <si>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</si>
  <si>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</si>
  <si>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</si>
  <si>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</si>
  <si>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</si>
  <si>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</si>
  <si>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</si>
  <si>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</si>
  <si>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</si>
  <si>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</si>
  <si>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</si>
  <si>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</si>
  <si>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</si>
  <si>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</si>
  <si>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</si>
  <si>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</si>
  <si>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</si>
  <si>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</si>
  <si>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</si>
  <si>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</si>
  <si>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</si>
  <si>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</si>
  <si>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</si>
  <si>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</si>
  <si>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</si>
  <si>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</si>
  <si>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</si>
  <si>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</si>
  <si>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</si>
  <si>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</si>
  <si>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</si>
  <si>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</si>
  <si>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</si>
  <si>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</si>
  <si>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</si>
  <si>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</si>
  <si>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</si>
  <si>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</si>
  <si>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</si>
  <si>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</si>
  <si>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</si>
  <si>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</si>
  <si>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</si>
  <si>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</si>
  <si>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</si>
  <si>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</si>
  <si>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</si>
  <si>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</si>
  <si>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</si>
  <si>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</si>
  <si>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</si>
  <si>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</si>
  <si>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</si>
  <si>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</si>
  <si>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</si>
  <si>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</si>
  <si>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</si>
  <si>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</si>
  <si>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</si>
  <si>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</si>
  <si>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</si>
  <si>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</si>
  <si>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</si>
  <si>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</si>
  <si>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</si>
  <si>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</si>
  <si>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</si>
  <si>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</si>
  <si>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</si>
  <si>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</si>
  <si>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</si>
  <si>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</si>
  <si>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</si>
  <si>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</si>
  <si>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</si>
  <si>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</si>
  <si>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</si>
  <si>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</si>
  <si>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</si>
  <si>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</si>
  <si>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</si>
  <si>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</si>
  <si>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</si>
  <si>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</si>
  <si>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</si>
  <si>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</si>
  <si>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</si>
  <si>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</si>
  <si>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</si>
  <si>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</si>
  <si>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</si>
  <si>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</si>
  <si>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</si>
  <si>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</si>
  <si>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</si>
  <si>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</si>
  <si>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</si>
  <si>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</si>
  <si>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</si>
  <si>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</si>
  <si>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</si>
  <si>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</si>
  <si>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</si>
  <si>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</si>
  <si>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</si>
  <si>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</si>
  <si>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</si>
  <si>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</si>
  <si>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</si>
  <si>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</si>
  <si>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</si>
  <si>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</si>
  <si>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</si>
  <si>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</si>
  <si>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</si>
  <si>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</si>
  <si>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</si>
  <si>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</si>
  <si>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</si>
  <si>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</si>
  <si>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</si>
  <si>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</si>
  <si>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</si>
  <si>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</si>
  <si>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</si>
  <si>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</si>
  <si>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</si>
  <si>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</si>
  <si>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</si>
  <si>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</si>
  <si>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</si>
  <si>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</si>
  <si>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</si>
  <si>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</si>
  <si>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</si>
  <si>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</si>
  <si>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</si>
  <si>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</si>
  <si>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</si>
  <si>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</si>
  <si>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</si>
  <si>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</si>
  <si>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</si>
  <si>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</si>
  <si>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</si>
  <si>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</si>
  <si>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</si>
  <si>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</si>
  <si>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</si>
  <si>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</si>
  <si>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</si>
  <si>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</si>
  <si>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</si>
  <si>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</si>
  <si>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</si>
  <si>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</si>
  <si>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</si>
  <si>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</si>
  <si>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</si>
  <si>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</si>
  <si>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</si>
  <si>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</si>
  <si>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</si>
  <si>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</si>
  <si>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</si>
  <si>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</si>
  <si>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</si>
  <si>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</si>
  <si>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</si>
  <si>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</si>
  <si>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</si>
  <si>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</si>
  <si>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</si>
  <si>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</si>
  <si>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</si>
  <si>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</si>
  <si>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</si>
  <si>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</si>
  <si>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</si>
  <si>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</si>
  <si>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</si>
  <si>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</si>
  <si>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</si>
  <si>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</si>
  <si>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</si>
  <si>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</si>
  <si>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</si>
  <si>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</si>
  <si>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</si>
  <si>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</si>
  <si>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</si>
  <si>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</si>
  <si>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</si>
  <si>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</si>
  <si>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</si>
  <si>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</si>
  <si>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</si>
  <si>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</si>
  <si>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</si>
  <si>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</si>
  <si>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</si>
  <si>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</si>
  <si>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</si>
  <si>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</si>
  <si>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</si>
  <si>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</si>
  <si>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</si>
  <si>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</si>
  <si>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</si>
  <si>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</si>
  <si>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</si>
  <si>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</si>
  <si>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</si>
  <si>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</si>
  <si>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</si>
  <si>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</si>
  <si>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</si>
  <si>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</si>
  <si>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</si>
  <si>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</si>
  <si>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</si>
  <si>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</si>
  <si>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</si>
  <si>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</si>
  <si>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</si>
  <si>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</si>
  <si>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</si>
  <si>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</si>
  <si>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</si>
  <si>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</si>
  <si>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</si>
  <si>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</si>
  <si>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</si>
  <si>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</si>
  <si>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</si>
  <si>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</si>
  <si>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</si>
  <si>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</si>
  <si>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</si>
  <si>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</si>
  <si>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</si>
  <si>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</si>
  <si>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</si>
  <si>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</si>
  <si>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</si>
  <si>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</si>
  <si>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</si>
  <si>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</si>
  <si>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</si>
  <si>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</si>
  <si>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</si>
  <si>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</si>
  <si>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</si>
  <si>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</si>
  <si>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</si>
  <si>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</si>
  <si>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</si>
  <si>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</si>
  <si>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</si>
  <si>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</si>
  <si>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</si>
  <si>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</si>
  <si>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</si>
  <si>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</si>
  <si>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</si>
  <si>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</si>
  <si>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</si>
  <si>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</si>
  <si>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</si>
  <si>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</si>
  <si>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</si>
  <si>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</si>
  <si>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</si>
  <si>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</si>
  <si>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</si>
  <si>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</si>
  <si>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</si>
  <si>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</si>
  <si>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</si>
  <si>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</si>
  <si>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</si>
  <si>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</si>
  <si>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</si>
  <si>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</si>
  <si>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</si>
  <si>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</si>
  <si>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</si>
  <si>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</si>
  <si>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</si>
  <si>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</si>
  <si>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</si>
  <si>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</si>
  <si>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</si>
  <si>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</si>
  <si>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</si>
  <si>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</si>
  <si>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</si>
  <si>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</si>
  <si>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</si>
  <si>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</si>
  <si>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</si>
  <si>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</si>
  <si>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</si>
  <si>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</si>
  <si>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</si>
  <si>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</si>
  <si>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</si>
  <si>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</si>
  <si>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</si>
  <si>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</si>
  <si>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</si>
  <si>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</si>
  <si>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</si>
  <si>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</si>
  <si>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</si>
  <si>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</si>
  <si>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</si>
  <si>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</si>
  <si>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</si>
  <si>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</si>
  <si>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</si>
  <si>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</si>
  <si>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</si>
  <si>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</si>
  <si>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</si>
  <si>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</si>
  <si>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</si>
  <si>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</si>
  <si>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</si>
  <si>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</si>
  <si>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</si>
  <si>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</si>
  <si>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</si>
  <si>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</si>
  <si>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</si>
  <si>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</si>
  <si>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</si>
  <si>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</si>
  <si>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</si>
  <si>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</si>
  <si>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</si>
  <si>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</si>
  <si>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</si>
  <si>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</si>
  <si>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</si>
  <si>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</si>
  <si>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</si>
  <si>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</si>
  <si>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</si>
  <si>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</si>
  <si>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</si>
  <si>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</si>
  <si>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</si>
  <si>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</si>
  <si>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</si>
  <si>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</si>
  <si>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</si>
  <si>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</si>
  <si>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</si>
  <si>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</si>
  <si>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</si>
  <si>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</si>
  <si>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</si>
  <si>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</si>
  <si>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</si>
  <si>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</si>
  <si>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</si>
  <si>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</si>
  <si>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</si>
  <si>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</si>
  <si>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</si>
  <si>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</si>
  <si>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</si>
  <si>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</si>
  <si>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</si>
  <si>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</si>
  <si>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</si>
  <si>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</si>
  <si>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</si>
  <si>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</si>
  <si>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</si>
  <si>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</si>
  <si>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</si>
  <si>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</si>
  <si>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</si>
  <si>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</si>
  <si>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</si>
  <si>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</si>
  <si>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</si>
  <si>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</si>
  <si>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</si>
  <si>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</si>
  <si>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</si>
  <si>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</si>
  <si>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</si>
  <si>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</si>
  <si>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</si>
  <si>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</si>
  <si>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</si>
  <si>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</si>
  <si>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</si>
  <si>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</si>
  <si>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</si>
  <si>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</si>
  <si>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</si>
  <si>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</si>
  <si>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</si>
  <si>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</si>
  <si>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</si>
  <si>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</si>
  <si>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</si>
  <si>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</si>
  <si>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</si>
  <si>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</si>
  <si>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</si>
  <si>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</si>
  <si>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</si>
  <si>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</si>
  <si>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</si>
  <si>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</si>
  <si>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</si>
  <si>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</si>
  <si>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</si>
  <si>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</si>
  <si>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</si>
  <si>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</si>
  <si>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</si>
  <si>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</si>
  <si>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</si>
  <si>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</si>
  <si>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</si>
  <si>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</si>
  <si>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</si>
  <si>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</si>
  <si>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</si>
  <si>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</si>
  <si>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</si>
  <si>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</si>
  <si>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</si>
  <si>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</si>
  <si>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</si>
  <si>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</si>
  <si>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</si>
  <si>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</si>
  <si>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</si>
  <si>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</si>
  <si>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</si>
  <si>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</si>
  <si>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</si>
  <si>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</si>
  <si>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</si>
  <si>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</si>
  <si>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</si>
  <si>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</si>
  <si>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</si>
  <si>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</si>
  <si>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</si>
  <si>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</si>
  <si>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</si>
  <si>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</si>
  <si>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</si>
  <si>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</si>
  <si>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</si>
  <si>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</si>
  <si>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</si>
  <si>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</si>
  <si>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</si>
  <si>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</si>
  <si>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</si>
  <si>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</si>
  <si>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</si>
  <si>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</si>
  <si>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</si>
  <si>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</si>
  <si>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</si>
  <si>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</si>
  <si>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</si>
  <si>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</si>
  <si>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</si>
  <si>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</si>
  <si>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</si>
  <si>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</si>
  <si>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</si>
  <si>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</si>
  <si>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</si>
  <si>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</si>
  <si>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</si>
  <si>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</si>
  <si>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</si>
  <si>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</si>
  <si>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</si>
  <si>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</si>
  <si>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</si>
  <si>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</si>
  <si>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</si>
  <si>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</si>
  <si>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</si>
  <si>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</si>
  <si>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</si>
  <si>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</si>
  <si>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</si>
  <si>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</si>
  <si>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</si>
  <si>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</si>
  <si>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</si>
  <si>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</si>
  <si>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</si>
  <si>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</si>
  <si>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</si>
  <si>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</si>
  <si>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</si>
  <si>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</si>
  <si>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</si>
  <si>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</si>
  <si>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</si>
  <si>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</si>
  <si>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</si>
  <si>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</si>
  <si>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</si>
  <si>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</si>
  <si>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</si>
  <si>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</si>
  <si>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</si>
  <si>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</si>
  <si>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</si>
  <si>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</si>
  <si>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</si>
  <si>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</si>
  <si>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</si>
  <si>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</si>
  <si>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</si>
  <si>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</si>
  <si>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</si>
  <si>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</si>
  <si>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</si>
  <si>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</si>
  <si>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</si>
  <si>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</si>
  <si>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</si>
  <si>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</si>
  <si>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</si>
  <si>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</si>
  <si>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</si>
  <si>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</si>
  <si>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</si>
  <si>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</si>
  <si>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</si>
  <si>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</si>
  <si>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</si>
  <si>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</si>
  <si>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</si>
  <si>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</si>
  <si>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</si>
  <si>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</si>
  <si>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</si>
  <si>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</si>
  <si>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</si>
  <si>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</si>
  <si>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</si>
  <si>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</si>
  <si>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</si>
  <si>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</si>
  <si>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</si>
  <si>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</si>
  <si>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</si>
  <si>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</si>
  <si>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</si>
  <si>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</si>
  <si>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</si>
  <si>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</si>
  <si>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</si>
  <si>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</si>
  <si>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</si>
  <si>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</si>
  <si>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</si>
  <si>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</si>
  <si>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</si>
  <si>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</si>
  <si>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</si>
  <si>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</si>
  <si>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</si>
  <si>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</si>
  <si>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</si>
  <si>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</si>
  <si>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</si>
  <si>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</si>
  <si>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</si>
  <si>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</si>
  <si>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</si>
  <si>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</si>
  <si>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</si>
  <si>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</si>
  <si>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</si>
  <si>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</si>
  <si>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</si>
  <si>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</si>
  <si>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</si>
  <si>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</si>
  <si>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</si>
  <si>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</si>
  <si>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</si>
  <si>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</si>
  <si>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</si>
  <si>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</si>
  <si>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</si>
  <si>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</si>
  <si>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</si>
  <si>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</si>
  <si>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</si>
  <si>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</si>
  <si>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</si>
  <si>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</si>
  <si>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</si>
  <si>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</si>
  <si>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</si>
  <si>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</si>
  <si>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</si>
  <si>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</si>
  <si>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</si>
  <si>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</si>
  <si>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</si>
  <si>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</si>
  <si>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</si>
  <si>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</si>
  <si>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</si>
  <si>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</si>
  <si>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</si>
  <si>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</si>
  <si>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</si>
  <si>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</si>
  <si>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</si>
  <si>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</si>
  <si>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</si>
  <si>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</si>
  <si>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</si>
  <si>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</si>
  <si>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</si>
  <si>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</si>
  <si>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</si>
  <si>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</si>
  <si>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</si>
  <si>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</si>
  <si>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</si>
  <si>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</si>
  <si>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</si>
  <si>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</si>
  <si>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</si>
  <si>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</si>
  <si>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</si>
  <si>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</si>
  <si>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</si>
  <si>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</si>
  <si>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</si>
  <si>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</si>
  <si>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</si>
  <si>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</si>
  <si>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</si>
  <si>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</si>
  <si>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</si>
  <si>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</si>
  <si>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</si>
  <si>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</si>
  <si>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</si>
  <si>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</si>
  <si>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</si>
  <si>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</si>
  <si>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</si>
  <si>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</si>
  <si>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</si>
  <si>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</si>
  <si>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</si>
  <si>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</si>
  <si>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</si>
  <si>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</si>
  <si>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</si>
  <si>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</si>
  <si>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</si>
  <si>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</si>
  <si>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</si>
  <si>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</si>
  <si>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</si>
  <si>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</si>
  <si>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</si>
  <si>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</si>
  <si>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</si>
  <si>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</si>
  <si>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</si>
  <si>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</si>
  <si>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</si>
  <si>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</si>
  <si>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</si>
  <si>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</si>
  <si>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</si>
  <si>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</si>
  <si>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</si>
  <si>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</si>
  <si>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</si>
  <si>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</si>
  <si>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</si>
  <si>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</si>
  <si>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</si>
  <si>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</si>
  <si>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</si>
  <si>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</si>
  <si>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</si>
  <si>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</si>
  <si>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</si>
  <si>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</si>
  <si>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</si>
  <si>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</si>
  <si>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</si>
  <si>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</si>
  <si>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</si>
  <si>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</si>
  <si>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</si>
  <si>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</si>
  <si>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</si>
  <si>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</si>
  <si>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</si>
  <si>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</si>
  <si>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</si>
  <si>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</si>
  <si>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</si>
  <si>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</si>
  <si>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</si>
  <si>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</si>
  <si>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</si>
  <si>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</si>
  <si>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</si>
  <si>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</si>
  <si>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</si>
  <si>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</si>
  <si>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</si>
  <si>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</si>
  <si>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</si>
  <si>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</si>
  <si>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</si>
  <si>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</si>
  <si>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</si>
  <si>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</si>
  <si>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</si>
  <si>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</si>
  <si>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</si>
  <si>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</si>
  <si>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</si>
  <si>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</si>
  <si>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</si>
  <si>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</si>
  <si>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</si>
  <si>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</si>
  <si>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</si>
  <si>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</si>
  <si>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</si>
  <si>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</si>
  <si>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</si>
  <si>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</si>
  <si>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</si>
  <si>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</si>
  <si>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</si>
  <si>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</si>
  <si>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</si>
  <si>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</si>
  <si>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</si>
  <si>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</si>
  <si>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</si>
  <si>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</si>
  <si>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</si>
  <si>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</si>
  <si>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</si>
  <si>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</si>
  <si>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</si>
  <si>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</si>
  <si>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</si>
  <si>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</si>
  <si>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</si>
  <si>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</si>
  <si>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</si>
  <si>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</si>
  <si>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</si>
  <si>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</si>
  <si>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</si>
  <si>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</si>
  <si>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</si>
  <si>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</si>
  <si>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</si>
  <si>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</si>
  <si>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</si>
  <si>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</si>
  <si>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</si>
  <si>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</si>
  <si>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</si>
  <si>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</si>
  <si>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</si>
  <si>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</si>
  <si>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</si>
  <si>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</si>
  <si>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</si>
  <si>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</si>
  <si>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</si>
  <si>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</si>
  <si>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</si>
  <si>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</si>
  <si>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</si>
  <si>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</si>
  <si>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</si>
  <si>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</si>
  <si>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</si>
  <si>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</si>
  <si>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</si>
  <si>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</si>
  <si>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</si>
  <si>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</si>
  <si>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</si>
  <si>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</si>
  <si>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</si>
  <si>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</si>
  <si>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</si>
  <si>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</si>
  <si>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</si>
  <si>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</si>
  <si>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</si>
  <si>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</si>
  <si>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</si>
  <si>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</si>
  <si>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</si>
  <si>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</si>
  <si>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</si>
  <si>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</si>
  <si>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</si>
  <si>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</si>
  <si>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</si>
  <si>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</si>
  <si>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</si>
  <si>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</si>
  <si>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</si>
  <si>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</si>
  <si>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</si>
  <si>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</si>
  <si>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</si>
  <si>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</si>
  <si>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</si>
  <si>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</si>
  <si>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</si>
  <si>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</si>
  <si>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</si>
  <si>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</si>
  <si>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</si>
  <si>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</si>
  <si>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</si>
  <si>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</si>
  <si>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</si>
  <si>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</si>
  <si>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</si>
  <si>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</si>
  <si>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</si>
  <si>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</si>
  <si>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</si>
  <si>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</si>
  <si>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</si>
  <si>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</si>
  <si>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</si>
  <si>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</si>
  <si>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</si>
  <si>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</si>
  <si>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</si>
  <si>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</si>
  <si>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</si>
  <si>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</si>
  <si>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</si>
  <si>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</si>
  <si>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</si>
  <si>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</si>
  <si>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</si>
  <si>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</si>
  <si>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</si>
  <si>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</si>
  <si>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</si>
  <si>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</si>
  <si>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</si>
  <si>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</si>
  <si>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</si>
  <si>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</si>
  <si>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</si>
  <si>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</si>
  <si>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</si>
  <si>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</si>
  <si>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</si>
  <si>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</si>
  <si>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</si>
  <si>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</si>
  <si>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</si>
  <si>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</si>
  <si>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</si>
  <si>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</si>
  <si>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</si>
  <si>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</si>
  <si>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</si>
  <si>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</si>
  <si>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</si>
  <si>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</si>
  <si>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</si>
  <si>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</si>
  <si>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</si>
  <si>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</si>
  <si>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</si>
  <si>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</si>
  <si>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</si>
  <si>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</si>
  <si>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</si>
  <si>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</si>
  <si>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</si>
  <si>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</si>
  <si>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</si>
  <si>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</si>
  <si>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</si>
  <si>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</si>
  <si>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</si>
  <si>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</si>
  <si>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</si>
  <si>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</si>
  <si>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</si>
  <si>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</si>
  <si>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</si>
  <si>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</si>
  <si>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</si>
  <si>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</si>
  <si>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</si>
  <si>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</si>
  <si>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</si>
  <si>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</si>
  <si>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</si>
  <si>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</si>
  <si>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</si>
  <si>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</si>
  <si>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</si>
  <si>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</si>
  <si>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</si>
  <si>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</si>
  <si>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</si>
  <si>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</si>
  <si>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</si>
  <si>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</si>
  <si>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</si>
  <si>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</si>
  <si>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</si>
  <si>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</si>
  <si>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</si>
  <si>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</si>
  <si>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</si>
  <si>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</si>
  <si>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</si>
  <si>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</si>
  <si>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</si>
  <si>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</si>
  <si>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</si>
  <si>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</si>
  <si>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</si>
  <si>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</si>
  <si>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</si>
  <si>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</si>
  <si>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</si>
  <si>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</si>
  <si>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</si>
  <si>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</si>
  <si>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</si>
  <si>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</si>
  <si>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</si>
  <si>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</si>
  <si>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</si>
  <si>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</si>
  <si>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</si>
  <si>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</si>
  <si>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</si>
  <si>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</si>
  <si>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</si>
  <si>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</si>
  <si>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</si>
  <si>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</si>
  <si>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</si>
  <si>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</si>
  <si>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</si>
  <si>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</si>
  <si>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</si>
  <si>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</si>
  <si>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</si>
  <si>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</si>
  <si>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</si>
  <si>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</si>
  <si>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</si>
  <si>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</si>
  <si>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</si>
  <si>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</si>
  <si>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</si>
  <si>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</si>
  <si>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</si>
  <si>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</si>
  <si>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</si>
  <si>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</si>
  <si>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</si>
  <si>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</si>
  <si>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</si>
  <si>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</si>
  <si>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</si>
  <si>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</si>
  <si>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</si>
  <si>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</si>
  <si>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</si>
  <si>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</si>
  <si>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</si>
  <si>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</si>
  <si>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</si>
  <si>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</si>
  <si>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</si>
  <si>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</si>
  <si>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</si>
  <si>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</si>
  <si>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</si>
  <si>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</si>
  <si>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</si>
  <si>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</si>
  <si>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</si>
  <si>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</si>
  <si>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</si>
  <si>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</si>
  <si>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</si>
  <si>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</si>
  <si>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</si>
  <si>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</si>
  <si>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</si>
  <si>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</si>
  <si>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</si>
  <si>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</si>
  <si>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</si>
  <si>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</si>
  <si>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</si>
  <si>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</si>
  <si>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</si>
  <si>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</si>
  <si>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</si>
  <si>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</si>
  <si>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</si>
  <si>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</si>
  <si>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</si>
  <si>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</si>
  <si>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</si>
  <si>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</si>
  <si>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</si>
  <si>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</si>
  <si>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</si>
  <si>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</si>
  <si>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</si>
  <si>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</si>
  <si>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</si>
  <si>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</si>
  <si>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</si>
  <si>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</si>
  <si>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</si>
  <si>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</si>
  <si>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</si>
  <si>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</si>
  <si>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</si>
  <si>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</si>
  <si>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</si>
  <si>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</si>
  <si>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</si>
  <si>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</si>
  <si>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</si>
  <si>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</si>
  <si>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</si>
  <si>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</si>
  <si>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</si>
  <si>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</si>
  <si>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</si>
  <si>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</si>
  <si>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</si>
  <si>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</si>
  <si>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</si>
  <si>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</si>
  <si>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</si>
  <si>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</si>
  <si>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</si>
  <si>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</si>
  <si>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</si>
  <si>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</si>
  <si>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</si>
  <si>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</si>
  <si>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</si>
  <si>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</si>
  <si>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</si>
  <si>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</si>
  <si>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</si>
  <si>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</si>
  <si>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</si>
  <si>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</si>
  <si>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</si>
  <si>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</si>
  <si>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</si>
  <si>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</si>
  <si>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</si>
  <si>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</si>
  <si>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</si>
  <si>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</si>
  <si>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</si>
  <si>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</si>
  <si>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</si>
  <si>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</si>
  <si>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</si>
  <si>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</si>
  <si>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</si>
  <si>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</si>
  <si>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</si>
  <si>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</si>
  <si>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</si>
  <si>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</si>
  <si>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</si>
  <si>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</si>
  <si>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</si>
  <si>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</si>
  <si>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</si>
  <si>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</si>
  <si>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</si>
  <si>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</si>
  <si>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</si>
  <si>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</si>
  <si>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</si>
  <si>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</si>
  <si>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</si>
  <si>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</si>
  <si>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</si>
  <si>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</si>
  <si>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</si>
  <si>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</si>
  <si>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</si>
  <si>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</si>
  <si>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</si>
  <si>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</si>
  <si>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</si>
  <si>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</si>
  <si>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</si>
  <si>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</si>
  <si>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</si>
  <si>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</si>
  <si>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</si>
  <si>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</si>
  <si>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</si>
  <si>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</si>
  <si>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</si>
  <si>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</si>
  <si>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</si>
  <si>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</si>
  <si>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</si>
  <si>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</si>
  <si>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</si>
  <si>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</si>
  <si>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</si>
  <si>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</si>
  <si>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</si>
  <si>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</si>
  <si>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</si>
  <si>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</si>
  <si>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</si>
  <si>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</si>
  <si>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</si>
  <si>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</si>
  <si>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</si>
  <si>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</si>
  <si>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</si>
  <si>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</si>
  <si>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</si>
  <si>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</si>
  <si>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</si>
  <si>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</si>
  <si>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</si>
  <si>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</si>
  <si>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</si>
  <si>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</si>
  <si>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</si>
  <si>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</si>
  <si>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</si>
  <si>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</si>
  <si>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</si>
  <si>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</si>
  <si>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</si>
  <si>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</si>
  <si>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</si>
  <si>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</si>
  <si>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</si>
  <si>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</si>
  <si>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</si>
  <si>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</si>
  <si>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</si>
  <si>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</si>
  <si>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</si>
  <si>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</si>
  <si>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</si>
  <si>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</si>
  <si>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</si>
  <si>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</si>
  <si>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</si>
  <si>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</si>
  <si>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</si>
  <si>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</si>
  <si>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</si>
  <si>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</si>
  <si>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</si>
  <si>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</si>
  <si>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</si>
  <si>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</si>
  <si>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</si>
  <si>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</si>
  <si>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</si>
  <si>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</si>
  <si>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</si>
  <si>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</si>
  <si>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</si>
  <si>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</si>
  <si>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</si>
  <si>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</si>
  <si>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</si>
  <si>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</si>
  <si>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</si>
  <si>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</si>
  <si>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</si>
  <si>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</si>
  <si>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</si>
  <si>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</si>
  <si>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</si>
  <si>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</si>
  <si>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</si>
  <si>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</si>
  <si>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</si>
  <si>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</si>
  <si>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</si>
  <si>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</si>
  <si>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</si>
  <si>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</si>
  <si>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</si>
  <si>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</si>
  <si>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</si>
  <si>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</si>
  <si>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</si>
  <si>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</si>
  <si>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</si>
  <si>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</si>
  <si>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</si>
  <si>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</si>
  <si>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</si>
  <si>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</si>
  <si>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</si>
  <si>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</si>
  <si>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</si>
  <si>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</si>
  <si>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</si>
  <si>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</si>
  <si>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</si>
  <si>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</si>
  <si>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</si>
  <si>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</si>
  <si>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</si>
  <si>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</si>
  <si>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</si>
  <si>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</si>
  <si>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</si>
  <si>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</si>
  <si>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</si>
  <si>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</si>
  <si>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</si>
  <si>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</si>
  <si>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</si>
  <si>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</si>
  <si>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</si>
  <si>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</si>
  <si>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</si>
  <si>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</si>
  <si>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</si>
  <si>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</si>
  <si>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</si>
  <si>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</si>
  <si>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</si>
  <si>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</si>
  <si>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</si>
  <si>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</si>
  <si>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</si>
  <si>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</si>
  <si>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</si>
  <si>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</si>
  <si>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</si>
  <si>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</si>
  <si>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</si>
  <si>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</si>
  <si>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</si>
  <si>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</si>
  <si>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</si>
  <si>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</si>
  <si>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</si>
  <si>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</si>
  <si>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</si>
  <si>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</si>
  <si>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</si>
  <si>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</si>
  <si>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</si>
  <si>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</si>
  <si>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</si>
  <si>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</si>
  <si>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</si>
  <si>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</si>
  <si>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</si>
  <si>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</si>
  <si>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</si>
  <si>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</si>
  <si>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</si>
  <si>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</si>
  <si>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</si>
  <si>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</si>
  <si>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</si>
  <si>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</si>
  <si>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</si>
  <si>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</si>
  <si>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</si>
  <si>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</si>
  <si>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</si>
  <si>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</si>
  <si>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</si>
  <si>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</si>
  <si>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</si>
  <si>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</si>
  <si>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</si>
  <si>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</si>
  <si>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</si>
  <si>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</si>
  <si>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</si>
  <si>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</si>
  <si>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</si>
  <si>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</si>
  <si>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</si>
  <si>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</si>
  <si>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</si>
  <si>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</si>
  <si>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</si>
  <si>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</si>
  <si>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</si>
  <si>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</si>
  <si>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</si>
  <si>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</si>
  <si>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</si>
  <si>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</si>
  <si>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</si>
  <si>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</si>
  <si>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</si>
  <si>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</si>
  <si>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</si>
  <si>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</si>
  <si>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</si>
  <si>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</si>
  <si>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</si>
  <si>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</si>
  <si>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</si>
  <si>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</si>
  <si>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</si>
  <si>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</si>
  <si>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</si>
  <si>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</si>
  <si>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</si>
  <si>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</si>
  <si>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</si>
  <si>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</si>
  <si>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</si>
  <si>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</si>
  <si>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</si>
  <si>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</si>
  <si>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</si>
  <si>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</si>
  <si>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</si>
  <si>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</si>
  <si>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</si>
  <si>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</si>
  <si>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</si>
  <si>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</si>
  <si>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</si>
  <si>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</si>
  <si>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</si>
  <si>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</si>
  <si>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</si>
  <si>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</si>
  <si>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</si>
  <si>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</si>
  <si>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</si>
  <si>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</si>
  <si>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</si>
  <si>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</si>
  <si>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</si>
  <si>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</si>
  <si>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</si>
  <si>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</si>
  <si>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</si>
  <si>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</si>
  <si>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</si>
  <si>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</si>
  <si>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</si>
  <si>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</si>
  <si>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</si>
  <si>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</si>
  <si>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</si>
  <si>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</si>
  <si>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</si>
  <si>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</si>
  <si>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</si>
  <si>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</si>
  <si>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</si>
  <si>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</si>
  <si>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</si>
  <si>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</si>
  <si>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</si>
  <si>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</si>
  <si>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</si>
  <si>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</si>
  <si>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</si>
  <si>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</si>
  <si>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</si>
  <si>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</si>
  <si>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</si>
  <si>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</si>
  <si>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</si>
  <si>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</si>
  <si>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</si>
  <si>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</si>
  <si>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</si>
  <si>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</si>
  <si>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</si>
  <si>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</si>
  <si>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</si>
  <si>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</si>
  <si>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</si>
  <si>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</si>
  <si>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</si>
  <si>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</si>
  <si>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</si>
  <si>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</si>
  <si>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</si>
  <si>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</si>
  <si>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</si>
  <si>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</si>
  <si>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</si>
  <si>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</si>
  <si>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</si>
  <si>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</si>
  <si>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</si>
  <si>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</si>
  <si>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</si>
  <si>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</si>
  <si>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</si>
  <si>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</si>
  <si>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</si>
  <si>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</si>
  <si>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</si>
  <si>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</si>
  <si>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</si>
  <si>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</si>
  <si>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</si>
  <si>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</si>
  <si>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</si>
  <si>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</si>
  <si>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</si>
  <si>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</si>
  <si>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</si>
  <si>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</si>
  <si>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</si>
  <si>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</si>
  <si>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</si>
  <si>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</si>
  <si>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</si>
  <si>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</si>
  <si>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</si>
  <si>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</si>
  <si>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</si>
  <si>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</si>
  <si>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</si>
  <si>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</si>
  <si>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</si>
  <si>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</si>
  <si>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</si>
  <si>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</si>
  <si>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</si>
  <si>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</si>
  <si>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</si>
  <si>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</si>
  <si>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</si>
  <si>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</si>
  <si>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</si>
  <si>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</si>
  <si>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</si>
  <si>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</si>
  <si>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</si>
  <si>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</si>
  <si>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</si>
  <si>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</si>
  <si>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</si>
  <si>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</si>
  <si>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</si>
  <si>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</si>
  <si>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</si>
  <si>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</si>
  <si>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</si>
  <si>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</si>
  <si>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</si>
  <si>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</si>
  <si>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</si>
  <si>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</si>
  <si>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</si>
  <si>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</si>
  <si>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</si>
  <si>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</si>
  <si>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</si>
  <si>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</si>
  <si>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</si>
  <si>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</si>
  <si>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</si>
  <si>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</si>
  <si>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</si>
  <si>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</si>
  <si>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</si>
  <si>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</si>
  <si>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</si>
  <si>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</si>
  <si>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</si>
  <si>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</si>
  <si>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</si>
  <si>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</si>
  <si>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</si>
  <si>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</si>
  <si>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</si>
  <si>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</si>
  <si>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</si>
  <si>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</si>
  <si>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</si>
  <si>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</si>
  <si>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</si>
  <si>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</si>
  <si>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</si>
  <si>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</si>
  <si>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</si>
  <si>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</si>
  <si>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</si>
  <si>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</si>
  <si>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</si>
  <si>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</si>
  <si>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</si>
  <si>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</si>
  <si>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</si>
  <si>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</si>
  <si>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</si>
  <si>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</si>
  <si>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</si>
  <si>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</si>
  <si>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</si>
  <si>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</si>
  <si>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</si>
  <si>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</si>
  <si>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</si>
  <si>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</si>
  <si>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</si>
  <si>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</si>
  <si>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</si>
  <si>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</si>
  <si>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</si>
  <si>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</si>
  <si>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</si>
  <si>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</si>
  <si>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</si>
  <si>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</si>
  <si>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</si>
  <si>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</si>
  <si>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</si>
  <si>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</si>
  <si>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</si>
  <si>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</si>
  <si>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</si>
  <si>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</si>
  <si>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</si>
  <si>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</si>
  <si>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</si>
  <si>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</si>
  <si>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</si>
  <si>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</si>
  <si>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</si>
  <si>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</si>
  <si>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</si>
  <si>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</si>
  <si>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</si>
  <si>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</si>
  <si>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</si>
  <si>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</si>
  <si>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</si>
  <si>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</si>
  <si>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</si>
  <si>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</si>
  <si>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</si>
  <si>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</si>
  <si>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</si>
  <si>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</si>
  <si>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</si>
  <si>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</si>
  <si>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</si>
  <si>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</si>
  <si>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</si>
  <si>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</si>
  <si>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</si>
  <si>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</si>
  <si>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</si>
  <si>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</si>
  <si>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</si>
  <si>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</si>
  <si>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</si>
  <si>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</si>
  <si>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</si>
  <si>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</si>
  <si>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</si>
  <si>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</si>
  <si>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</si>
  <si>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</si>
  <si>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</si>
  <si>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</si>
  <si>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</si>
  <si>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</si>
  <si>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</si>
  <si>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</si>
  <si>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</si>
  <si>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</si>
  <si>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</si>
  <si>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</si>
  <si>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</si>
  <si>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</si>
  <si>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</si>
  <si>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</si>
  <si>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</si>
  <si>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</si>
  <si>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</si>
  <si>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</si>
  <si>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</si>
  <si>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</si>
  <si>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</si>
  <si>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</si>
  <si>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</si>
  <si>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</si>
  <si>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</si>
  <si>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</si>
  <si>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</si>
  <si>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</si>
  <si>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</si>
  <si>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</si>
  <si>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</si>
  <si>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</si>
  <si>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</si>
  <si>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</si>
  <si>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</si>
  <si>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</si>
  <si>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</si>
  <si>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</si>
  <si>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</si>
  <si>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</si>
  <si>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</si>
  <si>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</si>
  <si>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</si>
  <si>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</si>
  <si>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</si>
  <si>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</si>
  <si>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</si>
  <si>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</si>
  <si>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</si>
  <si>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</si>
  <si>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</si>
  <si>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</si>
  <si>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</si>
  <si>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</si>
  <si>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</si>
  <si>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</si>
  <si>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</si>
  <si>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</si>
  <si>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</si>
  <si>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</si>
  <si>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8/2010</t>
  </si>
  <si>
    <t>8/2030</t>
  </si>
  <si>
    <t>Auditor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</si>
</sst>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1430</v>
      </c>
      <c r="B2">
        <f>INDEX('School Tables'!$AH$3:$AH$208,MATCH('DOE25'!A2,'School Tables'!$AJ$3:$AJ$208,0))</f>
        <v>507</v>
      </c>
      <c r="C2">
        <f>INDEX('School Tables'!$AI$3:$AI$208,MATCH('DOE25'!A2,'School Tables'!$AJ$3:$AJ$208,0))</f>
        <v>507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1915773.88</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452048.9</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31490.95+119745.93</f>
        <v>151236.88</v>
      </c>
      <c r="G12" s="18">
        <v>0</v>
      </c>
      <c r="H12" s="18"/>
      <c r="I12" s="18"/>
      <c r="J12" s="13">
        <f>SUM(I442)</f>
        <v>50000</v>
      </c>
      <c r="K12" s="23" t="s">
        <v>288</v>
      </c>
      <c r="L12" s="23" t="s">
        <v>288</v>
      </c>
      <c r="M12" s="8"/>
      <c r="N12" s="165"/>
    </row>
    <row r="13" spans="1:14" s="3" customFormat="1" ht="12.2" customHeight="1" x14ac:dyDescent="0.15">
      <c r="A13" s="1" t="s">
        <v>604</v>
      </c>
      <c r="B13" s="2" t="s">
        <v>289</v>
      </c>
      <c r="C13" s="6">
        <v>5</v>
      </c>
      <c r="D13" s="2" t="s">
        <v>428</v>
      </c>
      <c r="E13" s="6">
        <v>140</v>
      </c>
      <c r="F13" s="18">
        <v>15626.36</v>
      </c>
      <c r="G13" s="18">
        <v>79079.87</v>
      </c>
      <c r="H13" s="18">
        <f>599+16287.96+26893.45+22957.5+43238.1+2250+7519.92</f>
        <v>119745.93000000001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v>0</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12290</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124</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2082761.1199999999</v>
      </c>
      <c r="G19" s="38">
        <f>SUM(G9:G18)</f>
        <v>91369.87</v>
      </c>
      <c r="H19" s="38">
        <f>SUM(H9:H18)</f>
        <v>119745.93000000001</v>
      </c>
      <c r="I19" s="38">
        <f>SUM(I9:I18)</f>
        <v>0</v>
      </c>
      <c r="J19" s="38">
        <f>SUM(J9:J18)</f>
        <v>502048.9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50000</v>
      </c>
      <c r="G22" s="18">
        <v>31490.95</v>
      </c>
      <c r="H22" s="18">
        <f>166442.47-18798.6+10761.96-38659.9</f>
        <v>119745.93</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868965.96+100000+50000</f>
        <v>1018965.96</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8822</v>
      </c>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1068965.96</v>
      </c>
      <c r="G32" s="38">
        <f>SUM(G22:G31)</f>
        <v>40312.949999999997</v>
      </c>
      <c r="H32" s="38">
        <f>SUM(H22:H31)</f>
        <v>119745.93</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12290</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124</v>
      </c>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f>104239.87-52602.95-12870</f>
        <v>38766.92</v>
      </c>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v>50000</v>
      </c>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c r="H48" s="18"/>
      <c r="I48" s="18"/>
      <c r="J48" s="13">
        <f>SUM(I460)</f>
        <v>502048.9</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f>701266+312529.59-124.43-50000</f>
        <v>963671.16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1013795.16</v>
      </c>
      <c r="G51" s="38">
        <f>SUM(G35:G50)</f>
        <v>51056.92</v>
      </c>
      <c r="H51" s="38">
        <f>SUM(H35:H50)</f>
        <v>0</v>
      </c>
      <c r="I51" s="38">
        <f>SUM(I35:I50)</f>
        <v>0</v>
      </c>
      <c r="J51" s="38">
        <f>SUM(J35:J50)</f>
        <v>502048.9</v>
      </c>
      <c r="K51" s="42" t="s">
        <v>288</v>
      </c>
      <c r="L51" s="42" t="s">
        <v>288</v>
      </c>
      <c r="N51" s="131"/>
    </row>
    <row r="52" spans="1:14" s="3" customFormat="1" ht="12.2" customHeight="1" thickTop="1" x14ac:dyDescent="0.15">
      <c r="A52" s="35" t="s">
        <v>455</v>
      </c>
      <c r="B52" s="36" t="s">
        <v>289</v>
      </c>
      <c r="C52" s="6">
        <v>37</v>
      </c>
      <c r="D52" s="36" t="s">
        <v>653</v>
      </c>
      <c r="E52" s="36"/>
      <c r="F52" s="38">
        <f>F51+F32</f>
        <v>2082761.12</v>
      </c>
      <c r="G52" s="38">
        <f>G51+G32</f>
        <v>91369.87</v>
      </c>
      <c r="H52" s="38">
        <f>H51+H32</f>
        <v>119745.93</v>
      </c>
      <c r="I52" s="38">
        <f>I51+I32</f>
        <v>0</v>
      </c>
      <c r="J52" s="38">
        <f>J51+J32</f>
        <v>502048.9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9477719-1143764</f>
        <v>8333955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8333955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f>583.26+16333.08</f>
        <v>16916.34</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16916.34</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988.13</v>
      </c>
      <c r="G96" s="18"/>
      <c r="H96" s="18"/>
      <c r="I96" s="18"/>
      <c r="J96" s="18">
        <v>894.56</v>
      </c>
      <c r="K96" s="23" t="s">
        <v>288</v>
      </c>
      <c r="L96" s="23" t="s">
        <v>288</v>
      </c>
      <c r="M96" s="8"/>
      <c r="N96" s="165"/>
    </row>
    <row r="97" spans="1:14" s="3" customFormat="1" ht="12.2" customHeight="1" x14ac:dyDescent="0.15">
      <c r="A97" s="1" t="s">
        <v>503</v>
      </c>
      <c r="B97" s="2" t="s">
        <v>315</v>
      </c>
      <c r="C97" s="6">
        <v>12</v>
      </c>
      <c r="D97" s="2" t="s">
        <v>430</v>
      </c>
      <c r="E97" s="6">
        <v>1600</v>
      </c>
      <c r="F97" s="23" t="s">
        <v>288</v>
      </c>
      <c r="G97" s="18">
        <f>5052.75-1027.3+240.29</f>
        <v>4265.74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7280.99+230036.36-1361.8-125.94</f>
        <v>235829.61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236817.74</v>
      </c>
      <c r="G111" s="38">
        <f>SUM(G96:G110)</f>
        <v>4265.74</v>
      </c>
      <c r="H111" s="38">
        <f>SUM(H96:H110)</f>
        <v>0</v>
      </c>
      <c r="I111" s="38">
        <f>SUM(I96:I110)</f>
        <v>0</v>
      </c>
      <c r="J111" s="38">
        <f>SUM(J96:J110)</f>
        <v>894.56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8587689.0800000001</v>
      </c>
      <c r="G112" s="38">
        <f>G60+G111</f>
        <v>4265.74</v>
      </c>
      <c r="H112" s="38">
        <f>H60+H79+H94+H111</f>
        <v>0</v>
      </c>
      <c r="I112" s="38">
        <f>I60+I111</f>
        <v>0</v>
      </c>
      <c r="J112" s="38">
        <f>J60+J111</f>
        <v>894.56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f>125.94+2219118.05</f>
        <v>2219243.9899999998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1143764</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1995.21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3365003.1999999997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81982.5</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f>2565.21-1995.21</f>
        <v>570</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624.21+4293.44</f>
        <v>4917.6499999999996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82552.5</v>
      </c>
      <c r="G136" s="38">
        <f>SUM(G123:G135)</f>
        <v>4917.6499999999996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3447555.6999999997</v>
      </c>
      <c r="G140" s="38">
        <f>G121+SUM(G136:G137)</f>
        <v>4917.6499999999996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516.72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599</f>
        <v>599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-12870-624.21+279266.75</f>
        <v>265772.53999999998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93089.05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f>4650.16+41525.99</f>
        <v>46176.149999999994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f>7519.92+2250+16287.96</f>
        <v>26057.879999999997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46176.149999999994</v>
      </c>
      <c r="G163" s="38">
        <f>SUM(G150:G162)</f>
        <v>265772.53999999998</v>
      </c>
      <c r="H163" s="38">
        <f>SUM(H150:H162)</f>
        <v>120262.65</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46176.149999999994</v>
      </c>
      <c r="G170" s="38">
        <f>G147+G163+SUM(G164:G169)</f>
        <v>265772.53999999998</v>
      </c>
      <c r="H170" s="38">
        <f>H147+H163+SUM(H164:H169)</f>
        <v>120262.65</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38150</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38150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38150</v>
      </c>
      <c r="G193" s="38">
        <f>G184+SUM(G189:G192)</f>
        <v>0</v>
      </c>
      <c r="H193" s="38">
        <f>+H184+SUM(H189:H192)</f>
        <v>0</v>
      </c>
      <c r="I193" s="38">
        <f>I178+I184+SUM(I189:I192)</f>
        <v>0</v>
      </c>
      <c r="J193" s="38">
        <f>J184</f>
        <v>50000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12119570.93</v>
      </c>
      <c r="G194" s="38">
        <f>G112+G140+G170+G193</f>
        <v>274955.93</v>
      </c>
      <c r="H194" s="38">
        <f>H112+H140+H170+H193</f>
        <v>120262.65</v>
      </c>
      <c r="I194" s="38">
        <f>I112+I140+I170+I193</f>
        <v>0</v>
      </c>
      <c r="J194" s="38">
        <f>J112+J140+J193</f>
        <v>50894.559999999998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1803607.54</v>
      </c>
      <c r="G198" s="18">
        <f>915747.14+68727.5+38659.9+100000-10976.2+16961.36+3702.09+3000+50000</f>
        <v>1185821.7900000003</v>
      </c>
      <c r="H198" s="18">
        <f>16378.86+0</f>
        <v>16378.86</v>
      </c>
      <c r="I198" s="18">
        <f>66326.17</f>
        <v>66326.17</v>
      </c>
      <c r="J198" s="18">
        <v>3006.11</v>
      </c>
      <c r="K198" s="18">
        <v>235</v>
      </c>
      <c r="L198" s="13">
        <f>SUM(F198:K198)</f>
        <v>3075375.4699999997</v>
      </c>
      <c r="M198" s="8"/>
      <c r="N198" s="165"/>
    </row>
    <row r="199" spans="1:14" s="3" customFormat="1" ht="12.2" customHeight="1" x14ac:dyDescent="0.15">
      <c r="A199" s="1" t="s">
        <v>439</v>
      </c>
      <c r="B199" s="2" t="s">
        <v>341</v>
      </c>
      <c r="C199" s="2" t="s">
        <v>291</v>
      </c>
      <c r="D199" s="2" t="s">
        <v>431</v>
      </c>
      <c r="E199" s="6">
        <v>1200</v>
      </c>
      <c r="F199" s="18">
        <f>735474.5-166682.71</f>
        <v>568791.79</v>
      </c>
      <c r="G199" s="18">
        <v>285436.62</v>
      </c>
      <c r="H199" s="18"/>
      <c r="I199" s="18">
        <v>8841.14</v>
      </c>
      <c r="J199" s="18">
        <v>5269.98</v>
      </c>
      <c r="K199" s="18">
        <v>11458.22</v>
      </c>
      <c r="L199" s="13">
        <f>SUM(F199:K199)</f>
        <v>879797.75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6106.92+15745</f>
        <v>21851.919999999998</v>
      </c>
      <c r="G201" s="18">
        <f>2601.42+809.6</f>
        <v>3411.02</v>
      </c>
      <c r="H201" s="18">
        <f>4230</f>
        <v>4230</v>
      </c>
      <c r="I201" s="18">
        <f>682.17+6782.44</f>
        <v>7464.61</v>
      </c>
      <c r="J201" s="18"/>
      <c r="K201" s="18">
        <v>1152.5</v>
      </c>
      <c r="L201" s="13">
        <f>SUM(F201:K201)</f>
        <v>38110.049999999996</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48387.35+58191.78+148887.29</f>
        <v>255466.42</v>
      </c>
      <c r="G203" s="18">
        <f>28702.15+20746.86+70654.05+33.88</f>
        <v>120136.94</v>
      </c>
      <c r="H203" s="18">
        <f>228.39+12569.5+66690.01+51114.96+93450.76</f>
        <v>224053.62</v>
      </c>
      <c r="I203" s="18">
        <f>1861.81+593.55+763.74</f>
        <v>3219.0999999999995</v>
      </c>
      <c r="J203" s="18"/>
      <c r="K203" s="18">
        <f>129+195+4202.8</f>
        <v>4526.8</v>
      </c>
      <c r="L203" s="13">
        <f t="shared" ref="L203:L209" si="0">SUM(F203:K203)</f>
        <v>607402.88</v>
      </c>
      <c r="M203" s="8"/>
      <c r="N203" s="165"/>
    </row>
    <row r="204" spans="1:14" s="3" customFormat="1" ht="12.2" customHeight="1" x14ac:dyDescent="0.15">
      <c r="A204" s="1" t="s">
        <v>443</v>
      </c>
      <c r="B204" s="2" t="s">
        <v>341</v>
      </c>
      <c r="C204" s="2" t="s">
        <v>295</v>
      </c>
      <c r="D204" s="2" t="s">
        <v>431</v>
      </c>
      <c r="E204" s="6">
        <v>2200</v>
      </c>
      <c r="F204" s="18">
        <f>3620+70250.85+67333.76</f>
        <v>141204.60999999999</v>
      </c>
      <c r="G204" s="18">
        <f>1909.15+30068.85+36303.55</f>
        <v>68281.55</v>
      </c>
      <c r="H204" s="18">
        <f>10062.55</f>
        <v>10062.549999999999</v>
      </c>
      <c r="I204" s="18">
        <f>7613.34+7613.48+34029.57</f>
        <v>49256.39</v>
      </c>
      <c r="J204" s="18">
        <v>90161.02</v>
      </c>
      <c r="K204" s="18"/>
      <c r="L204" s="13">
        <f t="shared" si="0"/>
        <v>358966.12</v>
      </c>
      <c r="M204" s="8"/>
      <c r="N204" s="165"/>
    </row>
    <row r="205" spans="1:14" s="3" customFormat="1" ht="12.2" customHeight="1" x14ac:dyDescent="0.15">
      <c r="A205" s="1" t="s">
        <v>444</v>
      </c>
      <c r="B205" s="2" t="s">
        <v>341</v>
      </c>
      <c r="C205" s="2" t="s">
        <v>296</v>
      </c>
      <c r="D205" s="2" t="s">
        <v>431</v>
      </c>
      <c r="E205" s="6">
        <v>2300</v>
      </c>
      <c r="F205" s="18">
        <f>10000+3098.83+5200+78229.5+45000.02+90000.04</f>
        <v>231528.39</v>
      </c>
      <c r="G205" s="18">
        <f>765+232.95+443.7+14865.22+9877.82+525.98+363+162+5784.53+1374.42+18190.5</f>
        <v>52585.119999999995</v>
      </c>
      <c r="H205" s="18">
        <f>3693.8+1165.6+16577.12+85+11360.94+4094.41+118.89+1312</f>
        <v>38407.759999999995</v>
      </c>
      <c r="I205" s="18">
        <f>1202.32+25900+60</f>
        <v>27162.32</v>
      </c>
      <c r="J205" s="18"/>
      <c r="K205" s="18">
        <f>490+5665.3</f>
        <v>6155.3</v>
      </c>
      <c r="L205" s="13">
        <f t="shared" si="0"/>
        <v>355838.89</v>
      </c>
      <c r="M205" s="8"/>
      <c r="N205" s="165"/>
    </row>
    <row r="206" spans="1:14" s="3" customFormat="1" ht="12.2" customHeight="1" x14ac:dyDescent="0.15">
      <c r="A206" s="1" t="s">
        <v>445</v>
      </c>
      <c r="B206" s="2" t="s">
        <v>341</v>
      </c>
      <c r="C206" s="2" t="s">
        <v>297</v>
      </c>
      <c r="D206" s="2" t="s">
        <v>431</v>
      </c>
      <c r="E206" s="6">
        <v>2400</v>
      </c>
      <c r="F206" s="18">
        <f>92999.92+71208.92+62896.25</f>
        <v>227105.09</v>
      </c>
      <c r="G206" s="18">
        <f>70197.96+3077.5+708.4+245.78+1500+16940.64+596.17+41805.6+6584.32</f>
        <v>141656.37</v>
      </c>
      <c r="H206" s="18">
        <f>580+465+3574.26+796.5+5410.48+2084.16+78.4</f>
        <v>12988.8</v>
      </c>
      <c r="I206" s="18">
        <f>455.69+1442.76</f>
        <v>1898.45</v>
      </c>
      <c r="J206" s="18">
        <f>793+1454.18</f>
        <v>2247.1800000000003</v>
      </c>
      <c r="K206" s="18"/>
      <c r="L206" s="13">
        <f t="shared" si="0"/>
        <v>385895.88999999996</v>
      </c>
      <c r="M206" s="8"/>
      <c r="N206" s="165"/>
    </row>
    <row r="207" spans="1:14" s="3" customFormat="1" ht="12.2" customHeight="1" x14ac:dyDescent="0.15">
      <c r="A207" s="1" t="s">
        <v>446</v>
      </c>
      <c r="B207" s="2" t="s">
        <v>341</v>
      </c>
      <c r="C207" s="2" t="s">
        <v>298</v>
      </c>
      <c r="D207" s="2" t="s">
        <v>431</v>
      </c>
      <c r="E207" s="6">
        <v>2500</v>
      </c>
      <c r="F207" s="18">
        <f>254.53+90000.16</f>
        <v>90254.69</v>
      </c>
      <c r="G207" s="18">
        <f>8560.56+482.24+0.01+6212.04+1018.12+237.94+5710.56</f>
        <v>22221.47</v>
      </c>
      <c r="H207" s="18"/>
      <c r="I207" s="18">
        <v>330.63</v>
      </c>
      <c r="J207" s="18">
        <v>7.61</v>
      </c>
      <c r="K207" s="18"/>
      <c r="L207" s="13">
        <f t="shared" si="0"/>
        <v>112814.40000000001</v>
      </c>
      <c r="M207" s="8"/>
      <c r="N207" s="165"/>
    </row>
    <row r="208" spans="1:14" s="3" customFormat="1" ht="12.2" customHeight="1" x14ac:dyDescent="0.15">
      <c r="A208" s="1" t="s">
        <v>447</v>
      </c>
      <c r="B208" s="2" t="s">
        <v>341</v>
      </c>
      <c r="C208" s="2" t="s">
        <v>299</v>
      </c>
      <c r="D208" s="2" t="s">
        <v>431</v>
      </c>
      <c r="E208" s="6">
        <v>2600</v>
      </c>
      <c r="F208" s="18">
        <f>60175.03+101231.01+821.25+491.25</f>
        <v>162718.53999999998</v>
      </c>
      <c r="G208" s="18">
        <f>30572.1+1033.11+79.2+12441.93+523.96+11804.18</f>
        <v>56454.479999999996</v>
      </c>
      <c r="H208" s="18">
        <f>21407.22+2648.11+44523.79+31959.03+2271.25+6926.88+1950+1425+14462.85+68.65+12014+8630.53+1030+9492.73+695+264+4236.89+4523.02</f>
        <v>168528.95</v>
      </c>
      <c r="I208" s="18">
        <f>24346.98+645.82+71.51+120.15+128.97+989.4+55766+43076.55</f>
        <v>125145.38</v>
      </c>
      <c r="J208" s="18">
        <f>640.89+1145.09+1540</f>
        <v>3325.98</v>
      </c>
      <c r="K208" s="18"/>
      <c r="L208" s="13">
        <f t="shared" si="0"/>
        <v>516173.32999999996</v>
      </c>
      <c r="M208" s="8"/>
      <c r="N208" s="165"/>
    </row>
    <row r="209" spans="1:14" s="3" customFormat="1" ht="12.2" customHeight="1" x14ac:dyDescent="0.15">
      <c r="A209" s="1" t="s">
        <v>448</v>
      </c>
      <c r="B209" s="2" t="s">
        <v>341</v>
      </c>
      <c r="C209" s="2" t="s">
        <v>300</v>
      </c>
      <c r="D209" s="2" t="s">
        <v>431</v>
      </c>
      <c r="E209" s="6">
        <v>2700</v>
      </c>
      <c r="F209" s="18">
        <f>7896.58</f>
        <v>7896.58</v>
      </c>
      <c r="G209" s="18">
        <v>556.73</v>
      </c>
      <c r="H209" s="18">
        <f>406832.61+82180.21+21350</f>
        <v>510362.82</v>
      </c>
      <c r="I209" s="18"/>
      <c r="J209" s="18"/>
      <c r="K209" s="18"/>
      <c r="L209" s="13">
        <f t="shared" si="0"/>
        <v>518816.13</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3510425.57</v>
      </c>
      <c r="G212" s="38">
        <f t="shared" si="1"/>
        <v>1936562.09</v>
      </c>
      <c r="H212" s="38">
        <f t="shared" si="1"/>
        <v>985013.36</v>
      </c>
      <c r="I212" s="38">
        <f t="shared" si="1"/>
        <v>289644.19000000006</v>
      </c>
      <c r="J212" s="38">
        <f t="shared" si="1"/>
        <v>104017.88</v>
      </c>
      <c r="K212" s="38">
        <f t="shared" si="1"/>
        <v>23527.82</v>
      </c>
      <c r="L212" s="38">
        <f t="shared" si="1"/>
        <v>6849190.9099999992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K230" si="3">SUM(F216:F229)</f>
        <v>0</v>
      </c>
      <c r="G230" s="38">
        <f t="shared" si="3"/>
        <v>0</v>
      </c>
      <c r="H230" s="38">
        <f t="shared" si="3"/>
        <v>0</v>
      </c>
      <c r="I230" s="38">
        <f t="shared" si="3"/>
        <v>0</v>
      </c>
      <c r="J230" s="38">
        <f t="shared" si="3"/>
        <v>0</v>
      </c>
      <c r="K230" s="38">
        <f t="shared" si="3"/>
        <v>0</v>
      </c>
      <c r="L230" s="38">
        <f t="shared" ref="L230" si="4">SUM(L216:L229)</f>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63122.77+3733158.96</f>
        <v>3796281.73</v>
      </c>
      <c r="I234" s="18"/>
      <c r="J234" s="18"/>
      <c r="K234" s="18"/>
      <c r="L234" s="13">
        <f>SUM(F234:K234)</f>
        <v>3796281.73</v>
      </c>
      <c r="M234" s="8"/>
      <c r="N234" s="165"/>
    </row>
    <row r="235" spans="1:14" s="3" customFormat="1" ht="12.2" customHeight="1" x14ac:dyDescent="0.15">
      <c r="A235" s="1" t="s">
        <v>439</v>
      </c>
      <c r="B235" s="2" t="s">
        <v>350</v>
      </c>
      <c r="C235" s="2" t="s">
        <v>291</v>
      </c>
      <c r="D235" s="2" t="s">
        <v>431</v>
      </c>
      <c r="E235" s="6">
        <v>1200</v>
      </c>
      <c r="F235" s="18">
        <v>166682.71</v>
      </c>
      <c r="G235" s="18"/>
      <c r="H235" s="18">
        <v>489696.89</v>
      </c>
      <c r="I235" s="18"/>
      <c r="J235" s="18"/>
      <c r="K235" s="18"/>
      <c r="L235" s="13">
        <f>SUM(F235:K235)</f>
        <v>656379.6</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5">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5"/>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5"/>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5"/>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5"/>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5"/>
        <v>0</v>
      </c>
      <c r="M244" s="8"/>
      <c r="N244" s="165"/>
    </row>
    <row r="245" spans="1:14" s="3" customFormat="1" ht="12.2" customHeight="1" x14ac:dyDescent="0.15">
      <c r="A245" s="1" t="s">
        <v>448</v>
      </c>
      <c r="B245" s="2" t="s">
        <v>350</v>
      </c>
      <c r="C245" s="2" t="s">
        <v>300</v>
      </c>
      <c r="D245" s="2" t="s">
        <v>431</v>
      </c>
      <c r="E245" s="6">
        <v>2700</v>
      </c>
      <c r="F245" s="18"/>
      <c r="G245" s="18"/>
      <c r="H245" s="18">
        <v>35418.6</v>
      </c>
      <c r="I245" s="18"/>
      <c r="J245" s="18"/>
      <c r="K245" s="18"/>
      <c r="L245" s="13">
        <f t="shared" si="5"/>
        <v>35418.6</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6">SUM(F234:F247)</f>
        <v>166682.71</v>
      </c>
      <c r="G248" s="38">
        <f t="shared" si="6"/>
        <v>0</v>
      </c>
      <c r="H248" s="38">
        <f t="shared" si="6"/>
        <v>4321397.22</v>
      </c>
      <c r="I248" s="38">
        <f t="shared" si="6"/>
        <v>0</v>
      </c>
      <c r="J248" s="38">
        <f t="shared" si="6"/>
        <v>0</v>
      </c>
      <c r="K248" s="38">
        <f t="shared" si="6"/>
        <v>0</v>
      </c>
      <c r="L248" s="38">
        <f t="shared" si="6"/>
        <v>4488079.93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7">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7"/>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7"/>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7"/>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7"/>
        <v>0</v>
      </c>
      <c r="M255" s="8"/>
      <c r="N255" s="165"/>
    </row>
    <row r="256" spans="1:14" s="3" customFormat="1" ht="12.2" customHeight="1" thickBot="1" x14ac:dyDescent="0.2">
      <c r="A256" s="1" t="s">
        <v>584</v>
      </c>
      <c r="B256" s="2" t="s">
        <v>352</v>
      </c>
      <c r="C256" s="6">
        <v>6</v>
      </c>
      <c r="D256" s="2" t="s">
        <v>431</v>
      </c>
      <c r="E256" s="6">
        <v>4000</v>
      </c>
      <c r="F256" s="18"/>
      <c r="G256" s="18"/>
      <c r="H256" s="18">
        <v>79588</v>
      </c>
      <c r="I256" s="18"/>
      <c r="J256" s="18"/>
      <c r="K256" s="18"/>
      <c r="L256" s="13">
        <f t="shared" si="7"/>
        <v>79588</v>
      </c>
      <c r="M256" s="8"/>
      <c r="N256" s="165"/>
    </row>
    <row r="257" spans="1:14" s="3" customFormat="1" ht="12.2" customHeight="1" thickTop="1" thickBot="1" x14ac:dyDescent="0.2">
      <c r="A257" s="35" t="s">
        <v>461</v>
      </c>
      <c r="B257" s="37">
        <v>10</v>
      </c>
      <c r="C257" s="37">
        <v>7</v>
      </c>
      <c r="D257" s="36" t="s">
        <v>431</v>
      </c>
      <c r="E257" s="37"/>
      <c r="F257" s="38">
        <f t="shared" ref="F257:K257" si="8">SUM(F251:F256)</f>
        <v>0</v>
      </c>
      <c r="G257" s="38">
        <f t="shared" si="8"/>
        <v>0</v>
      </c>
      <c r="H257" s="38">
        <f t="shared" si="8"/>
        <v>79588</v>
      </c>
      <c r="I257" s="38">
        <f t="shared" si="8"/>
        <v>0</v>
      </c>
      <c r="J257" s="38">
        <f t="shared" si="8"/>
        <v>0</v>
      </c>
      <c r="K257" s="38">
        <f t="shared" si="8"/>
        <v>0</v>
      </c>
      <c r="L257" s="38">
        <f>SUM(F257:K257)</f>
        <v>79588</v>
      </c>
      <c r="M257" s="8"/>
      <c r="N257" s="165"/>
    </row>
    <row r="258" spans="1:14" s="3" customFormat="1" ht="12.2" customHeight="1" thickTop="1" x14ac:dyDescent="0.15">
      <c r="A258" s="35" t="s">
        <v>462</v>
      </c>
      <c r="B258" s="37">
        <v>10</v>
      </c>
      <c r="C258" s="37">
        <v>8</v>
      </c>
      <c r="D258" s="36" t="s">
        <v>431</v>
      </c>
      <c r="E258" s="37"/>
      <c r="F258" s="38">
        <f t="shared" ref="F258:L258" si="9">F212+F230+F248+F257</f>
        <v>3677108.28</v>
      </c>
      <c r="G258" s="38">
        <f t="shared" si="9"/>
        <v>1936562.09</v>
      </c>
      <c r="H258" s="38">
        <f t="shared" si="9"/>
        <v>5385998.5800000001</v>
      </c>
      <c r="I258" s="38">
        <f t="shared" si="9"/>
        <v>289644.19000000006</v>
      </c>
      <c r="J258" s="38">
        <f t="shared" si="9"/>
        <v>104017.88</v>
      </c>
      <c r="K258" s="38">
        <f t="shared" si="9"/>
        <v>23527.82</v>
      </c>
      <c r="L258" s="38">
        <f t="shared" si="9"/>
        <v>11416858.84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255000</v>
      </c>
      <c r="L261" s="13">
        <f>SUM(F261:K261)</f>
        <v>255000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135182.5</v>
      </c>
      <c r="L262" s="13">
        <f>SUM(F262:K262)</f>
        <v>135182.5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10">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10"/>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10"/>
        <v>50000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10"/>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10"/>
        <v>0</v>
      </c>
      <c r="N270" s="131"/>
    </row>
    <row r="271" spans="1:14" s="3" customFormat="1" ht="12.2" customHeight="1" thickTop="1" thickBot="1" x14ac:dyDescent="0.25">
      <c r="A271" s="40" t="s">
        <v>420</v>
      </c>
      <c r="B271" s="37">
        <v>10</v>
      </c>
      <c r="C271" s="37">
        <v>17</v>
      </c>
      <c r="D271" s="36" t="s">
        <v>431</v>
      </c>
      <c r="E271" s="37"/>
      <c r="F271" s="39">
        <f t="shared" ref="F271:K271" si="11">SUM(F261:F270)</f>
        <v>0</v>
      </c>
      <c r="G271" s="39">
        <f t="shared" si="11"/>
        <v>0</v>
      </c>
      <c r="H271" s="39">
        <f t="shared" si="11"/>
        <v>0</v>
      </c>
      <c r="I271" s="39">
        <f t="shared" si="11"/>
        <v>0</v>
      </c>
      <c r="J271" s="39">
        <f t="shared" si="11"/>
        <v>0</v>
      </c>
      <c r="K271" s="39">
        <f t="shared" si="11"/>
        <v>440182.5</v>
      </c>
      <c r="L271" s="38">
        <f t="shared" si="10"/>
        <v>440182.5</v>
      </c>
      <c r="M271" s="8"/>
      <c r="N271" s="165"/>
    </row>
    <row r="272" spans="1:14" s="33" customFormat="1" ht="12.2" customHeight="1" thickTop="1" x14ac:dyDescent="0.2">
      <c r="A272" s="40" t="s">
        <v>464</v>
      </c>
      <c r="B272" s="37">
        <v>10</v>
      </c>
      <c r="C272" s="37">
        <v>18</v>
      </c>
      <c r="D272" s="36" t="s">
        <v>431</v>
      </c>
      <c r="E272" s="37"/>
      <c r="F272" s="39">
        <f t="shared" ref="F272:L272" si="12">F258+F271</f>
        <v>3677108.28</v>
      </c>
      <c r="G272" s="39">
        <f t="shared" si="12"/>
        <v>1936562.09</v>
      </c>
      <c r="H272" s="39">
        <f t="shared" si="12"/>
        <v>5385998.5800000001</v>
      </c>
      <c r="I272" s="39">
        <f t="shared" si="12"/>
        <v>289644.19000000006</v>
      </c>
      <c r="J272" s="39">
        <f t="shared" si="12"/>
        <v>104017.88</v>
      </c>
      <c r="K272" s="39">
        <f t="shared" si="12"/>
        <v>463710.32</v>
      </c>
      <c r="L272" s="39">
        <f t="shared" si="12"/>
        <v>11857041.34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7657.5</v>
      </c>
      <c r="G277" s="18">
        <v>2162.0100000000002</v>
      </c>
      <c r="H277" s="18">
        <v>921.96</v>
      </c>
      <c r="I277" s="18">
        <v>20672.400000000001</v>
      </c>
      <c r="J277" s="18"/>
      <c r="K277" s="18"/>
      <c r="L277" s="13">
        <f>SUM(F277:K277)</f>
        <v>31413.870000000003</v>
      </c>
      <c r="M277" s="8"/>
      <c r="N277" s="165"/>
    </row>
    <row r="278" spans="1:14" s="3" customFormat="1" ht="12.2" customHeight="1" x14ac:dyDescent="0.15">
      <c r="A278" s="1" t="s">
        <v>439</v>
      </c>
      <c r="B278" s="2" t="s">
        <v>357</v>
      </c>
      <c r="C278" s="2" t="s">
        <v>291</v>
      </c>
      <c r="D278" s="2" t="s">
        <v>431</v>
      </c>
      <c r="E278" s="6">
        <v>1200</v>
      </c>
      <c r="F278" s="18">
        <f>-38659.9+41195.99</f>
        <v>2536.0899999999965</v>
      </c>
      <c r="G278" s="18">
        <v>4657.99</v>
      </c>
      <c r="H278" s="18">
        <v>49850.95</v>
      </c>
      <c r="I278" s="18"/>
      <c r="J278" s="18"/>
      <c r="K278" s="18"/>
      <c r="L278" s="13">
        <f>SUM(F278:K278)</f>
        <v>57045.029999999992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18994</f>
        <v>18994</v>
      </c>
      <c r="G280" s="18">
        <v>1515.83</v>
      </c>
      <c r="H280" s="18"/>
      <c r="I280" s="18"/>
      <c r="J280" s="18"/>
      <c r="K280" s="18"/>
      <c r="L280" s="13">
        <f>SUM(F280:K280)</f>
        <v>20509.830000000002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3">SUM(F282:K282)</f>
        <v>0</v>
      </c>
      <c r="M282" s="8"/>
      <c r="N282" s="165"/>
    </row>
    <row r="283" spans="1:14" s="3" customFormat="1" ht="12.2" customHeight="1" x14ac:dyDescent="0.15">
      <c r="A283" s="1" t="s">
        <v>443</v>
      </c>
      <c r="B283" s="2" t="s">
        <v>357</v>
      </c>
      <c r="C283" s="2" t="s">
        <v>295</v>
      </c>
      <c r="D283" s="2" t="s">
        <v>431</v>
      </c>
      <c r="E283" s="6">
        <v>2200</v>
      </c>
      <c r="F283" s="18"/>
      <c r="G283" s="18"/>
      <c r="H283" s="18">
        <f>1925+450+155+645</f>
        <v>3175</v>
      </c>
      <c r="I283" s="18"/>
      <c r="J283" s="18"/>
      <c r="K283" s="18"/>
      <c r="L283" s="13">
        <f t="shared" si="13"/>
        <v>3175</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3"/>
        <v>0</v>
      </c>
      <c r="M284" s="8"/>
      <c r="N284" s="165"/>
    </row>
    <row r="285" spans="1:14" s="3" customFormat="1" ht="12.2" customHeight="1" x14ac:dyDescent="0.15">
      <c r="A285" s="1" t="s">
        <v>445</v>
      </c>
      <c r="B285" s="2" t="s">
        <v>357</v>
      </c>
      <c r="C285" s="2" t="s">
        <v>297</v>
      </c>
      <c r="D285" s="2" t="s">
        <v>431</v>
      </c>
      <c r="E285" s="6">
        <v>2400</v>
      </c>
      <c r="F285" s="18"/>
      <c r="G285" s="18"/>
      <c r="H285" s="18">
        <v>599</v>
      </c>
      <c r="I285" s="18"/>
      <c r="J285" s="18"/>
      <c r="K285" s="18"/>
      <c r="L285" s="13">
        <f t="shared" si="13"/>
        <v>599</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3"/>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3"/>
        <v>0</v>
      </c>
      <c r="M287" s="8"/>
      <c r="N287" s="165"/>
    </row>
    <row r="288" spans="1:14" s="3" customFormat="1" ht="12.2" customHeight="1" x14ac:dyDescent="0.15">
      <c r="A288" s="1" t="s">
        <v>448</v>
      </c>
      <c r="B288" s="2" t="s">
        <v>357</v>
      </c>
      <c r="C288" s="2" t="s">
        <v>300</v>
      </c>
      <c r="D288" s="2" t="s">
        <v>431</v>
      </c>
      <c r="E288" s="6">
        <v>2700</v>
      </c>
      <c r="F288" s="18"/>
      <c r="G288" s="18"/>
      <c r="H288" s="18">
        <f>7519.92</f>
        <v>7519.92</v>
      </c>
      <c r="I288" s="18"/>
      <c r="J288" s="18"/>
      <c r="K288" s="18"/>
      <c r="L288" s="13">
        <f t="shared" si="13"/>
        <v>7519.92</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K291" si="14">SUM(F277:F290)</f>
        <v>29187.589999999997</v>
      </c>
      <c r="G291" s="39">
        <f t="shared" si="14"/>
        <v>8335.83</v>
      </c>
      <c r="H291" s="39">
        <f t="shared" si="14"/>
        <v>62066.829999999994</v>
      </c>
      <c r="I291" s="39">
        <f t="shared" si="14"/>
        <v>20672.400000000001</v>
      </c>
      <c r="J291" s="39">
        <f t="shared" si="14"/>
        <v>0</v>
      </c>
      <c r="K291" s="39">
        <f t="shared" si="14"/>
        <v>0</v>
      </c>
      <c r="L291" s="38">
        <f t="shared" ref="L291" si="15">SUM(L277:L290)</f>
        <v>120262.65</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6">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6"/>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6"/>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6"/>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6"/>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6"/>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6"/>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7">SUM(F296:F309)</f>
        <v>0</v>
      </c>
      <c r="G310" s="39">
        <f t="shared" si="17"/>
        <v>0</v>
      </c>
      <c r="H310" s="39">
        <f t="shared" si="17"/>
        <v>0</v>
      </c>
      <c r="I310" s="39">
        <f t="shared" si="17"/>
        <v>0</v>
      </c>
      <c r="J310" s="39">
        <f t="shared" si="17"/>
        <v>0</v>
      </c>
      <c r="K310" s="39">
        <f t="shared" si="17"/>
        <v>0</v>
      </c>
      <c r="L310" s="38">
        <f t="shared" si="17"/>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8">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8"/>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8"/>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8"/>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8"/>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8"/>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8"/>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9">SUM(F315:F328)</f>
        <v>0</v>
      </c>
      <c r="G329" s="39">
        <f t="shared" si="19"/>
        <v>0</v>
      </c>
      <c r="H329" s="39">
        <f t="shared" si="19"/>
        <v>0</v>
      </c>
      <c r="I329" s="39">
        <f t="shared" si="19"/>
        <v>0</v>
      </c>
      <c r="J329" s="39">
        <f t="shared" si="19"/>
        <v>0</v>
      </c>
      <c r="K329" s="39">
        <f t="shared" si="19"/>
        <v>0</v>
      </c>
      <c r="L329" s="38">
        <f t="shared" si="19"/>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20">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20"/>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20"/>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20"/>
        <v>0</v>
      </c>
      <c r="M336" s="8"/>
      <c r="N336" s="165"/>
    </row>
    <row r="337" spans="1:43" s="3" customFormat="1" ht="12.2" customHeight="1" thickBot="1" x14ac:dyDescent="0.2">
      <c r="A337" s="1" t="s">
        <v>584</v>
      </c>
      <c r="B337" s="6">
        <v>14</v>
      </c>
      <c r="C337" s="6">
        <v>5</v>
      </c>
      <c r="D337" s="2" t="s">
        <v>431</v>
      </c>
      <c r="E337" s="6">
        <v>4000</v>
      </c>
      <c r="F337" s="18"/>
      <c r="G337" s="18"/>
      <c r="H337" s="18">
        <v>0</v>
      </c>
      <c r="I337" s="18"/>
      <c r="J337" s="18"/>
      <c r="K337" s="18"/>
      <c r="L337" s="13">
        <f t="shared" si="20"/>
        <v>0</v>
      </c>
      <c r="M337" s="8"/>
      <c r="N337" s="165"/>
    </row>
    <row r="338" spans="1:43" s="3" customFormat="1" ht="12.2" customHeight="1" thickTop="1" thickBot="1" x14ac:dyDescent="0.2">
      <c r="A338" s="46" t="s">
        <v>467</v>
      </c>
      <c r="B338" s="37">
        <v>14</v>
      </c>
      <c r="C338" s="47">
        <v>6</v>
      </c>
      <c r="D338" s="44" t="s">
        <v>431</v>
      </c>
      <c r="E338" s="47"/>
      <c r="F338" s="38">
        <f t="shared" ref="F338:K338" si="21">SUM(F333:F337)</f>
        <v>0</v>
      </c>
      <c r="G338" s="38">
        <f t="shared" si="21"/>
        <v>0</v>
      </c>
      <c r="H338" s="38">
        <f t="shared" si="21"/>
        <v>0</v>
      </c>
      <c r="I338" s="38">
        <f t="shared" si="21"/>
        <v>0</v>
      </c>
      <c r="J338" s="38">
        <f t="shared" si="21"/>
        <v>0</v>
      </c>
      <c r="K338" s="38">
        <f t="shared" si="21"/>
        <v>0</v>
      </c>
      <c r="L338" s="38">
        <f t="shared" si="20"/>
        <v>0</v>
      </c>
      <c r="M338" s="8"/>
      <c r="N338" s="165"/>
    </row>
    <row r="339" spans="1:43" s="3" customFormat="1" ht="12.2" customHeight="1" thickTop="1" x14ac:dyDescent="0.15">
      <c r="A339" s="35" t="s">
        <v>468</v>
      </c>
      <c r="B339" s="37">
        <v>14</v>
      </c>
      <c r="C339" s="37">
        <v>7</v>
      </c>
      <c r="D339" s="36" t="s">
        <v>431</v>
      </c>
      <c r="E339" s="37"/>
      <c r="F339" s="38">
        <f t="shared" ref="F339:L339" si="22">F291+F310+F329+F338</f>
        <v>29187.589999999997</v>
      </c>
      <c r="G339" s="38">
        <f t="shared" si="22"/>
        <v>8335.83</v>
      </c>
      <c r="H339" s="38">
        <f t="shared" si="22"/>
        <v>62066.829999999994</v>
      </c>
      <c r="I339" s="38">
        <f t="shared" si="22"/>
        <v>20672.400000000001</v>
      </c>
      <c r="J339" s="38">
        <f t="shared" si="22"/>
        <v>0</v>
      </c>
      <c r="K339" s="38">
        <f t="shared" si="22"/>
        <v>0</v>
      </c>
      <c r="L339" s="38">
        <f t="shared" si="22"/>
        <v>120262.65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3">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3"/>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3"/>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3"/>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3"/>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3"/>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29187.589999999997</v>
      </c>
      <c r="G353" s="38">
        <f>G339</f>
        <v>8335.83</v>
      </c>
      <c r="H353" s="38">
        <f>H339</f>
        <v>62066.829999999994</v>
      </c>
      <c r="I353" s="38">
        <f>I339</f>
        <v>20672.400000000001</v>
      </c>
      <c r="J353" s="38">
        <f>J339</f>
        <v>0</v>
      </c>
      <c r="K353" s="38">
        <f>K339+K352</f>
        <v>0</v>
      </c>
      <c r="L353" s="38">
        <f>L339+L352</f>
        <v>120262.65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40779.67+35892.38+4436</f>
        <v>81108.049999999988</v>
      </c>
      <c r="G359" s="18">
        <f>500+428.51+6331.68+798.99+4793.95</f>
        <v>12853.130000000001</v>
      </c>
      <c r="H359" s="18">
        <f>260+58</f>
        <v>318</v>
      </c>
      <c r="I359" s="18">
        <f>7906.96+117225.52+4544.69-291.23+233.89</f>
        <v>129619.83000000002</v>
      </c>
      <c r="J359" s="18"/>
      <c r="K359" s="18"/>
      <c r="L359" s="13">
        <f>SUM(F359:K359)</f>
        <v>223899.01</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4">SUM(F359:F362)</f>
        <v>81108.049999999988</v>
      </c>
      <c r="G363" s="38">
        <f t="shared" si="24"/>
        <v>12853.130000000001</v>
      </c>
      <c r="H363" s="38">
        <f t="shared" si="24"/>
        <v>318</v>
      </c>
      <c r="I363" s="38">
        <f t="shared" si="24"/>
        <v>129619.83000000002</v>
      </c>
      <c r="J363" s="38">
        <f t="shared" si="24"/>
        <v>0</v>
      </c>
      <c r="K363" s="38">
        <f t="shared" si="24"/>
        <v>0</v>
      </c>
      <c r="L363" s="38">
        <f t="shared" si="24"/>
        <v>223899.01</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117225.52+4544.69-291.23</f>
        <v>121478.98000000001</v>
      </c>
      <c r="G368" s="18"/>
      <c r="H368" s="18"/>
      <c r="I368" s="13">
        <f>SUM(F368:H368)</f>
        <v>121478.98000000001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7606.96+533.89</f>
        <v>8140.85</v>
      </c>
      <c r="G369" s="53"/>
      <c r="H369" s="53"/>
      <c r="I369" s="13">
        <f>SUM(F369:H369)</f>
        <v>8140.85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129619.83000000002</v>
      </c>
      <c r="G370" s="38">
        <f>SUM(G368:G369)</f>
        <v>0</v>
      </c>
      <c r="H370" s="38">
        <f>SUM(H368:H369)</f>
        <v>0</v>
      </c>
      <c r="I370" s="38">
        <f>SUM(I368:I369)</f>
        <v>129619.83000000002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5">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5"/>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5"/>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5"/>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5"/>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5"/>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5"/>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6">SUM(G375:G382)</f>
        <v>0</v>
      </c>
      <c r="H383" s="97">
        <f t="shared" si="26"/>
        <v>0</v>
      </c>
      <c r="I383" s="38">
        <f t="shared" si="26"/>
        <v>0</v>
      </c>
      <c r="J383" s="38">
        <f t="shared" si="26"/>
        <v>0</v>
      </c>
      <c r="K383" s="38">
        <f t="shared" si="26"/>
        <v>0</v>
      </c>
      <c r="L383" s="38">
        <f t="shared" si="26"/>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7">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7"/>
        <v>0</v>
      </c>
      <c r="M389" s="8"/>
      <c r="N389" s="165"/>
    </row>
    <row r="390" spans="1:14" s="3" customFormat="1" ht="12.2" customHeight="1" x14ac:dyDescent="0.15">
      <c r="A390" s="62" t="s">
        <v>552</v>
      </c>
      <c r="B390" s="2" t="s">
        <v>381</v>
      </c>
      <c r="C390" s="6">
        <v>3</v>
      </c>
      <c r="D390" s="2" t="s">
        <v>432</v>
      </c>
      <c r="E390" s="6"/>
      <c r="F390" s="18"/>
      <c r="G390" s="18">
        <v>25000</v>
      </c>
      <c r="H390" s="18">
        <v>426.47</v>
      </c>
      <c r="I390" s="18">
        <v>0</v>
      </c>
      <c r="J390" s="23" t="s">
        <v>288</v>
      </c>
      <c r="K390" s="23" t="s">
        <v>288</v>
      </c>
      <c r="L390" s="13">
        <f t="shared" si="27"/>
        <v>25426.47</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7"/>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7"/>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7"/>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25000</v>
      </c>
      <c r="H394" s="97">
        <f>SUM(H388:H393)</f>
        <v>426.47</v>
      </c>
      <c r="I394" s="54">
        <f>SUM(I388:I393)</f>
        <v>0</v>
      </c>
      <c r="J394" s="42" t="s">
        <v>288</v>
      </c>
      <c r="K394" s="42" t="s">
        <v>288</v>
      </c>
      <c r="L394" s="38">
        <f>SUM(L388:L393)</f>
        <v>25426.47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8">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8"/>
        <v>0</v>
      </c>
      <c r="M397" s="8"/>
      <c r="N397" s="165"/>
    </row>
    <row r="398" spans="1:14" s="3" customFormat="1" ht="12.2" customHeight="1" x14ac:dyDescent="0.15">
      <c r="A398" s="62" t="s">
        <v>515</v>
      </c>
      <c r="B398" s="2" t="s">
        <v>381</v>
      </c>
      <c r="C398" s="6">
        <v>10</v>
      </c>
      <c r="D398" s="2" t="s">
        <v>432</v>
      </c>
      <c r="E398" s="6"/>
      <c r="F398" s="18"/>
      <c r="G398" s="18">
        <v>25000</v>
      </c>
      <c r="H398" s="18">
        <v>468.09</v>
      </c>
      <c r="I398" s="18"/>
      <c r="J398" s="23" t="s">
        <v>288</v>
      </c>
      <c r="K398" s="23" t="s">
        <v>288</v>
      </c>
      <c r="L398" s="13">
        <f t="shared" si="28"/>
        <v>25468.09</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8"/>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8"/>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8"/>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468.09</v>
      </c>
      <c r="I402" s="38">
        <f>SUM(I396:I401)</f>
        <v>0</v>
      </c>
      <c r="J402" s="42" t="s">
        <v>288</v>
      </c>
      <c r="K402" s="42" t="s">
        <v>288</v>
      </c>
      <c r="L402" s="38">
        <f>SUM(L396:L401)</f>
        <v>25468.09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v>
      </c>
      <c r="H409" s="38">
        <f>H394+H402+H408</f>
        <v>894.56</v>
      </c>
      <c r="I409" s="38">
        <f>I394+I402+I408</f>
        <v>0</v>
      </c>
      <c r="J409" s="23" t="s">
        <v>288</v>
      </c>
      <c r="K409" s="23" t="s">
        <v>288</v>
      </c>
      <c r="L409" s="38">
        <f>L394+L402+L408</f>
        <v>50894.559999999998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9">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9"/>
        <v>0</v>
      </c>
      <c r="N415" s="165"/>
    </row>
    <row r="416" spans="1:21" s="3" customFormat="1" ht="12.2" customHeight="1" x14ac:dyDescent="0.15">
      <c r="A416" s="62" t="s">
        <v>552</v>
      </c>
      <c r="B416" s="6">
        <v>17</v>
      </c>
      <c r="C416" s="6">
        <v>3</v>
      </c>
      <c r="D416" s="2" t="s">
        <v>432</v>
      </c>
      <c r="E416" s="6"/>
      <c r="F416" s="18"/>
      <c r="G416" s="18"/>
      <c r="H416" s="18">
        <v>38150</v>
      </c>
      <c r="I416" s="18"/>
      <c r="J416" s="18"/>
      <c r="K416" s="18"/>
      <c r="L416" s="13">
        <f t="shared" si="29"/>
        <v>38150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9"/>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9"/>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9"/>
        <v>0</v>
      </c>
      <c r="M419" s="8"/>
      <c r="N419" s="165"/>
    </row>
    <row r="420" spans="1:21" s="3" customFormat="1" ht="12.2" customHeight="1" thickTop="1" x14ac:dyDescent="0.15">
      <c r="A420" s="116" t="s">
        <v>471</v>
      </c>
      <c r="B420" s="6">
        <v>17</v>
      </c>
      <c r="C420" s="6">
        <v>7</v>
      </c>
      <c r="D420" s="2" t="s">
        <v>432</v>
      </c>
      <c r="E420" s="37">
        <v>5251</v>
      </c>
      <c r="F420" s="97">
        <f t="shared" ref="F420:L420" si="30">SUM(F414:F419)</f>
        <v>0</v>
      </c>
      <c r="G420" s="97">
        <f t="shared" si="30"/>
        <v>0</v>
      </c>
      <c r="H420" s="97">
        <f t="shared" si="30"/>
        <v>38150</v>
      </c>
      <c r="I420" s="97">
        <f t="shared" si="30"/>
        <v>0</v>
      </c>
      <c r="J420" s="97">
        <f t="shared" si="30"/>
        <v>0</v>
      </c>
      <c r="K420" s="97">
        <f t="shared" si="30"/>
        <v>0</v>
      </c>
      <c r="L420" s="38">
        <f t="shared" si="30"/>
        <v>38150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31">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31"/>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31"/>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31"/>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31"/>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31"/>
        <v>0</v>
      </c>
      <c r="M427" s="8"/>
      <c r="N427" s="165"/>
    </row>
    <row r="428" spans="1:21" s="11" customFormat="1" ht="12.2" customHeight="1" thickTop="1" x14ac:dyDescent="0.15">
      <c r="A428" s="116" t="s">
        <v>470</v>
      </c>
      <c r="B428" s="6">
        <v>17</v>
      </c>
      <c r="C428" s="6">
        <v>14</v>
      </c>
      <c r="D428" s="2" t="s">
        <v>432</v>
      </c>
      <c r="E428" s="37">
        <v>5252</v>
      </c>
      <c r="F428" s="38">
        <f t="shared" ref="F428:L428" si="32">SUM(F422:F427)</f>
        <v>0</v>
      </c>
      <c r="G428" s="38">
        <f t="shared" si="32"/>
        <v>0</v>
      </c>
      <c r="H428" s="38">
        <f t="shared" si="32"/>
        <v>0</v>
      </c>
      <c r="I428" s="38">
        <f t="shared" si="32"/>
        <v>0</v>
      </c>
      <c r="J428" s="38">
        <f t="shared" si="32"/>
        <v>0</v>
      </c>
      <c r="K428" s="38">
        <f t="shared" si="32"/>
        <v>0</v>
      </c>
      <c r="L428" s="38">
        <f t="shared" si="32"/>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3">SUM(F430:F433)</f>
        <v>0</v>
      </c>
      <c r="G434" s="38">
        <f t="shared" si="33"/>
        <v>0</v>
      </c>
      <c r="H434" s="38">
        <f t="shared" si="33"/>
        <v>0</v>
      </c>
      <c r="I434" s="38">
        <f t="shared" si="33"/>
        <v>0</v>
      </c>
      <c r="J434" s="38">
        <f t="shared" si="33"/>
        <v>0</v>
      </c>
      <c r="K434" s="38">
        <f t="shared" si="33"/>
        <v>0</v>
      </c>
      <c r="L434" s="38">
        <f t="shared" si="33"/>
        <v>0</v>
      </c>
      <c r="M434" s="8"/>
      <c r="N434" s="165"/>
    </row>
    <row r="435" spans="1:14" s="3" customFormat="1" ht="12.2" customHeight="1" thickTop="1" x14ac:dyDescent="0.15">
      <c r="A435" s="61" t="s">
        <v>422</v>
      </c>
      <c r="B435" s="6">
        <v>17</v>
      </c>
      <c r="C435" s="6">
        <v>20</v>
      </c>
      <c r="D435" s="2" t="s">
        <v>432</v>
      </c>
      <c r="E435" s="37"/>
      <c r="F435" s="38">
        <f t="shared" ref="F435:L435" si="34">F420+F428+F434</f>
        <v>0</v>
      </c>
      <c r="G435" s="38">
        <f t="shared" si="34"/>
        <v>0</v>
      </c>
      <c r="H435" s="38">
        <f t="shared" si="34"/>
        <v>38150</v>
      </c>
      <c r="I435" s="38">
        <f t="shared" si="34"/>
        <v>0</v>
      </c>
      <c r="J435" s="38">
        <f t="shared" si="34"/>
        <v>0</v>
      </c>
      <c r="K435" s="38">
        <f t="shared" si="34"/>
        <v>0</v>
      </c>
      <c r="L435" s="38">
        <f t="shared" si="34"/>
        <v>38150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5">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214300.56</v>
      </c>
      <c r="G441" s="18">
        <v>237748.34</v>
      </c>
      <c r="H441" s="18"/>
      <c r="I441" s="13">
        <f t="shared" si="35"/>
        <v>452048.9</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25000</v>
      </c>
      <c r="G442" s="18">
        <v>25000</v>
      </c>
      <c r="H442" s="18"/>
      <c r="I442" s="13">
        <f t="shared" si="35"/>
        <v>50000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5"/>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5"/>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5"/>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5"/>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239300.56</v>
      </c>
      <c r="G447" s="13">
        <f>SUM(G440:G446)</f>
        <v>262748.33999999997</v>
      </c>
      <c r="H447" s="13">
        <f>SUM(H440:H446)</f>
        <v>0</v>
      </c>
      <c r="I447" s="13">
        <f>SUM(I440:I446)</f>
        <v>502048.9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6">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6"/>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6"/>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6"/>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6"/>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239300.56</v>
      </c>
      <c r="G460" s="18">
        <v>262748.34000000003</v>
      </c>
      <c r="H460" s="18"/>
      <c r="I460" s="13">
        <f t="shared" si="36"/>
        <v>502048.9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239300.56</v>
      </c>
      <c r="G461" s="65">
        <f>SUM(G455:G460)</f>
        <v>262748.34000000003</v>
      </c>
      <c r="H461" s="65">
        <f>SUM(H455:H460)</f>
        <v>0</v>
      </c>
      <c r="I461" s="65">
        <f>SUM(I455:I460)</f>
        <v>502048.9</v>
      </c>
      <c r="J461" s="23" t="s">
        <v>288</v>
      </c>
      <c r="K461" s="23" t="s">
        <v>288</v>
      </c>
      <c r="L461" s="23" t="s">
        <v>288</v>
      </c>
      <c r="N461" s="131"/>
    </row>
    <row r="462" spans="1:86" ht="12.2" customHeight="1" thickTop="1" x14ac:dyDescent="0.2">
      <c r="A462" s="40" t="s">
        <v>424</v>
      </c>
      <c r="B462" s="41">
        <v>18</v>
      </c>
      <c r="C462" s="64">
        <v>21</v>
      </c>
      <c r="D462" s="114" t="s">
        <v>432</v>
      </c>
      <c r="E462" s="64"/>
      <c r="F462" s="39">
        <f>F453+F461</f>
        <v>239300.56</v>
      </c>
      <c r="G462" s="39">
        <f>G453+G461</f>
        <v>262748.34000000003</v>
      </c>
      <c r="H462" s="39">
        <f>H453+H461</f>
        <v>0</v>
      </c>
      <c r="I462" s="39">
        <f>I453+I461</f>
        <v>502048.9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813400.09</v>
      </c>
      <c r="G466" s="18">
        <v>12289.65</v>
      </c>
      <c r="H466" s="18">
        <v>0</v>
      </c>
      <c r="I466" s="18"/>
      <c r="J466" s="18">
        <v>489304.34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12119570.93</v>
      </c>
      <c r="G469" s="18">
        <v>274955.93</v>
      </c>
      <c r="H469" s="18">
        <v>120262.65</v>
      </c>
      <c r="I469" s="18"/>
      <c r="J469" s="18">
        <v>50894.559999999998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12119570.93</v>
      </c>
      <c r="G471" s="19">
        <f>SUM(G469:G470)</f>
        <v>274955.93</v>
      </c>
      <c r="H471" s="19">
        <f>SUM(H469:H470)</f>
        <v>120262.65</v>
      </c>
      <c r="I471" s="19">
        <f>SUM(I469:I470)</f>
        <v>0</v>
      </c>
      <c r="J471" s="19">
        <f>SUM(J469:J470)</f>
        <v>50894.559999999998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50000+11807041.34</f>
        <v>11857041.34</v>
      </c>
      <c r="G473" s="18">
        <v>223899.01</v>
      </c>
      <c r="H473" s="18">
        <v>120262.65</v>
      </c>
      <c r="I473" s="18"/>
      <c r="J473" s="18">
        <v>38150</v>
      </c>
      <c r="K473" s="23" t="s">
        <v>288</v>
      </c>
      <c r="L473" s="23" t="s">
        <v>288</v>
      </c>
      <c r="N473" s="131"/>
    </row>
    <row r="474" spans="1:14" ht="12.2" customHeight="1" x14ac:dyDescent="0.2">
      <c r="A474" s="71" t="s">
        <v>613</v>
      </c>
      <c r="B474" s="22">
        <v>19</v>
      </c>
      <c r="C474" s="31">
        <v>6</v>
      </c>
      <c r="D474" s="2" t="s">
        <v>432</v>
      </c>
      <c r="E474" s="31"/>
      <c r="F474" s="18">
        <v>62134.52</v>
      </c>
      <c r="G474" s="18">
        <v>12289.65</v>
      </c>
      <c r="H474" s="18"/>
      <c r="I474" s="18"/>
      <c r="J474" s="18"/>
      <c r="K474" s="23" t="s">
        <v>288</v>
      </c>
      <c r="L474" s="23" t="s">
        <v>288</v>
      </c>
      <c r="N474" s="131"/>
    </row>
    <row r="475" spans="1:14" ht="12.2" customHeight="1" x14ac:dyDescent="0.2">
      <c r="A475" s="32" t="s">
        <v>426</v>
      </c>
      <c r="B475" s="22">
        <v>19</v>
      </c>
      <c r="C475" s="31">
        <v>7</v>
      </c>
      <c r="D475" s="2" t="s">
        <v>432</v>
      </c>
      <c r="E475" s="31"/>
      <c r="F475" s="19">
        <f>SUM(F473:F474)</f>
        <v>11919175.859999999</v>
      </c>
      <c r="G475" s="19">
        <f>SUM(G473:G474)</f>
        <v>236188.66</v>
      </c>
      <c r="H475" s="19">
        <f>SUM(H473:H474)</f>
        <v>120262.65</v>
      </c>
      <c r="I475" s="19">
        <f>SUM(I473:I474)</f>
        <v>0</v>
      </c>
      <c r="J475" s="19">
        <f>SUM(J473:J474)</f>
        <v>38150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1013795.1600000001</v>
      </c>
      <c r="G477" s="19">
        <f>(G466+G471)- G475</f>
        <v>51056.920000000013</v>
      </c>
      <c r="H477" s="19">
        <f>(H466+H471)- H475</f>
        <v>0</v>
      </c>
      <c r="I477" s="19">
        <f>(I466+I471)- I475</f>
        <v>0</v>
      </c>
      <c r="J477" s="19">
        <f>(J466+J471)- J475</f>
        <v>502048.9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1804</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1802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1803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5600000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3.99</v>
      </c>
      <c r="G495" s="18"/>
      <c r="H495" s="18"/>
      <c r="I495" s="18"/>
      <c r="J495" s="18"/>
      <c r="K495" s="23" t="s">
        <v>288</v>
      </c>
      <c r="L495" s="23" t="s">
        <v>288</v>
      </c>
      <c r="N495" s="131"/>
    </row>
    <row r="496" spans="1:14" ht="12.2" customHeight="1" x14ac:dyDescent="0.2">
      <c r="A496" s="21" t="s">
        <v>619</v>
      </c>
      <c r="B496" s="22">
        <v>20</v>
      </c>
      <c r="C496" s="22">
        <v>6</v>
      </c>
      <c r="D496" s="2" t="s">
        <v>432</v>
      </c>
      <c r="E496" s="22"/>
      <c r="F496" s="18">
        <v>3200000</v>
      </c>
      <c r="G496" s="18"/>
      <c r="H496" s="18"/>
      <c r="I496" s="18"/>
      <c r="J496" s="18"/>
      <c r="K496" s="19">
        <f>SUM(F496:J496)</f>
        <v>3200000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7">SUM(F497:J497)</f>
        <v>0</v>
      </c>
      <c r="L497" s="23" t="s">
        <v>288</v>
      </c>
      <c r="N497" s="131"/>
    </row>
    <row r="498" spans="1:14" ht="12.2" customHeight="1" x14ac:dyDescent="0.2">
      <c r="A498" s="21" t="s">
        <v>621</v>
      </c>
      <c r="B498" s="22">
        <v>20</v>
      </c>
      <c r="C498" s="22">
        <v>8</v>
      </c>
      <c r="D498" s="2" t="s">
        <v>432</v>
      </c>
      <c r="E498" s="22"/>
      <c r="F498" s="18">
        <v>255000</v>
      </c>
      <c r="G498" s="18"/>
      <c r="H498" s="18"/>
      <c r="I498" s="18"/>
      <c r="J498" s="18"/>
      <c r="K498" s="19">
        <f t="shared" si="37"/>
        <v>255000</v>
      </c>
      <c r="L498" s="23" t="s">
        <v>288</v>
      </c>
      <c r="N498" s="131"/>
    </row>
    <row r="499" spans="1:14" ht="12.2" customHeight="1" x14ac:dyDescent="0.2">
      <c r="A499" s="144" t="s">
        <v>622</v>
      </c>
      <c r="B499" s="145">
        <v>20</v>
      </c>
      <c r="C499" s="145">
        <v>9</v>
      </c>
      <c r="D499" s="146" t="s">
        <v>432</v>
      </c>
      <c r="E499" s="145"/>
      <c r="F499" s="147">
        <f>F496-F498</f>
        <v>2945000</v>
      </c>
      <c r="G499" s="147"/>
      <c r="H499" s="147"/>
      <c r="I499" s="147"/>
      <c r="J499" s="147"/>
      <c r="K499" s="148">
        <f t="shared" si="37"/>
        <v>2945000</v>
      </c>
      <c r="L499" s="149" t="s">
        <v>288</v>
      </c>
      <c r="N499" s="131"/>
    </row>
    <row r="500" spans="1:14" ht="12.2" customHeight="1" thickBot="1" x14ac:dyDescent="0.25">
      <c r="A500" s="21" t="s">
        <v>623</v>
      </c>
      <c r="B500" s="22">
        <v>20</v>
      </c>
      <c r="C500" s="22">
        <v>10</v>
      </c>
      <c r="D500" s="2" t="s">
        <v>432</v>
      </c>
      <c r="E500" s="22"/>
      <c r="F500" s="18">
        <f>867502.5-135182.5</f>
        <v>732320</v>
      </c>
      <c r="G500" s="18"/>
      <c r="H500" s="18"/>
      <c r="I500" s="18"/>
      <c r="J500" s="18"/>
      <c r="K500" s="19">
        <f t="shared" si="37"/>
        <v>732320</v>
      </c>
      <c r="L500" s="23" t="s">
        <v>288</v>
      </c>
      <c r="N500" s="131"/>
    </row>
    <row r="501" spans="1:14" ht="12.2" customHeight="1" thickTop="1" x14ac:dyDescent="0.2">
      <c r="A501" s="97" t="s">
        <v>624</v>
      </c>
      <c r="B501" s="41">
        <v>20</v>
      </c>
      <c r="C501" s="41">
        <v>11</v>
      </c>
      <c r="D501" s="36" t="s">
        <v>432</v>
      </c>
      <c r="E501" s="41"/>
      <c r="F501" s="39">
        <f>SUM(F499:F500)</f>
        <v>3677320</v>
      </c>
      <c r="G501" s="39">
        <f>SUM(G499:G500)</f>
        <v>0</v>
      </c>
      <c r="H501" s="39">
        <f>SUM(H499:H500)</f>
        <v>0</v>
      </c>
      <c r="I501" s="39">
        <f>SUM(I499:I500)</f>
        <v>0</v>
      </c>
      <c r="J501" s="39">
        <f>SUM(J499:J500)</f>
        <v>0</v>
      </c>
      <c r="K501" s="39">
        <f t="shared" si="37"/>
        <v>3677320</v>
      </c>
      <c r="L501" s="42" t="s">
        <v>288</v>
      </c>
      <c r="N501" s="131"/>
    </row>
    <row r="502" spans="1:14" ht="12.2" customHeight="1" x14ac:dyDescent="0.2">
      <c r="A502" s="144" t="s">
        <v>651</v>
      </c>
      <c r="B502" s="145">
        <v>20</v>
      </c>
      <c r="C502" s="145">
        <v>12</v>
      </c>
      <c r="D502" s="146" t="s">
        <v>432</v>
      </c>
      <c r="E502" s="145"/>
      <c r="F502" s="147">
        <f>265000</f>
        <v>265000</v>
      </c>
      <c r="G502" s="147"/>
      <c r="H502" s="147"/>
      <c r="I502" s="147"/>
      <c r="J502" s="147"/>
      <c r="K502" s="148">
        <f t="shared" si="37"/>
        <v>265000</v>
      </c>
      <c r="L502" s="149" t="s">
        <v>288</v>
      </c>
      <c r="N502" s="131"/>
    </row>
    <row r="503" spans="1:14" ht="12.2" customHeight="1" thickBot="1" x14ac:dyDescent="0.25">
      <c r="A503" s="21" t="s">
        <v>625</v>
      </c>
      <c r="B503" s="22">
        <v>20</v>
      </c>
      <c r="C503" s="22">
        <v>13</v>
      </c>
      <c r="D503" s="2" t="s">
        <v>432</v>
      </c>
      <c r="E503" s="22"/>
      <c r="F503" s="18">
        <f>64074.75+57449.75</f>
        <v>121524.5</v>
      </c>
      <c r="G503" s="18"/>
      <c r="H503" s="18"/>
      <c r="I503" s="18"/>
      <c r="J503" s="18"/>
      <c r="K503" s="19">
        <f t="shared" si="37"/>
        <v>121524.5</v>
      </c>
      <c r="L503" s="23" t="s">
        <v>288</v>
      </c>
      <c r="N503" s="131"/>
    </row>
    <row r="504" spans="1:14" ht="12.2" customHeight="1" thickTop="1" x14ac:dyDescent="0.2">
      <c r="A504" s="97" t="s">
        <v>626</v>
      </c>
      <c r="B504" s="41">
        <v>20</v>
      </c>
      <c r="C504" s="41">
        <v>14</v>
      </c>
      <c r="D504" s="36" t="s">
        <v>432</v>
      </c>
      <c r="E504" s="41"/>
      <c r="F504" s="39">
        <f>SUM(F502:F503)</f>
        <v>386524.5</v>
      </c>
      <c r="G504" s="39">
        <f>SUM(G502:G503)</f>
        <v>0</v>
      </c>
      <c r="H504" s="39">
        <f>SUM(H502:H503)</f>
        <v>0</v>
      </c>
      <c r="I504" s="39">
        <f>SUM(I502:I503)</f>
        <v>0</v>
      </c>
      <c r="J504" s="39">
        <f>SUM(J502:J503)</f>
        <v>0</v>
      </c>
      <c r="K504" s="39">
        <f t="shared" si="37"/>
        <v>386524.5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735474.5-271-166682.71</f>
        <v>568520.79</v>
      </c>
      <c r="G522" s="18">
        <f>285436.62</f>
        <v>285436.62</v>
      </c>
      <c r="H522" s="18">
        <f>14393.28+87054.86</f>
        <v>101448.14</v>
      </c>
      <c r="I522" s="18">
        <v>8841.14</v>
      </c>
      <c r="J522" s="18">
        <v>5269.98</v>
      </c>
      <c r="K522" s="18"/>
      <c r="L522" s="69">
        <f>SUM(F522:K522)</f>
        <v>969516.67</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166682.71</v>
      </c>
      <c r="G524" s="18"/>
      <c r="H524" s="18">
        <v>388248.75</v>
      </c>
      <c r="I524" s="18"/>
      <c r="J524" s="18"/>
      <c r="K524" s="18"/>
      <c r="L524" s="69">
        <f>SUM(F524:K524)</f>
        <v>554931.46</v>
      </c>
      <c r="N524" s="131"/>
    </row>
    <row r="525" spans="1:14" ht="12.2" customHeight="1" thickTop="1" x14ac:dyDescent="0.2">
      <c r="A525" s="97" t="s">
        <v>63</v>
      </c>
      <c r="B525" s="41">
        <v>21</v>
      </c>
      <c r="C525" s="41">
        <v>4</v>
      </c>
      <c r="D525" s="115" t="s">
        <v>432</v>
      </c>
      <c r="E525" s="41"/>
      <c r="F525" s="81">
        <f>SUM(F522:F524)</f>
        <v>735203.5</v>
      </c>
      <c r="G525" s="81">
        <f t="shared" ref="G525:L525" si="38">SUM(G522:G524)</f>
        <v>285436.62</v>
      </c>
      <c r="H525" s="81">
        <f t="shared" si="38"/>
        <v>489696.89</v>
      </c>
      <c r="I525" s="81">
        <f t="shared" si="38"/>
        <v>8841.14</v>
      </c>
      <c r="J525" s="81">
        <f t="shared" si="38"/>
        <v>5269.98</v>
      </c>
      <c r="K525" s="81">
        <f t="shared" si="38"/>
        <v>0</v>
      </c>
      <c r="L525" s="70">
        <f t="shared" si="38"/>
        <v>1524448.13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46285.35+38028.99+487.8+103159.07</f>
        <v>187961.21000000002</v>
      </c>
      <c r="G527" s="18">
        <f>126039.28+5045.16</f>
        <v>131084.44</v>
      </c>
      <c r="H527" s="18">
        <v>11193.22</v>
      </c>
      <c r="I527" s="18"/>
      <c r="J527" s="18"/>
      <c r="K527" s="18"/>
      <c r="L527" s="69">
        <f>SUM(F527:K527)</f>
        <v>330238.87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187961.21000000002</v>
      </c>
      <c r="G530" s="70">
        <f t="shared" ref="G530:L530" si="39">SUM(G527:G529)</f>
        <v>131084.44</v>
      </c>
      <c r="H530" s="70">
        <f t="shared" si="39"/>
        <v>11193.22</v>
      </c>
      <c r="I530" s="70">
        <f t="shared" si="39"/>
        <v>0</v>
      </c>
      <c r="J530" s="70">
        <f t="shared" si="39"/>
        <v>0</v>
      </c>
      <c r="K530" s="70">
        <f t="shared" si="39"/>
        <v>0</v>
      </c>
      <c r="L530" s="70">
        <f t="shared" si="39"/>
        <v>330238.87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40">SUM(G532:G534)</f>
        <v>0</v>
      </c>
      <c r="H535" s="70">
        <f t="shared" si="40"/>
        <v>0</v>
      </c>
      <c r="I535" s="70">
        <f t="shared" si="40"/>
        <v>0</v>
      </c>
      <c r="J535" s="70">
        <f t="shared" si="40"/>
        <v>0</v>
      </c>
      <c r="K535" s="70">
        <f t="shared" si="40"/>
        <v>0</v>
      </c>
      <c r="L535" s="70">
        <f t="shared" si="40"/>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1">SUM(G537:G539)</f>
        <v>0</v>
      </c>
      <c r="H540" s="70">
        <f t="shared" si="41"/>
        <v>0</v>
      </c>
      <c r="I540" s="70">
        <f t="shared" si="41"/>
        <v>0</v>
      </c>
      <c r="J540" s="70">
        <f t="shared" si="41"/>
        <v>0</v>
      </c>
      <c r="K540" s="70">
        <f t="shared" si="41"/>
        <v>0</v>
      </c>
      <c r="L540" s="70">
        <f t="shared" si="41"/>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82180.210000000006</v>
      </c>
      <c r="I542" s="18"/>
      <c r="J542" s="18"/>
      <c r="K542" s="18"/>
      <c r="L542" s="69">
        <f>SUM(F542:K542)</f>
        <v>82180.210000000006</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2">SUM(G542:G544)</f>
        <v>0</v>
      </c>
      <c r="H545" s="141">
        <f t="shared" si="42"/>
        <v>82180.210000000006</v>
      </c>
      <c r="I545" s="141">
        <f t="shared" si="42"/>
        <v>0</v>
      </c>
      <c r="J545" s="141">
        <f t="shared" si="42"/>
        <v>0</v>
      </c>
      <c r="K545" s="141">
        <f t="shared" si="42"/>
        <v>0</v>
      </c>
      <c r="L545" s="141">
        <f t="shared" si="42"/>
        <v>82180.210000000006</v>
      </c>
      <c r="M545" s="8"/>
      <c r="N545" s="165"/>
    </row>
    <row r="546" spans="1:14" s="3" customFormat="1" ht="12.2" customHeight="1" thickTop="1" x14ac:dyDescent="0.15">
      <c r="A546" s="75" t="s">
        <v>72</v>
      </c>
      <c r="B546" s="41">
        <v>21</v>
      </c>
      <c r="C546" s="41">
        <v>21</v>
      </c>
      <c r="D546" s="115" t="s">
        <v>432</v>
      </c>
      <c r="E546" s="41"/>
      <c r="F546" s="70">
        <f>F525+F530+F535+F540+F545</f>
        <v>923164.71</v>
      </c>
      <c r="G546" s="70">
        <f t="shared" ref="G546:L546" si="43">G525+G530+G535+G540+G545</f>
        <v>416521.06</v>
      </c>
      <c r="H546" s="70">
        <f t="shared" si="43"/>
        <v>583070.31999999995</v>
      </c>
      <c r="I546" s="70">
        <f t="shared" si="43"/>
        <v>8841.14</v>
      </c>
      <c r="J546" s="70">
        <f t="shared" si="43"/>
        <v>5269.98</v>
      </c>
      <c r="K546" s="70">
        <f t="shared" si="43"/>
        <v>0</v>
      </c>
      <c r="L546" s="70">
        <f t="shared" si="43"/>
        <v>1936867.21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969516.67</v>
      </c>
      <c r="G550" s="69">
        <f>L527</f>
        <v>330238.87</v>
      </c>
      <c r="H550" s="69">
        <f>L532</f>
        <v>0</v>
      </c>
      <c r="I550" s="69">
        <f>L537</f>
        <v>0</v>
      </c>
      <c r="J550" s="69">
        <f>L542</f>
        <v>82180.210000000006</v>
      </c>
      <c r="K550" s="69">
        <f>SUM(F550:J550)</f>
        <v>1381935.75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554931.46</v>
      </c>
      <c r="G552" s="69">
        <f>L529</f>
        <v>0</v>
      </c>
      <c r="H552" s="69">
        <f>L534</f>
        <v>0</v>
      </c>
      <c r="I552" s="69">
        <f>L539</f>
        <v>0</v>
      </c>
      <c r="J552" s="69">
        <f>L544</f>
        <v>0</v>
      </c>
      <c r="K552" s="69">
        <f>SUM(F552:J552)</f>
        <v>554931.46</v>
      </c>
      <c r="L552" s="23" t="s">
        <v>288</v>
      </c>
      <c r="M552" s="8"/>
      <c r="N552" s="165"/>
    </row>
    <row r="553" spans="1:14" s="3" customFormat="1" ht="12.2" customHeight="1" thickTop="1" x14ac:dyDescent="0.15">
      <c r="A553" s="126" t="s">
        <v>340</v>
      </c>
      <c r="B553" s="41">
        <v>21</v>
      </c>
      <c r="C553" s="41">
        <v>25</v>
      </c>
      <c r="D553" s="36" t="s">
        <v>432</v>
      </c>
      <c r="E553" s="41"/>
      <c r="F553" s="70">
        <f t="shared" ref="F553:K553" si="44">SUM(F550:F552)</f>
        <v>1524448.13</v>
      </c>
      <c r="G553" s="70">
        <f t="shared" si="44"/>
        <v>330238.87</v>
      </c>
      <c r="H553" s="70">
        <f t="shared" si="44"/>
        <v>0</v>
      </c>
      <c r="I553" s="70">
        <f t="shared" si="44"/>
        <v>0</v>
      </c>
      <c r="J553" s="70">
        <f t="shared" si="44"/>
        <v>82180.210000000006</v>
      </c>
      <c r="K553" s="70">
        <f t="shared" si="44"/>
        <v>1936867.21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5">SUM(F558:F560)</f>
        <v>0</v>
      </c>
      <c r="G561" s="81">
        <f t="shared" si="45"/>
        <v>0</v>
      </c>
      <c r="H561" s="81">
        <f t="shared" si="45"/>
        <v>0</v>
      </c>
      <c r="I561" s="81">
        <f t="shared" si="45"/>
        <v>0</v>
      </c>
      <c r="J561" s="81">
        <f t="shared" si="45"/>
        <v>0</v>
      </c>
      <c r="K561" s="81">
        <f t="shared" si="45"/>
        <v>0</v>
      </c>
      <c r="L561" s="70">
        <f t="shared" si="45"/>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6">SUM(F563:F565)</f>
        <v>0</v>
      </c>
      <c r="G566" s="70">
        <f t="shared" si="46"/>
        <v>0</v>
      </c>
      <c r="H566" s="70">
        <f t="shared" si="46"/>
        <v>0</v>
      </c>
      <c r="I566" s="70">
        <f t="shared" si="46"/>
        <v>0</v>
      </c>
      <c r="J566" s="70">
        <f t="shared" si="46"/>
        <v>0</v>
      </c>
      <c r="K566" s="70">
        <f t="shared" si="46"/>
        <v>0</v>
      </c>
      <c r="L566" s="70">
        <f t="shared" si="46"/>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7">SUM(G568:G570)</f>
        <v>0</v>
      </c>
      <c r="H571" s="141">
        <f t="shared" si="47"/>
        <v>0</v>
      </c>
      <c r="I571" s="141">
        <f t="shared" si="47"/>
        <v>0</v>
      </c>
      <c r="J571" s="141">
        <f t="shared" si="47"/>
        <v>0</v>
      </c>
      <c r="K571" s="141">
        <f t="shared" si="47"/>
        <v>0</v>
      </c>
      <c r="L571" s="141">
        <f t="shared" si="47"/>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8">G561+G566+G571</f>
        <v>0</v>
      </c>
      <c r="H572" s="70">
        <f t="shared" si="48"/>
        <v>0</v>
      </c>
      <c r="I572" s="70">
        <f t="shared" si="48"/>
        <v>0</v>
      </c>
      <c r="J572" s="70">
        <f t="shared" si="48"/>
        <v>0</v>
      </c>
      <c r="K572" s="70">
        <f t="shared" si="48"/>
        <v>0</v>
      </c>
      <c r="L572" s="70">
        <f t="shared" si="48"/>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f>63122.77</f>
        <v>63122.77</v>
      </c>
      <c r="I576" s="69">
        <f>SUM(F576:H576)</f>
        <v>63122.77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9">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f>3796281.73-63122.77</f>
        <v>3733158.96</v>
      </c>
      <c r="I578" s="69">
        <f t="shared" si="49"/>
        <v>3733158.96</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9"/>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87054.86</v>
      </c>
      <c r="G580" s="18"/>
      <c r="H580" s="18"/>
      <c r="I580" s="69">
        <f t="shared" si="49"/>
        <v>87054.86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9"/>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388248.75</v>
      </c>
      <c r="I582" s="69">
        <f t="shared" si="49"/>
        <v>388248.75</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14393.28</v>
      </c>
      <c r="G583" s="18"/>
      <c r="H583" s="18"/>
      <c r="I583" s="69">
        <f t="shared" si="49"/>
        <v>14393.28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9"/>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9"/>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9"/>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9"/>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9"/>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8453.31+406832.61+21350</f>
        <v>436635.92</v>
      </c>
      <c r="I592" s="18"/>
      <c r="J592" s="18">
        <v>35418.6</v>
      </c>
      <c r="K592" s="80">
        <f t="shared" ref="K592:K598" si="50">SUM(H592:J592)</f>
        <v>472054.51999999996</v>
      </c>
      <c r="L592" s="23" t="s">
        <v>288</v>
      </c>
      <c r="M592" s="8"/>
      <c r="N592" s="165"/>
    </row>
    <row r="593" spans="1:14" s="3" customFormat="1" ht="12.2" customHeight="1" x14ac:dyDescent="0.15">
      <c r="A593" s="3" t="s">
        <v>638</v>
      </c>
      <c r="B593" s="22">
        <v>23</v>
      </c>
      <c r="C593" s="22">
        <v>2</v>
      </c>
      <c r="D593" s="2" t="s">
        <v>432</v>
      </c>
      <c r="E593" s="22"/>
      <c r="F593" s="78">
        <v>2722</v>
      </c>
      <c r="G593" s="79" t="s">
        <v>97</v>
      </c>
      <c r="H593" s="18">
        <f>82180.21</f>
        <v>82180.210000000006</v>
      </c>
      <c r="I593" s="18"/>
      <c r="J593" s="18"/>
      <c r="K593" s="80">
        <f t="shared" si="50"/>
        <v>82180.210000000006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50"/>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50"/>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50"/>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518816.13</v>
      </c>
      <c r="I599" s="81">
        <f>SUM(I592:I598)</f>
        <v>0</v>
      </c>
      <c r="J599" s="81">
        <f>SUM(J592:J598)</f>
        <v>35418.6</v>
      </c>
      <c r="K599" s="81">
        <f>SUM(K592:K598)</f>
        <v>554234.73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104017.88</v>
      </c>
      <c r="I605" s="18"/>
      <c r="J605" s="18"/>
      <c r="K605" s="80">
        <f>SUM(H605:J605)</f>
        <v>104017.88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104017.88</v>
      </c>
      <c r="I606" s="81">
        <f>SUM(I603:I605)</f>
        <v>0</v>
      </c>
      <c r="J606" s="81">
        <f>SUM(J603:J605)</f>
        <v>0</v>
      </c>
      <c r="K606" s="81">
        <f>SUM(K603:K605)</f>
        <v>104017.88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2082761.1199999999</v>
      </c>
      <c r="H618" s="80">
        <f>SUM(F52)</f>
        <v>2082761.12</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91369.87</v>
      </c>
      <c r="H619" s="80">
        <f>SUM(G52)</f>
        <v>91369.87</v>
      </c>
      <c r="I619" s="87" t="s">
        <v>876</v>
      </c>
      <c r="J619" s="80">
        <f>G619-H619</f>
        <v>0</v>
      </c>
      <c r="K619" s="80"/>
      <c r="L619" s="80"/>
      <c r="M619" s="8"/>
    </row>
    <row r="620" spans="1:14" s="3" customFormat="1" ht="12.2" customHeight="1" x14ac:dyDescent="0.15">
      <c r="A620" s="74"/>
      <c r="B620" s="22"/>
      <c r="C620" s="22"/>
      <c r="D620" s="22"/>
      <c r="E620" s="22"/>
      <c r="F620" s="87" t="s">
        <v>685</v>
      </c>
      <c r="G620" s="80">
        <f>SUM(H19)</f>
        <v>119745.93000000001</v>
      </c>
      <c r="H620" s="80">
        <f>SUM(H52)</f>
        <v>119745.93</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502048.9</v>
      </c>
      <c r="H622" s="80">
        <f>SUM(J52)</f>
        <v>502048.9</v>
      </c>
      <c r="I622" s="87" t="s">
        <v>879</v>
      </c>
      <c r="J622" s="80">
        <f>G622-H622</f>
        <v>0</v>
      </c>
      <c r="K622" s="80"/>
      <c r="L622" s="80"/>
      <c r="M622" s="8"/>
    </row>
    <row r="623" spans="1:14" s="3" customFormat="1" ht="12.2" customHeight="1" x14ac:dyDescent="0.15">
      <c r="A623" s="74"/>
      <c r="B623" s="22"/>
      <c r="C623" s="22"/>
      <c r="D623" s="22"/>
      <c r="E623" s="22"/>
      <c r="F623" s="87" t="s">
        <v>865</v>
      </c>
      <c r="G623" s="80">
        <f>F51</f>
        <v>1013795.16</v>
      </c>
      <c r="H623" s="80">
        <f>F477</f>
        <v>1013795.1600000001</v>
      </c>
      <c r="I623" s="87" t="s">
        <v>101</v>
      </c>
      <c r="J623" s="80">
        <f t="shared" ref="J623:J656" si="52">G623-H623</f>
        <v>0</v>
      </c>
      <c r="K623" s="80"/>
      <c r="L623" s="80"/>
      <c r="M623" s="8"/>
    </row>
    <row r="624" spans="1:14" s="3" customFormat="1" ht="12.2" customHeight="1" x14ac:dyDescent="0.15">
      <c r="A624" s="74"/>
      <c r="B624" s="22"/>
      <c r="C624" s="85"/>
      <c r="D624" s="85"/>
      <c r="E624" s="85"/>
      <c r="F624" s="85" t="s">
        <v>866</v>
      </c>
      <c r="G624" s="80">
        <f>G51</f>
        <v>51056.92</v>
      </c>
      <c r="H624" s="80">
        <f>G477</f>
        <v>51056.920000000013</v>
      </c>
      <c r="I624" s="87" t="s">
        <v>102</v>
      </c>
      <c r="J624" s="80">
        <f t="shared" si="52"/>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2"/>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869</v>
      </c>
      <c r="G627" s="80">
        <f>J51</f>
        <v>502048.9</v>
      </c>
      <c r="H627" s="80">
        <f>J477</f>
        <v>502048.9</v>
      </c>
      <c r="I627" s="87" t="s">
        <v>105</v>
      </c>
      <c r="J627" s="80">
        <f t="shared" si="52"/>
        <v>0</v>
      </c>
      <c r="K627" s="67"/>
      <c r="L627" s="69"/>
      <c r="M627" s="8"/>
    </row>
    <row r="628" spans="1:13" s="3" customFormat="1" ht="12.2" customHeight="1" x14ac:dyDescent="0.15">
      <c r="A628" s="21"/>
      <c r="B628" s="22"/>
      <c r="C628" s="22"/>
      <c r="D628" s="22"/>
      <c r="E628" s="22"/>
      <c r="F628" s="86" t="s">
        <v>658</v>
      </c>
      <c r="G628" s="80">
        <f>F194</f>
        <v>12119570.93</v>
      </c>
      <c r="H628" s="80">
        <f>SUM(F469)</f>
        <v>12119570.93</v>
      </c>
      <c r="I628" s="87" t="s">
        <v>106</v>
      </c>
      <c r="J628" s="80">
        <f>G628-H628</f>
        <v>0</v>
      </c>
      <c r="K628" s="67"/>
      <c r="L628" s="69"/>
      <c r="M628" s="8"/>
    </row>
    <row r="629" spans="1:13" s="3" customFormat="1" ht="12.2" customHeight="1" x14ac:dyDescent="0.15">
      <c r="A629" s="21"/>
      <c r="B629" s="22"/>
      <c r="C629" s="22"/>
      <c r="D629" s="22"/>
      <c r="E629" s="22"/>
      <c r="F629" s="86" t="s">
        <v>659</v>
      </c>
      <c r="G629" s="80">
        <f>G194</f>
        <v>274955.93</v>
      </c>
      <c r="H629" s="80">
        <f>SUM(G469)</f>
        <v>274955.93</v>
      </c>
      <c r="I629" s="87" t="s">
        <v>107</v>
      </c>
      <c r="J629" s="80">
        <f>G629-H629</f>
        <v>0</v>
      </c>
      <c r="K629" s="67"/>
      <c r="L629" s="69"/>
      <c r="M629" s="8"/>
    </row>
    <row r="630" spans="1:13" s="3" customFormat="1" ht="12.2" customHeight="1" x14ac:dyDescent="0.15">
      <c r="A630" s="21"/>
      <c r="B630" s="22"/>
      <c r="C630" s="22"/>
      <c r="D630" s="22"/>
      <c r="E630" s="22"/>
      <c r="F630" s="86" t="s">
        <v>660</v>
      </c>
      <c r="G630" s="80">
        <f>H194</f>
        <v>120262.65</v>
      </c>
      <c r="H630" s="80">
        <f>SUM(H469)</f>
        <v>120262.65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50894.559999999998</v>
      </c>
      <c r="H632" s="80">
        <f>SUM(J469)</f>
        <v>50894.559999999998</v>
      </c>
      <c r="I632" s="87" t="s">
        <v>110</v>
      </c>
      <c r="J632" s="80">
        <f>G632-H632</f>
        <v>0</v>
      </c>
      <c r="K632" s="67"/>
      <c r="L632" s="69"/>
      <c r="M632" s="8"/>
    </row>
    <row r="633" spans="1:13" s="3" customFormat="1" ht="12.2" customHeight="1" x14ac:dyDescent="0.15">
      <c r="A633" s="21"/>
      <c r="B633" s="22"/>
      <c r="C633" s="22"/>
      <c r="D633" s="22"/>
      <c r="E633" s="22"/>
      <c r="F633" s="86" t="s">
        <v>394</v>
      </c>
      <c r="G633" s="80">
        <f>SUM(L272)</f>
        <v>11857041.34</v>
      </c>
      <c r="H633" s="80">
        <f>SUM(F473)</f>
        <v>11857041.34</v>
      </c>
      <c r="I633" s="87" t="s">
        <v>111</v>
      </c>
      <c r="J633" s="80">
        <f t="shared" si="52"/>
        <v>0</v>
      </c>
      <c r="K633" s="67"/>
      <c r="L633" s="69"/>
      <c r="M633" s="8"/>
    </row>
    <row r="634" spans="1:13" s="3" customFormat="1" ht="12.2" customHeight="1" x14ac:dyDescent="0.15">
      <c r="A634" s="21"/>
      <c r="B634" s="22"/>
      <c r="C634" s="22"/>
      <c r="D634" s="22"/>
      <c r="E634" s="22"/>
      <c r="F634" s="86" t="s">
        <v>395</v>
      </c>
      <c r="G634" s="80">
        <f>SUM(L353)</f>
        <v>120262.65</v>
      </c>
      <c r="H634" s="80">
        <f>SUM(H473)</f>
        <v>120262.65</v>
      </c>
      <c r="I634" s="87" t="s">
        <v>112</v>
      </c>
      <c r="J634" s="80">
        <f>G634-H634</f>
        <v>0</v>
      </c>
      <c r="K634" s="67"/>
      <c r="L634" s="69"/>
      <c r="M634" s="8"/>
    </row>
    <row r="635" spans="1:13" s="124" customFormat="1" ht="12.2" customHeight="1" x14ac:dyDescent="0.15">
      <c r="A635" s="21"/>
      <c r="B635" s="22"/>
      <c r="C635" s="22"/>
      <c r="D635" s="22"/>
      <c r="E635" s="22"/>
      <c r="F635" s="99" t="s">
        <v>247</v>
      </c>
      <c r="G635" s="80">
        <f>I363</f>
        <v>129619.83000000002</v>
      </c>
      <c r="H635" s="80">
        <f>I370</f>
        <v>129619.83000000002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223899.01</v>
      </c>
      <c r="H636" s="80">
        <f>SUM(G473)</f>
        <v>223899.01</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50894.559999999998</v>
      </c>
      <c r="H638" s="108">
        <f>SUM(J469)</f>
        <v>50894.559999999998</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38150</v>
      </c>
      <c r="H639" s="108">
        <f>SUM(J473)</f>
        <v>38150</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239300.56</v>
      </c>
      <c r="H640" s="80">
        <f>SUM(F462)</f>
        <v>239300.56</v>
      </c>
      <c r="I640" s="87" t="s">
        <v>841</v>
      </c>
      <c r="J640" s="80">
        <f t="shared" si="52"/>
        <v>0</v>
      </c>
      <c r="K640" s="67"/>
      <c r="L640" s="69"/>
      <c r="M640" s="8"/>
    </row>
    <row r="641" spans="1:13" s="3" customFormat="1" ht="12.2" customHeight="1" x14ac:dyDescent="0.15">
      <c r="A641" s="21"/>
      <c r="B641" s="22"/>
      <c r="C641" s="22"/>
      <c r="D641" s="22"/>
      <c r="E641" s="22"/>
      <c r="F641" s="86" t="s">
        <v>119</v>
      </c>
      <c r="G641" s="80">
        <f>SUM(G447)</f>
        <v>262748.33999999997</v>
      </c>
      <c r="H641" s="80">
        <f>SUM(G462)</f>
        <v>262748.34000000003</v>
      </c>
      <c r="I641" s="87" t="s">
        <v>842</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2"/>
        <v>0</v>
      </c>
      <c r="K642" s="67"/>
      <c r="L642" s="69"/>
      <c r="M642" s="8"/>
    </row>
    <row r="643" spans="1:13" s="3" customFormat="1" ht="12.2" customHeight="1" x14ac:dyDescent="0.15">
      <c r="A643" s="21"/>
      <c r="B643" s="22"/>
      <c r="C643" s="22"/>
      <c r="D643" s="22"/>
      <c r="E643" s="22"/>
      <c r="F643" s="86" t="s">
        <v>121</v>
      </c>
      <c r="G643" s="80">
        <f>SUM(I447)</f>
        <v>502048.9</v>
      </c>
      <c r="H643" s="80">
        <f>SUM(I462)</f>
        <v>502048.9</v>
      </c>
      <c r="I643" s="87" t="s">
        <v>844</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894.56</v>
      </c>
      <c r="H645" s="80">
        <f>H409</f>
        <v>894.56</v>
      </c>
      <c r="I645" s="87" t="s">
        <v>480</v>
      </c>
      <c r="J645" s="80">
        <f t="shared" si="52"/>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2"/>
        <v>0</v>
      </c>
      <c r="K646" s="67"/>
      <c r="L646" s="69"/>
      <c r="M646" s="8"/>
    </row>
    <row r="647" spans="1:13" s="3" customFormat="1" ht="12.2" customHeight="1" x14ac:dyDescent="0.15">
      <c r="A647" s="21"/>
      <c r="B647" s="22"/>
      <c r="C647" s="22"/>
      <c r="D647" s="22"/>
      <c r="E647" s="22"/>
      <c r="F647" s="86" t="s">
        <v>662</v>
      </c>
      <c r="G647" s="80">
        <f>J194</f>
        <v>50894.559999999998</v>
      </c>
      <c r="H647" s="80">
        <f>L409</f>
        <v>50894.559999999998</v>
      </c>
      <c r="I647" s="87" t="s">
        <v>477</v>
      </c>
      <c r="J647" s="80">
        <f t="shared" si="52"/>
        <v>0</v>
      </c>
      <c r="K647" s="67"/>
      <c r="L647" s="69"/>
      <c r="M647" s="8"/>
    </row>
    <row r="648" spans="1:13" s="3" customFormat="1" ht="12.2" customHeight="1" x14ac:dyDescent="0.15">
      <c r="A648" s="21"/>
      <c r="B648" s="22"/>
      <c r="C648" s="22"/>
      <c r="D648" s="22"/>
      <c r="E648" s="22"/>
      <c r="F648" s="86" t="s">
        <v>51</v>
      </c>
      <c r="G648" s="80">
        <f>K599</f>
        <v>554234.73</v>
      </c>
      <c r="H648" s="80">
        <f>L209+L227+L245</f>
        <v>554234.73</v>
      </c>
      <c r="I648" s="87" t="s">
        <v>396</v>
      </c>
      <c r="J648" s="80">
        <f t="shared" si="52"/>
        <v>0</v>
      </c>
      <c r="K648" s="67"/>
      <c r="L648" s="69"/>
      <c r="M648" s="8"/>
    </row>
    <row r="649" spans="1:13" s="3" customFormat="1" ht="12.2" customHeight="1" x14ac:dyDescent="0.15">
      <c r="A649" s="21"/>
      <c r="B649" s="22"/>
      <c r="C649" s="22"/>
      <c r="D649" s="22"/>
      <c r="E649" s="22"/>
      <c r="F649" s="86" t="s">
        <v>52</v>
      </c>
      <c r="G649" s="80">
        <f>K606</f>
        <v>104017.88</v>
      </c>
      <c r="H649" s="80">
        <f>(J258+J339)-(J256+J337)</f>
        <v>104017.88</v>
      </c>
      <c r="I649" s="87" t="s">
        <v>699</v>
      </c>
      <c r="J649" s="80">
        <f t="shared" si="52"/>
        <v>0</v>
      </c>
      <c r="K649" s="67"/>
      <c r="L649" s="69"/>
      <c r="M649" s="8"/>
    </row>
    <row r="650" spans="1:13" s="3" customFormat="1" ht="12.2" customHeight="1" x14ac:dyDescent="0.15">
      <c r="A650" s="21"/>
      <c r="B650" s="22"/>
      <c r="C650" s="22"/>
      <c r="D650" s="22"/>
      <c r="E650" s="22"/>
      <c r="F650" s="86" t="s">
        <v>387</v>
      </c>
      <c r="G650" s="80">
        <f>L209</f>
        <v>518816.13</v>
      </c>
      <c r="H650" s="80">
        <f>H599</f>
        <v>518816.13</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35418.6</v>
      </c>
      <c r="H652" s="80">
        <f>J599</f>
        <v>35418.6</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7193352.5699999994</v>
      </c>
      <c r="G661" s="13">
        <f>(L230+L310+L360)</f>
        <v>0</v>
      </c>
      <c r="H661" s="13">
        <f>(L248+L329+L361)</f>
        <v>4488079.93</v>
      </c>
      <c r="I661" s="13">
        <f>SUM(F661:H661)</f>
        <v>11681432.5</v>
      </c>
      <c r="J661" s="13"/>
      <c r="K661" s="13"/>
      <c r="L661" s="13"/>
      <c r="M661" s="9"/>
    </row>
    <row r="662" spans="1:13" s="3" customFormat="1" ht="12.2" customHeight="1" x14ac:dyDescent="0.2">
      <c r="A662" s="1" t="s">
        <v>127</v>
      </c>
      <c r="F662" s="13">
        <f>(L359/IF(SUM(L359:L361)=0,1,SUM(L359:L361))*(SUM(G97:G110)))</f>
        <v>4265.74</v>
      </c>
      <c r="G662" s="13">
        <f>(L360/IF(SUM(L359:L361)=0,1,SUM(L359:L361))*(SUM(G97:G110)))</f>
        <v>0</v>
      </c>
      <c r="H662" s="13">
        <f>(L361/IF(SUM(L359:L361)=0,1,SUM(L359:L361))*(SUM(G97:G110)))</f>
        <v>0</v>
      </c>
      <c r="I662" s="13">
        <f>SUM(F662:H662)</f>
        <v>4265.74</v>
      </c>
      <c r="J662"/>
      <c r="K662" s="13"/>
      <c r="L662" s="13"/>
      <c r="M662" s="8"/>
    </row>
    <row r="663" spans="1:13" s="3" customFormat="1" ht="12.2" customHeight="1" x14ac:dyDescent="0.2">
      <c r="A663" s="1" t="s">
        <v>128</v>
      </c>
      <c r="F663" s="13">
        <f>(L209+L288)-(J209+J288)</f>
        <v>526336.05000000005</v>
      </c>
      <c r="G663" s="13">
        <f>(L227+L307)-(J227+J307)</f>
        <v>0</v>
      </c>
      <c r="H663" s="13">
        <f>(L245+L326)-(J245+J326)</f>
        <v>35418.6</v>
      </c>
      <c r="I663" s="13">
        <f>SUM(F663:H663)</f>
        <v>561754.65</v>
      </c>
      <c r="J663"/>
      <c r="K663" s="13"/>
      <c r="L663" s="13"/>
      <c r="M663" s="9"/>
    </row>
    <row r="664" spans="1:13" s="3" customFormat="1" ht="12.2" customHeight="1" x14ac:dyDescent="0.15">
      <c r="A664" s="142" t="s">
        <v>129</v>
      </c>
      <c r="B664" s="124"/>
      <c r="C664" s="124"/>
      <c r="D664" s="124"/>
      <c r="E664" s="124"/>
      <c r="F664" s="143">
        <f>SUM(F576:F588)+SUM(H603:H605)+SUM(L612)</f>
        <v>205466.02000000002</v>
      </c>
      <c r="G664" s="143">
        <f>SUM(G576:G588)+SUM(I603:I605)+L613</f>
        <v>0</v>
      </c>
      <c r="H664" s="143">
        <f>SUM(H576:H588)+SUM(J603:J605)+L614</f>
        <v>4184530.48</v>
      </c>
      <c r="I664" s="13">
        <f>SUM(F664:H664)</f>
        <v>4389996.5</v>
      </c>
      <c r="J664" s="13"/>
      <c r="K664" s="13"/>
      <c r="L664" s="13"/>
      <c r="M664" s="9"/>
    </row>
    <row r="665" spans="1:13" s="3" customFormat="1" ht="12.2" customHeight="1" x14ac:dyDescent="0.15">
      <c r="A665" s="1" t="s">
        <v>130</v>
      </c>
      <c r="F665" s="13">
        <f>F661-SUM(F662:F664)</f>
        <v>6457284.7599999998</v>
      </c>
      <c r="G665" s="13">
        <f>G661-SUM(G662:G664)</f>
        <v>0</v>
      </c>
      <c r="H665" s="13">
        <f>H661-SUM(H662:H664)</f>
        <v>268130.84999999963</v>
      </c>
      <c r="I665" s="13">
        <f>I661-SUM(I662:I664)</f>
        <v>6725415.6100000003</v>
      </c>
      <c r="J665" s="13"/>
      <c r="K665" s="13"/>
      <c r="L665" s="13"/>
      <c r="M665" s="8"/>
    </row>
    <row r="666" spans="1:13" s="3" customFormat="1" ht="12.2" customHeight="1" x14ac:dyDescent="0.2">
      <c r="A666" s="1" t="s">
        <v>131</v>
      </c>
      <c r="F666" s="183">
        <v>405.9</v>
      </c>
      <c r="G666" s="184"/>
      <c r="H666" s="184"/>
      <c r="I666" s="13">
        <f>SUM(F666:H666)</f>
        <v>405.9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15908.56</v>
      </c>
      <c r="G668" s="13" t="e">
        <f>ROUND(G665/G666,2)</f>
        <v>#DIV/0!</v>
      </c>
      <c r="H668" s="13" t="e">
        <f>ROUND(H665/H666,2)</f>
        <v>#DIV/0!</v>
      </c>
      <c r="I668" s="13">
        <f>ROUND(I665/I666,2)</f>
        <v>16569.14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-268130.84999999998</v>
      </c>
      <c r="I670" s="13">
        <f>SUM(F670:H670)</f>
        <v>-268130.84999999998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15908.56</v>
      </c>
      <c r="G673" s="13" t="e">
        <f>ROUND((G665+G670)/(G666+G671),2)</f>
        <v>#DIV/0!</v>
      </c>
      <c r="H673" s="13" t="e">
        <f>ROUND((H665+H670)/(H666+H671),2)</f>
        <v>#DIV/0!</v>
      </c>
      <c r="I673" s="13">
        <f>ROUND((I665+I670)/(I666+I671),2)</f>
        <v>15908.56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599</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599</v>
      </c>
      <c r="F9" s="276" t="s">
        <v>1644</v>
      </c>
    </row>
    <row r="10" spans="2:8" x14ac:dyDescent="0.25">
      <c r="B10" s="275"/>
      <c r="C10" s="275"/>
      <c r="D10" s="275"/>
      <c r="E10" s="275"/>
      <c r="F10" s="275"/>
    </row>
    <row r="11" spans="2:8" x14ac:dyDescent="0.25">
      <c r="B11" s="275"/>
      <c r="C11" s="279" t="s">
        <v>1648</v>
      </c>
      <c r="D11" s="276" t="s">
        <v>1651</v>
      </c>
      <c r="E11" s="263"/>
      <c r="F11" s="276" t="s">
        <v>1645</v>
      </c>
    </row>
    <row r="12" spans="2:8" x14ac:dyDescent="0.25">
      <c r="B12" s="275"/>
      <c r="C12" s="275"/>
      <c r="D12" s="276"/>
      <c r="E12" s="275"/>
      <c r="F12" s="275"/>
    </row>
    <row r="13" spans="2:8" x14ac:dyDescent="0.25">
      <c r="B13" s="275"/>
      <c r="C13" s="276" t="s">
        <v>1638</v>
      </c>
      <c r="D13" s="276" t="s">
        <v>1652</v>
      </c>
      <c r="E13" s="263"/>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Strafford</v>
      </c>
      <c r="C5" s="302"/>
      <c r="D5" s="302"/>
      <c r="E5" s="302"/>
      <c r="F5" s="302"/>
    </row>
    <row r="8" spans="1:9" ht="18" x14ac:dyDescent="0.25">
      <c r="A8" s="240" t="s">
        <v>1568</v>
      </c>
      <c r="F8" s="247" t="s">
        <v>1586</v>
      </c>
    </row>
    <row r="9" spans="1:9" ht="15" x14ac:dyDescent="0.2">
      <c r="A9" s="238" t="s">
        <v>1569</v>
      </c>
      <c r="B9" s="241">
        <f>'DOE25'!G97</f>
        <v>4265.74</v>
      </c>
      <c r="F9" s="238" t="s">
        <v>1582</v>
      </c>
    </row>
    <row r="10" spans="1:9" ht="15" x14ac:dyDescent="0.2">
      <c r="A10" s="238" t="s">
        <v>1570</v>
      </c>
      <c r="B10" s="241">
        <f>'DOE25'!G112-'DOE25'!G97</f>
        <v>0</v>
      </c>
      <c r="F10" s="238" t="s">
        <v>1583</v>
      </c>
    </row>
    <row r="11" spans="1:9" ht="15" x14ac:dyDescent="0.2">
      <c r="A11" s="238" t="s">
        <v>1571</v>
      </c>
      <c r="B11" s="241">
        <f>'DOE25'!G140</f>
        <v>4917.6499999999996</v>
      </c>
      <c r="F11" s="238" t="s">
        <v>1584</v>
      </c>
    </row>
    <row r="12" spans="1:9" ht="15" x14ac:dyDescent="0.2">
      <c r="A12" s="238" t="s">
        <v>1572</v>
      </c>
      <c r="B12" s="241">
        <f>'DOE25'!G170</f>
        <v>265772.53999999998</v>
      </c>
      <c r="F12" s="238" t="s">
        <v>1585</v>
      </c>
    </row>
    <row r="13" spans="1:9" ht="15" x14ac:dyDescent="0.2">
      <c r="A13" s="238" t="s">
        <v>1573</v>
      </c>
      <c r="B13" s="241">
        <f>'DOE25'!G193-'DOE25'!G180</f>
        <v>0</v>
      </c>
      <c r="F13" s="238" t="s">
        <v>1595</v>
      </c>
    </row>
    <row r="14" spans="1:9" ht="18" x14ac:dyDescent="0.25">
      <c r="A14" s="240" t="s">
        <v>732</v>
      </c>
      <c r="B14" s="242">
        <f>SUM(B9:B13)</f>
        <v>274955.93</v>
      </c>
    </row>
    <row r="16" spans="1:9" ht="18" x14ac:dyDescent="0.25">
      <c r="A16" s="240" t="s">
        <v>786</v>
      </c>
      <c r="F16" s="247" t="s">
        <v>1587</v>
      </c>
    </row>
    <row r="17" spans="1:6" ht="15" x14ac:dyDescent="0.2">
      <c r="A17" s="238" t="s">
        <v>1574</v>
      </c>
      <c r="B17" s="241">
        <f>'DOE25'!L363-'DOE25'!L362</f>
        <v>223899.01</v>
      </c>
      <c r="F17" s="238" t="s">
        <v>1588</v>
      </c>
    </row>
    <row r="18" spans="1:6" ht="15" x14ac:dyDescent="0.2">
      <c r="A18" s="238" t="s">
        <v>1575</v>
      </c>
      <c r="B18" s="251"/>
      <c r="F18" s="247" t="s">
        <v>1612</v>
      </c>
    </row>
    <row r="19" spans="1:6" ht="18" x14ac:dyDescent="0.25">
      <c r="A19" s="240" t="s">
        <v>725</v>
      </c>
      <c r="B19" s="242">
        <f>SUM(B17:B18)</f>
        <v>223899.01</v>
      </c>
    </row>
    <row r="21" spans="1:6" ht="18.75" thickBot="1" x14ac:dyDescent="0.3">
      <c r="A21" s="240" t="s">
        <v>1576</v>
      </c>
    </row>
    <row r="22" spans="1:6" ht="18.75" thickTop="1" x14ac:dyDescent="0.25">
      <c r="A22" s="240" t="s">
        <v>1577</v>
      </c>
      <c r="B22" s="246">
        <f>B14-B19</f>
        <v>51056.919999999984</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12289.65</v>
      </c>
      <c r="F31" s="238" t="s">
        <v>1592</v>
      </c>
    </row>
    <row r="33" spans="1:6" ht="15" x14ac:dyDescent="0.2">
      <c r="A33" s="238" t="s">
        <v>1635</v>
      </c>
      <c r="B33" s="241">
        <f>'DOE25'!G477</f>
        <v>51056.920000000013</v>
      </c>
      <c r="F33" s="238" t="s">
        <v>1593</v>
      </c>
    </row>
    <row r="36" spans="1:6" ht="15" x14ac:dyDescent="0.2">
      <c r="A36" s="238" t="s">
        <v>1579</v>
      </c>
      <c r="B36" s="252">
        <f>15087.11-1508.71</f>
        <v>13578.400000000001</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Strafford</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1811265.04</v>
      </c>
      <c r="C9" s="167">
        <f>'DOE25'!G198+'DOE25'!G216+'DOE25'!G234+'DOE25'!G277+'DOE25'!G296+'DOE25'!G315</f>
        <v>1187983.8000000003</v>
      </c>
    </row>
    <row r="10" spans="1:3" x14ac:dyDescent="0.2">
      <c r="A10" t="s">
        <v>775</v>
      </c>
      <c r="B10" s="177">
        <v>1615646.33</v>
      </c>
      <c r="C10" s="177">
        <f>1187983.8-128303.62</f>
        <v>1059680.1800000002</v>
      </c>
    </row>
    <row r="11" spans="1:3" x14ac:dyDescent="0.2">
      <c r="A11" t="s">
        <v>776</v>
      </c>
      <c r="B11" s="177">
        <f>1811265.04-1615646.33</f>
        <v>195618.70999999996</v>
      </c>
      <c r="C11" s="177">
        <v>128303.62</v>
      </c>
    </row>
    <row r="12" spans="1:3" x14ac:dyDescent="0.2">
      <c r="A12" t="s">
        <v>777</v>
      </c>
      <c r="B12" s="177"/>
      <c r="C12" s="177"/>
    </row>
    <row r="13" spans="1:3" x14ac:dyDescent="0.2">
      <c r="A13" t="str">
        <f>IF(B9=B13,IF(C9=C13,"Check Total OK","Check Total Error"),"Check Total Error")</f>
        <v>Check Total OK</v>
      </c>
      <c r="B13" s="169">
        <f>SUM(B10:B12)</f>
        <v>1811265.04</v>
      </c>
      <c r="C13" s="169">
        <f>SUM(C10:C12)</f>
        <v>1187983.8000000003</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738010.59</v>
      </c>
      <c r="C18" s="167">
        <f>'DOE25'!G199+'DOE25'!G217+'DOE25'!G235+'DOE25'!G278+'DOE25'!G297+'DOE25'!G316</f>
        <v>290094.61</v>
      </c>
    </row>
    <row r="19" spans="1:3" x14ac:dyDescent="0.2">
      <c r="A19" t="s">
        <v>775</v>
      </c>
      <c r="B19" s="177">
        <v>205550.63</v>
      </c>
      <c r="C19" s="177">
        <v>80797.119999999995</v>
      </c>
    </row>
    <row r="20" spans="1:3" x14ac:dyDescent="0.2">
      <c r="A20" t="s">
        <v>776</v>
      </c>
      <c r="B20" s="177">
        <f>738010.59-205550.63</f>
        <v>532459.96</v>
      </c>
      <c r="C20" s="177">
        <f>290094.61-80797.12</f>
        <v>209297.49</v>
      </c>
    </row>
    <row r="21" spans="1:3" x14ac:dyDescent="0.2">
      <c r="A21" t="s">
        <v>777</v>
      </c>
      <c r="B21" s="177"/>
      <c r="C21" s="177"/>
    </row>
    <row r="22" spans="1:3" x14ac:dyDescent="0.2">
      <c r="A22" t="str">
        <f>IF(B18=B22,IF(C18=C22,"Check Total OK","Check Total Error"),"Check Total Error")</f>
        <v>Check Total OK</v>
      </c>
      <c r="B22" s="169">
        <f>SUM(B19:B21)</f>
        <v>738010.59</v>
      </c>
      <c r="C22" s="169">
        <f>SUM(C19:C21)</f>
        <v>290094.61</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40845.919999999998</v>
      </c>
      <c r="C36" s="173">
        <f>'DOE25'!G201+'DOE25'!G219+'DOE25'!G237+'DOE25'!G280+'DOE25'!G299+'DOE25'!G318</f>
        <v>4926.8500000000004</v>
      </c>
    </row>
    <row r="37" spans="1:3" x14ac:dyDescent="0.2">
      <c r="A37" t="s">
        <v>775</v>
      </c>
      <c r="B37" s="177">
        <v>10045</v>
      </c>
      <c r="C37" s="177">
        <v>1262.1199999999999</v>
      </c>
    </row>
    <row r="38" spans="1:3" x14ac:dyDescent="0.2">
      <c r="A38" t="s">
        <v>776</v>
      </c>
      <c r="B38" s="177"/>
      <c r="C38" s="177"/>
    </row>
    <row r="39" spans="1:3" x14ac:dyDescent="0.2">
      <c r="A39" t="s">
        <v>777</v>
      </c>
      <c r="B39" s="177">
        <f>40845.92-10045</f>
        <v>30800.92</v>
      </c>
      <c r="C39" s="177">
        <f>4926.85-1262.12</f>
        <v>3664.7300000000005</v>
      </c>
    </row>
    <row r="40" spans="1:3" x14ac:dyDescent="0.2">
      <c r="A40" t="str">
        <f>IF(B36=B40,IF(C36=C40,"Check Total OK","Check Total Error"),"Check Total Error")</f>
        <v>Check Total OK</v>
      </c>
      <c r="B40" s="169">
        <f>SUM(B37:B39)</f>
        <v>40845.919999999998</v>
      </c>
      <c r="C40" s="169">
        <f>SUM(C37:C39)</f>
        <v>4926.8500000000004</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N31" sqref="N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Strafford</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8445944.5999999996</v>
      </c>
      <c r="D5" s="19">
        <f>SUM('DOE25'!L198:L201)+SUM('DOE25'!L216:L219)+SUM('DOE25'!L234:L237)-F5-G5-H5</f>
        <v>8424822.7899999991</v>
      </c>
      <c r="E5" s="180"/>
      <c r="F5" s="181"/>
      <c r="G5" s="19">
        <f>SUM('DOE25'!J198:J201)+SUM('DOE25'!J216:J219)+SUM('DOE25'!J234:J237)</f>
        <v>8276.09</v>
      </c>
      <c r="H5" s="19">
        <f>SUM('DOE25'!K198:K201)+SUM('DOE25'!K216:K219)+SUM('DOE25'!K234:K237)</f>
        <v>12845.72</v>
      </c>
      <c r="I5" s="192"/>
    </row>
    <row r="6" spans="1:9" x14ac:dyDescent="0.2">
      <c r="A6" s="31">
        <v>2100</v>
      </c>
      <c r="B6" t="s">
        <v>796</v>
      </c>
      <c r="C6" s="206">
        <f t="shared" si="0"/>
        <v>607402.88</v>
      </c>
      <c r="D6" s="19">
        <f>'DOE25'!L203+'DOE25'!L221+'DOE25'!L239-F6-G6-H6</f>
        <v>602876.07999999996</v>
      </c>
      <c r="E6" s="180"/>
      <c r="F6" s="181"/>
      <c r="G6" s="19">
        <f>'DOE25'!J203+'DOE25'!J221+'DOE25'!J239</f>
        <v>0</v>
      </c>
      <c r="H6" s="19">
        <f>'DOE25'!K203+'DOE25'!K221+'DOE25'!K239</f>
        <v>4526.8</v>
      </c>
      <c r="I6" s="192"/>
    </row>
    <row r="7" spans="1:9" x14ac:dyDescent="0.2">
      <c r="A7" s="31">
        <v>2200</v>
      </c>
      <c r="B7" t="s">
        <v>821</v>
      </c>
      <c r="C7" s="206">
        <f t="shared" si="0"/>
        <v>358966.12</v>
      </c>
      <c r="D7" s="19">
        <f>'DOE25'!L204+'DOE25'!L222+'DOE25'!L240-F7-G7-H7</f>
        <v>268805.09999999998</v>
      </c>
      <c r="E7" s="180"/>
      <c r="F7" s="181"/>
      <c r="G7" s="19">
        <f>'DOE25'!J204+'DOE25'!J222+'DOE25'!J240</f>
        <v>90161.02</v>
      </c>
      <c r="H7" s="19">
        <f>'DOE25'!K204+'DOE25'!K222+'DOE25'!K240</f>
        <v>0</v>
      </c>
      <c r="I7" s="192"/>
    </row>
    <row r="8" spans="1:9" x14ac:dyDescent="0.2">
      <c r="A8" s="31">
        <v>2300</v>
      </c>
      <c r="B8" t="s">
        <v>797</v>
      </c>
      <c r="C8" s="206">
        <f t="shared" si="0"/>
        <v>355838.89</v>
      </c>
      <c r="D8" s="180"/>
      <c r="E8" s="19">
        <f>'DOE25'!L205+'DOE25'!L223+'DOE25'!L241-F8-G8-H8-D9-D11</f>
        <v>349683.59</v>
      </c>
      <c r="F8" s="181"/>
      <c r="G8" s="19">
        <f>'DOE25'!J205+'DOE25'!J223+'DOE25'!J241</f>
        <v>0</v>
      </c>
      <c r="H8" s="19">
        <f>'DOE25'!K205+'DOE25'!K223+'DOE25'!K241</f>
        <v>6155.3</v>
      </c>
      <c r="I8" s="192"/>
    </row>
    <row r="9" spans="1:9" ht="14.25" x14ac:dyDescent="0.2">
      <c r="A9" s="31">
        <v>2310</v>
      </c>
      <c r="B9" s="71" t="s">
        <v>888</v>
      </c>
      <c r="C9" s="206">
        <f t="shared" si="0"/>
        <v>0</v>
      </c>
      <c r="D9" s="181"/>
      <c r="E9" s="180"/>
      <c r="F9" s="180"/>
      <c r="G9" s="180"/>
      <c r="H9" s="180"/>
      <c r="I9" s="192"/>
    </row>
    <row r="10" spans="1:9" ht="14.25" x14ac:dyDescent="0.2">
      <c r="A10" s="31">
        <v>2317</v>
      </c>
      <c r="B10" s="71" t="s">
        <v>889</v>
      </c>
      <c r="C10" s="206">
        <f t="shared" si="0"/>
        <v>0</v>
      </c>
      <c r="D10" s="180"/>
      <c r="E10" s="181"/>
      <c r="F10" s="180"/>
      <c r="G10" s="180"/>
      <c r="H10" s="180"/>
      <c r="I10" s="192"/>
    </row>
    <row r="11" spans="1:9" ht="14.25" x14ac:dyDescent="0.2">
      <c r="A11" s="31">
        <v>2321</v>
      </c>
      <c r="B11" s="71" t="s">
        <v>890</v>
      </c>
      <c r="C11" s="206">
        <f t="shared" si="0"/>
        <v>0</v>
      </c>
      <c r="D11" s="181"/>
      <c r="E11" s="180"/>
      <c r="F11" s="180"/>
      <c r="G11" s="180"/>
      <c r="H11" s="180"/>
      <c r="I11" s="192"/>
    </row>
    <row r="12" spans="1:9" x14ac:dyDescent="0.2">
      <c r="A12" s="31">
        <v>2400</v>
      </c>
      <c r="B12" t="s">
        <v>711</v>
      </c>
      <c r="C12" s="206">
        <f t="shared" si="0"/>
        <v>385895.88999999996</v>
      </c>
      <c r="D12" s="19">
        <f>'DOE25'!L206+'DOE25'!L224+'DOE25'!L242-F12-G12-H12</f>
        <v>383648.70999999996</v>
      </c>
      <c r="E12" s="180"/>
      <c r="F12" s="181"/>
      <c r="G12" s="19">
        <f>'DOE25'!J206+'DOE25'!J224+'DOE25'!J242</f>
        <v>2247.1800000000003</v>
      </c>
      <c r="H12" s="19">
        <f>'DOE25'!K206+'DOE25'!K224+'DOE25'!K242</f>
        <v>0</v>
      </c>
      <c r="I12" s="192"/>
    </row>
    <row r="13" spans="1:9" x14ac:dyDescent="0.2">
      <c r="A13" s="31">
        <v>2500</v>
      </c>
      <c r="B13" t="s">
        <v>798</v>
      </c>
      <c r="C13" s="206">
        <f t="shared" si="0"/>
        <v>112814.40000000001</v>
      </c>
      <c r="D13" s="180"/>
      <c r="E13" s="19">
        <f>'DOE25'!L207+'DOE25'!L225+'DOE25'!L243-F13-G13-H13</f>
        <v>112806.79000000001</v>
      </c>
      <c r="F13" s="181"/>
      <c r="G13" s="19">
        <f>'DOE25'!J207+'DOE25'!J225+'DOE25'!J243</f>
        <v>7.61</v>
      </c>
      <c r="H13" s="19">
        <f>'DOE25'!K207+'DOE25'!K225+'DOE25'!K243</f>
        <v>0</v>
      </c>
      <c r="I13" s="192"/>
    </row>
    <row r="14" spans="1:9" x14ac:dyDescent="0.2">
      <c r="A14" s="31">
        <v>2600</v>
      </c>
      <c r="B14" t="s">
        <v>819</v>
      </c>
      <c r="C14" s="206">
        <f t="shared" si="0"/>
        <v>516173.32999999996</v>
      </c>
      <c r="D14" s="19">
        <f>'DOE25'!L208+'DOE25'!L226+'DOE25'!L244-F14-G14-H14</f>
        <v>512847.35</v>
      </c>
      <c r="E14" s="180"/>
      <c r="F14" s="181"/>
      <c r="G14" s="19">
        <f>'DOE25'!J208+'DOE25'!J226+'DOE25'!J244</f>
        <v>3325.98</v>
      </c>
      <c r="H14" s="19">
        <f>'DOE25'!K208+'DOE25'!K226+'DOE25'!K244</f>
        <v>0</v>
      </c>
      <c r="I14" s="192"/>
    </row>
    <row r="15" spans="1:9" x14ac:dyDescent="0.2">
      <c r="A15" s="31">
        <v>2700</v>
      </c>
      <c r="B15" t="s">
        <v>799</v>
      </c>
      <c r="C15" s="206">
        <f t="shared" si="0"/>
        <v>554234.73</v>
      </c>
      <c r="D15" s="19">
        <f>'DOE25'!L209+'DOE25'!L227+'DOE25'!L245-F15-G15-H15</f>
        <v>554234.73</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79588</v>
      </c>
      <c r="D22" s="180"/>
      <c r="E22" s="180"/>
      <c r="F22" s="180"/>
      <c r="G22" s="19">
        <f>'DOE25'!L256+'DOE25'!L337</f>
        <v>79588</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390182.5</v>
      </c>
      <c r="D25" s="180"/>
      <c r="E25" s="180"/>
      <c r="F25" s="191"/>
      <c r="G25" s="180"/>
      <c r="H25" s="180"/>
      <c r="I25" s="190">
        <f>'DOE25'!L261+'DOE25'!L262+'DOE25'!L342+'DOE25'!L343</f>
        <v>390182.5</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102420.03</v>
      </c>
      <c r="D29" s="212">
        <f>'DOE25'!L359+'DOE25'!L360+'DOE25'!L361-'DOE25'!I368-F29-G29-H29</f>
        <v>102420.03</v>
      </c>
      <c r="E29" s="180"/>
      <c r="F29" s="181"/>
      <c r="G29" s="19">
        <f>'DOE25'!J359+'DOE25'!J360+'DOE25'!J361</f>
        <v>0</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120262.65</v>
      </c>
      <c r="D31" s="19">
        <f>'DOE25'!L291+'DOE25'!L310+'DOE25'!L329+'DOE25'!L334+'DOE25'!L335+'DOE25'!L336-F31-G31-H31</f>
        <v>120262.65</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10969917.439999999</v>
      </c>
      <c r="E33" s="182">
        <f t="shared" si="1"/>
        <v>462490.38</v>
      </c>
      <c r="F33" s="182">
        <f t="shared" si="1"/>
        <v>0</v>
      </c>
      <c r="G33" s="182">
        <f t="shared" si="1"/>
        <v>183605.88</v>
      </c>
      <c r="H33" s="182">
        <f t="shared" si="1"/>
        <v>23527.82</v>
      </c>
      <c r="I33" s="182">
        <f t="shared" si="1"/>
        <v>390182.5</v>
      </c>
    </row>
    <row r="35" spans="1:9" ht="12" thickBot="1" x14ac:dyDescent="0.25">
      <c r="B35" s="188" t="s">
        <v>831</v>
      </c>
      <c r="D35" s="189">
        <f>E33</f>
        <v>462490.38</v>
      </c>
      <c r="E35" s="185"/>
      <c r="F35" s="255" t="s">
        <v>1617</v>
      </c>
      <c r="G35" s="256"/>
      <c r="H35" s="256"/>
      <c r="I35" s="256"/>
    </row>
    <row r="36" spans="1:9" ht="12" thickTop="1" x14ac:dyDescent="0.2">
      <c r="B36" t="s">
        <v>810</v>
      </c>
      <c r="D36" s="19">
        <f>D33</f>
        <v>10969917.439999999</v>
      </c>
      <c r="F36" s="258" t="s">
        <v>1614</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N</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Strafford</v>
      </c>
      <c r="B2">
        <f>'DOE25'!B2</f>
        <v>507</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6969453.5599999996</v>
      </c>
      <c r="G4" s="229">
        <f>'DOE25'!L212+'DOE25'!L291</f>
        <v>6969453.5599999996</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Strafford School</v>
      </c>
      <c r="B6" s="230">
        <f>IFERROR(VLOOKUP(A6,'School Tables'!$C$3:$D$365,2,FALSE),"")</f>
        <v>22100</v>
      </c>
      <c r="C6" s="223" t="str">
        <f>IFERROR(INDEX('School Tables'!$B$3:$B$365,MATCH('School Level Expenditures'!B6,'School Tables'!$D$3:$D$365,0)),"")</f>
        <v>Strafford</v>
      </c>
      <c r="D6" s="220">
        <f>7136136.27-120262.65-166682.71</f>
        <v>6849190.9099999992</v>
      </c>
      <c r="E6" s="220">
        <v>120262.65</v>
      </c>
      <c r="F6" s="232">
        <f t="shared" ref="F6:F20" si="0">D6+E6</f>
        <v>6969453.5599999996</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6849190.9099999992</v>
      </c>
      <c r="E21" s="265">
        <f>SUM(E5:E20)</f>
        <v>120262.65</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4488079.93</v>
      </c>
      <c r="G36" s="229">
        <f>'DOE25'!L248+'DOE25'!L329</f>
        <v>4488079.93</v>
      </c>
      <c r="H36" s="267">
        <f>F36-G36</f>
        <v>0</v>
      </c>
      <c r="I36" s="310" t="str">
        <f>IF(H36=0,"","ISSUES!! Please review page 9 and 13 totals in comparison with total on this page")</f>
        <v/>
      </c>
      <c r="N36"/>
    </row>
    <row r="37" spans="1:14" x14ac:dyDescent="0.2">
      <c r="A37" t="s">
        <v>1548</v>
      </c>
      <c r="B37" s="230">
        <v>99999</v>
      </c>
      <c r="C37" s="223" t="s">
        <v>1548</v>
      </c>
      <c r="D37" s="220">
        <f>166682.71+4321397.22</f>
        <v>4488079.93</v>
      </c>
      <c r="E37" s="220"/>
      <c r="F37" s="232">
        <f t="shared" ref="F37:F42" si="2">D37+E37</f>
        <v>4488079.93</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4488079.93</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7" sqref="J1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Strafford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1915773.88</v>
      </c>
      <c r="D8" s="73">
        <f>'DOE25'!G9</f>
        <v>0</v>
      </c>
      <c r="E8" s="73">
        <f>'DOE25'!H9</f>
        <v>0</v>
      </c>
      <c r="F8" s="73">
        <f>'DOE25'!I9</f>
        <v>0</v>
      </c>
      <c r="G8" s="73">
        <f>'DOE25'!J9</f>
        <v>0</v>
      </c>
      <c r="H8" s="90">
        <f>SUM(C8:G8)</f>
        <v>1915773.88</v>
      </c>
      <c r="I8" s="90"/>
    </row>
    <row r="9" spans="1:9" x14ac:dyDescent="0.2">
      <c r="A9" s="1" t="s">
        <v>140</v>
      </c>
      <c r="B9" s="6">
        <v>110</v>
      </c>
      <c r="C9" s="73">
        <f>'DOE25'!F10</f>
        <v>0</v>
      </c>
      <c r="D9" s="73">
        <f>'DOE25'!G10</f>
        <v>0</v>
      </c>
      <c r="E9" s="73">
        <f>'DOE25'!H10</f>
        <v>0</v>
      </c>
      <c r="F9" s="73">
        <f>'DOE25'!I10</f>
        <v>0</v>
      </c>
      <c r="G9" s="73">
        <f>'DOE25'!J10</f>
        <v>452048.9</v>
      </c>
      <c r="H9" s="90">
        <f t="shared" ref="H9:H18" si="0">SUM(C9:G9)</f>
        <v>452048.9</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151236.88</v>
      </c>
      <c r="D11" s="73">
        <f>'DOE25'!G12</f>
        <v>0</v>
      </c>
      <c r="E11" s="73">
        <f>'DOE25'!H12</f>
        <v>0</v>
      </c>
      <c r="F11" s="73">
        <f>'DOE25'!I12</f>
        <v>0</v>
      </c>
      <c r="G11" s="73">
        <f>'DOE25'!J12</f>
        <v>50000</v>
      </c>
      <c r="H11" s="90">
        <f t="shared" si="0"/>
        <v>201236.88</v>
      </c>
      <c r="I11" s="90"/>
    </row>
    <row r="12" spans="1:9" x14ac:dyDescent="0.2">
      <c r="A12" s="1" t="s">
        <v>143</v>
      </c>
      <c r="B12" s="6">
        <v>140</v>
      </c>
      <c r="C12" s="73">
        <f>'DOE25'!F13</f>
        <v>15626.36</v>
      </c>
      <c r="D12" s="73">
        <f>'DOE25'!G13</f>
        <v>79079.87</v>
      </c>
      <c r="E12" s="73">
        <f>'DOE25'!H13</f>
        <v>119745.93000000001</v>
      </c>
      <c r="F12" s="73">
        <f>'DOE25'!I13</f>
        <v>0</v>
      </c>
      <c r="G12" s="73">
        <f>'DOE25'!J13</f>
        <v>0</v>
      </c>
      <c r="H12" s="90">
        <f t="shared" si="0"/>
        <v>214452.16</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12290</v>
      </c>
      <c r="E15" s="73">
        <f>'DOE25'!H16</f>
        <v>0</v>
      </c>
      <c r="F15" s="73">
        <f>'DOE25'!I16</f>
        <v>0</v>
      </c>
      <c r="G15" s="23" t="s">
        <v>288</v>
      </c>
      <c r="H15" s="90">
        <f t="shared" si="0"/>
        <v>12290</v>
      </c>
      <c r="I15" s="90"/>
    </row>
    <row r="16" spans="1:9" x14ac:dyDescent="0.2">
      <c r="A16" s="1" t="s">
        <v>147</v>
      </c>
      <c r="B16" s="6">
        <v>180</v>
      </c>
      <c r="C16" s="73">
        <f>'DOE25'!F17</f>
        <v>124</v>
      </c>
      <c r="D16" s="73">
        <f>'DOE25'!G17</f>
        <v>0</v>
      </c>
      <c r="E16" s="73">
        <f>'DOE25'!H17</f>
        <v>0</v>
      </c>
      <c r="F16" s="73">
        <f>'DOE25'!I17</f>
        <v>0</v>
      </c>
      <c r="G16" s="73">
        <f>'DOE25'!J17</f>
        <v>0</v>
      </c>
      <c r="H16" s="90">
        <f t="shared" si="0"/>
        <v>124</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2082761.1199999999</v>
      </c>
      <c r="D18" s="38">
        <f>SUM(D8:D17)</f>
        <v>91369.87</v>
      </c>
      <c r="E18" s="38">
        <f>SUM(E8:E17)</f>
        <v>119745.93000000001</v>
      </c>
      <c r="F18" s="38">
        <f>SUM(F8:F17)</f>
        <v>0</v>
      </c>
      <c r="G18" s="38">
        <f>SUM(G8:G17)</f>
        <v>502048.9</v>
      </c>
      <c r="H18" s="38">
        <f t="shared" si="0"/>
        <v>2795925.82</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50000</v>
      </c>
      <c r="D21" s="73">
        <f>'DOE25'!G22</f>
        <v>31490.95</v>
      </c>
      <c r="E21" s="73">
        <f>'DOE25'!H22</f>
        <v>119745.93</v>
      </c>
      <c r="F21" s="73">
        <f>'DOE25'!I22</f>
        <v>0</v>
      </c>
      <c r="G21" s="73">
        <f>'DOE25'!J22</f>
        <v>0</v>
      </c>
      <c r="H21" s="90">
        <f t="shared" ref="H21:H31" si="1">SUM(C21:G21)</f>
        <v>201236.88</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1018965.96</v>
      </c>
      <c r="D23" s="73">
        <f>'DOE25'!G24</f>
        <v>0</v>
      </c>
      <c r="E23" s="73">
        <f>'DOE25'!H24</f>
        <v>0</v>
      </c>
      <c r="F23" s="73">
        <f>'DOE25'!I24</f>
        <v>0</v>
      </c>
      <c r="G23" s="73">
        <f>'DOE25'!J24</f>
        <v>0</v>
      </c>
      <c r="H23" s="90">
        <f t="shared" si="1"/>
        <v>1018965.96</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0</v>
      </c>
      <c r="F29" s="73">
        <f>'DOE25'!I30</f>
        <v>0</v>
      </c>
      <c r="G29" s="23" t="s">
        <v>288</v>
      </c>
      <c r="H29" s="90">
        <f t="shared" si="1"/>
        <v>0</v>
      </c>
      <c r="I29" s="90"/>
    </row>
    <row r="30" spans="1:9" ht="12" thickBot="1" x14ac:dyDescent="0.25">
      <c r="A30" s="1" t="s">
        <v>159</v>
      </c>
      <c r="B30" s="56">
        <v>490</v>
      </c>
      <c r="C30" s="73">
        <f>'DOE25'!F31</f>
        <v>0</v>
      </c>
      <c r="D30" s="73">
        <f>'DOE25'!G31</f>
        <v>8822</v>
      </c>
      <c r="E30" s="73">
        <f>'DOE25'!H31</f>
        <v>0</v>
      </c>
      <c r="F30" s="73">
        <f>'DOE25'!I31</f>
        <v>0</v>
      </c>
      <c r="G30" s="73">
        <f>'DOE25'!J31</f>
        <v>0</v>
      </c>
      <c r="H30" s="90">
        <f t="shared" si="1"/>
        <v>8822</v>
      </c>
      <c r="I30" s="90"/>
    </row>
    <row r="31" spans="1:9" ht="12" thickTop="1" x14ac:dyDescent="0.2">
      <c r="A31" s="35" t="s">
        <v>160</v>
      </c>
      <c r="B31" s="2"/>
      <c r="C31" s="38">
        <f>SUM(C21:C30)</f>
        <v>1068965.96</v>
      </c>
      <c r="D31" s="38">
        <f>SUM(D21:D30)</f>
        <v>40312.949999999997</v>
      </c>
      <c r="E31" s="38">
        <f>SUM(E21:E30)</f>
        <v>119745.93</v>
      </c>
      <c r="F31" s="38">
        <f>SUM(F21:F30)</f>
        <v>0</v>
      </c>
      <c r="G31" s="38">
        <f>SUM(G21:G30)</f>
        <v>0</v>
      </c>
      <c r="H31" s="38">
        <f t="shared" si="1"/>
        <v>1229024.8399999999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12290</v>
      </c>
      <c r="E34" s="73">
        <f>'DOE25'!H35</f>
        <v>0</v>
      </c>
      <c r="F34" s="73">
        <f>'DOE25'!I35</f>
        <v>0</v>
      </c>
      <c r="G34" s="23" t="s">
        <v>288</v>
      </c>
      <c r="H34" s="90">
        <f t="shared" ref="H34:H51" si="2">SUM(C34:G34)</f>
        <v>12290</v>
      </c>
      <c r="I34" s="90"/>
    </row>
    <row r="35" spans="1:9" x14ac:dyDescent="0.2">
      <c r="A35" s="1" t="s">
        <v>850</v>
      </c>
      <c r="B35" s="6">
        <v>752</v>
      </c>
      <c r="C35" s="73">
        <f>'DOE25'!F36</f>
        <v>124</v>
      </c>
      <c r="D35" s="73">
        <f>'DOE25'!G36</f>
        <v>0</v>
      </c>
      <c r="E35" s="73">
        <f>'DOE25'!H36</f>
        <v>0</v>
      </c>
      <c r="F35" s="73">
        <f>'DOE25'!I36</f>
        <v>0</v>
      </c>
      <c r="G35" s="23" t="s">
        <v>288</v>
      </c>
      <c r="H35" s="90">
        <f t="shared" si="2"/>
        <v>124</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38766.92</v>
      </c>
      <c r="E39" s="23" t="s">
        <v>288</v>
      </c>
      <c r="F39" s="23" t="s">
        <v>288</v>
      </c>
      <c r="G39" s="23" t="s">
        <v>288</v>
      </c>
      <c r="H39" s="90">
        <f t="shared" si="2"/>
        <v>38766.92</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50000</v>
      </c>
      <c r="D43" s="73">
        <f>'DOE25'!G44</f>
        <v>0</v>
      </c>
      <c r="E43" s="73">
        <f>'DOE25'!H44</f>
        <v>0</v>
      </c>
      <c r="F43" s="73">
        <f>'DOE25'!I44</f>
        <v>0</v>
      </c>
      <c r="G43" s="23" t="s">
        <v>288</v>
      </c>
      <c r="H43" s="90">
        <f t="shared" si="2"/>
        <v>50000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0</v>
      </c>
      <c r="E47" s="73">
        <f>'DOE25'!H48</f>
        <v>0</v>
      </c>
      <c r="F47" s="73">
        <f>'DOE25'!I48</f>
        <v>0</v>
      </c>
      <c r="G47" s="73">
        <f>'DOE25'!J48</f>
        <v>502048.9</v>
      </c>
      <c r="H47" s="90">
        <f t="shared" si="2"/>
        <v>502048.9</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963671.16</v>
      </c>
      <c r="D49" s="23" t="s">
        <v>288</v>
      </c>
      <c r="E49" s="23" t="s">
        <v>288</v>
      </c>
      <c r="F49" s="23" t="s">
        <v>288</v>
      </c>
      <c r="G49" s="23" t="s">
        <v>288</v>
      </c>
      <c r="H49" s="90">
        <f t="shared" si="2"/>
        <v>963671.16</v>
      </c>
      <c r="I49" s="90"/>
    </row>
    <row r="50" spans="1:9" ht="12.75" thickTop="1" thickBot="1" x14ac:dyDescent="0.25">
      <c r="A50" s="35" t="s">
        <v>884</v>
      </c>
      <c r="B50" s="44"/>
      <c r="C50" s="38">
        <f>SUM(C34:C49)</f>
        <v>1013795.16</v>
      </c>
      <c r="D50" s="38">
        <f>SUM(D34:D49)</f>
        <v>51056.92</v>
      </c>
      <c r="E50" s="38">
        <f>SUM(E34:E49)</f>
        <v>0</v>
      </c>
      <c r="F50" s="38">
        <f>SUM(F34:F49)</f>
        <v>0</v>
      </c>
      <c r="G50" s="38">
        <f>SUM(G34:G49)</f>
        <v>502048.9</v>
      </c>
      <c r="H50" s="38">
        <f t="shared" si="2"/>
        <v>1566900.98</v>
      </c>
      <c r="I50" s="90"/>
    </row>
    <row r="51" spans="1:9" ht="12" thickTop="1" x14ac:dyDescent="0.2">
      <c r="A51" s="35" t="s">
        <v>885</v>
      </c>
      <c r="B51" s="2"/>
      <c r="C51" s="38">
        <f>C50+C31</f>
        <v>2082761.12</v>
      </c>
      <c r="D51" s="38">
        <f>D50+D31</f>
        <v>91369.87</v>
      </c>
      <c r="E51" s="38">
        <f>E50+E31</f>
        <v>119745.93</v>
      </c>
      <c r="F51" s="38">
        <f>F50+F31</f>
        <v>0</v>
      </c>
      <c r="G51" s="38">
        <f>G50+G31</f>
        <v>502048.9</v>
      </c>
      <c r="H51" s="38">
        <f t="shared" si="2"/>
        <v>2795925.8200000003</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8333955</v>
      </c>
      <c r="D56" s="73">
        <f>'DOE25'!G60</f>
        <v>0</v>
      </c>
      <c r="E56" s="73">
        <f>'DOE25'!H60</f>
        <v>0</v>
      </c>
      <c r="F56" s="73">
        <f>'DOE25'!I60</f>
        <v>0</v>
      </c>
      <c r="G56" s="73">
        <f>'DOE25'!J60</f>
        <v>0</v>
      </c>
      <c r="H56" s="90">
        <f t="shared" ref="H56:H63" si="3">SUM(C56:G56)</f>
        <v>8333955</v>
      </c>
      <c r="I56"/>
    </row>
    <row r="57" spans="1:9" x14ac:dyDescent="0.2">
      <c r="A57" s="1" t="s">
        <v>164</v>
      </c>
      <c r="B57" s="6" t="s">
        <v>165</v>
      </c>
      <c r="C57" s="73">
        <f>'DOE25'!F79</f>
        <v>16916.34</v>
      </c>
      <c r="D57" s="23" t="s">
        <v>288</v>
      </c>
      <c r="E57" s="73">
        <f>'DOE25'!H79</f>
        <v>0</v>
      </c>
      <c r="F57" s="23" t="s">
        <v>288</v>
      </c>
      <c r="G57" s="23" t="s">
        <v>288</v>
      </c>
      <c r="H57" s="90">
        <f t="shared" si="3"/>
        <v>16916.34</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988.13</v>
      </c>
      <c r="D59" s="73">
        <f>'DOE25'!G96</f>
        <v>0</v>
      </c>
      <c r="E59" s="73">
        <f>'DOE25'!H96</f>
        <v>0</v>
      </c>
      <c r="F59" s="73">
        <f>'DOE25'!I96</f>
        <v>0</v>
      </c>
      <c r="G59" s="73">
        <f>'DOE25'!J96</f>
        <v>894.56</v>
      </c>
      <c r="H59" s="90">
        <f t="shared" si="3"/>
        <v>1882.69</v>
      </c>
      <c r="I59"/>
    </row>
    <row r="60" spans="1:9" x14ac:dyDescent="0.2">
      <c r="A60" s="1" t="s">
        <v>170</v>
      </c>
      <c r="B60" s="22" t="s">
        <v>171</v>
      </c>
      <c r="C60" s="23" t="s">
        <v>288</v>
      </c>
      <c r="D60" s="73">
        <f>'DOE25'!G97</f>
        <v>4265.74</v>
      </c>
      <c r="E60" s="23" t="s">
        <v>288</v>
      </c>
      <c r="F60" s="23" t="s">
        <v>288</v>
      </c>
      <c r="G60" s="23" t="s">
        <v>288</v>
      </c>
      <c r="H60" s="90">
        <f t="shared" si="3"/>
        <v>4265.74</v>
      </c>
      <c r="I60"/>
    </row>
    <row r="61" spans="1:9" ht="12" thickBot="1" x14ac:dyDescent="0.25">
      <c r="A61" s="1" t="s">
        <v>172</v>
      </c>
      <c r="B61" s="22" t="s">
        <v>173</v>
      </c>
      <c r="C61" s="73">
        <f>SUM('DOE25'!F98:F110)</f>
        <v>235829.61</v>
      </c>
      <c r="D61" s="73">
        <f>SUM('DOE25'!G98:G110)</f>
        <v>0</v>
      </c>
      <c r="E61" s="73">
        <f>SUM('DOE25'!H98:H110)</f>
        <v>0</v>
      </c>
      <c r="F61" s="73">
        <f>SUM('DOE25'!I98:I110)</f>
        <v>0</v>
      </c>
      <c r="G61" s="73">
        <f>SUM('DOE25'!J98:J110)</f>
        <v>0</v>
      </c>
      <c r="H61" s="90">
        <f t="shared" si="3"/>
        <v>235829.61</v>
      </c>
      <c r="I61"/>
    </row>
    <row r="62" spans="1:9" ht="12.75" thickTop="1" thickBot="1" x14ac:dyDescent="0.25">
      <c r="A62" s="28" t="s">
        <v>174</v>
      </c>
      <c r="B62" s="6"/>
      <c r="C62" s="93">
        <f>SUM(C57:C61)</f>
        <v>253734.08</v>
      </c>
      <c r="D62" s="93">
        <f>SUM(D57:D61)</f>
        <v>4265.74</v>
      </c>
      <c r="E62" s="93">
        <f>SUM(E57:E61)</f>
        <v>0</v>
      </c>
      <c r="F62" s="93">
        <f>SUM(F57:F61)</f>
        <v>0</v>
      </c>
      <c r="G62" s="93">
        <f>SUM(G57:G61)</f>
        <v>894.56</v>
      </c>
      <c r="H62" s="90">
        <f t="shared" si="3"/>
        <v>258894.37999999998</v>
      </c>
      <c r="I62"/>
    </row>
    <row r="63" spans="1:9" ht="12" thickTop="1" x14ac:dyDescent="0.2">
      <c r="A63" s="28" t="s">
        <v>175</v>
      </c>
      <c r="B63" s="6"/>
      <c r="C63" s="21">
        <f>C56+C62</f>
        <v>8587689.0800000001</v>
      </c>
      <c r="D63" s="21">
        <f>D56+D62</f>
        <v>4265.74</v>
      </c>
      <c r="E63" s="21">
        <f>E56+E62</f>
        <v>0</v>
      </c>
      <c r="F63" s="21">
        <f>F56+F62</f>
        <v>0</v>
      </c>
      <c r="G63" s="21">
        <f>G56+G62</f>
        <v>894.56</v>
      </c>
      <c r="H63" s="90">
        <f t="shared" si="3"/>
        <v>8592849.3800000008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2219243.9899999998</v>
      </c>
      <c r="D66" s="23" t="s">
        <v>288</v>
      </c>
      <c r="E66" s="23" t="s">
        <v>288</v>
      </c>
      <c r="F66" s="23" t="s">
        <v>288</v>
      </c>
      <c r="G66" s="23" t="s">
        <v>288</v>
      </c>
      <c r="H66" s="90">
        <f t="shared" ref="H66:H81" si="4">SUM(C66:G66)</f>
        <v>2219243.9899999998</v>
      </c>
      <c r="I66"/>
    </row>
    <row r="67" spans="1:9" x14ac:dyDescent="0.2">
      <c r="A67" s="1" t="s">
        <v>770</v>
      </c>
      <c r="B67" s="6">
        <v>3112</v>
      </c>
      <c r="C67" s="73">
        <f>'DOE25'!F118</f>
        <v>1143764</v>
      </c>
      <c r="D67" s="23"/>
      <c r="E67" s="23"/>
      <c r="F67" s="23"/>
      <c r="G67" s="23"/>
      <c r="H67" s="90">
        <f t="shared" si="4"/>
        <v>1143764</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1995.21</v>
      </c>
      <c r="D69" s="73">
        <f>'DOE25'!G120</f>
        <v>0</v>
      </c>
      <c r="E69" s="73">
        <f>'DOE25'!H120</f>
        <v>0</v>
      </c>
      <c r="F69" s="73">
        <f>'DOE25'!I120</f>
        <v>0</v>
      </c>
      <c r="G69" s="73">
        <f>'DOE25'!J120</f>
        <v>0</v>
      </c>
      <c r="H69" s="90">
        <f t="shared" si="4"/>
        <v>1995.21</v>
      </c>
      <c r="I69"/>
    </row>
    <row r="70" spans="1:9" ht="12" thickTop="1" x14ac:dyDescent="0.2">
      <c r="A70" s="28" t="s">
        <v>252</v>
      </c>
      <c r="B70" s="2"/>
      <c r="C70" s="97">
        <f>SUM(C66:C69)</f>
        <v>3365003.1999999997</v>
      </c>
      <c r="D70" s="97">
        <f>D69</f>
        <v>0</v>
      </c>
      <c r="E70" s="97">
        <f>E69</f>
        <v>0</v>
      </c>
      <c r="F70" s="97">
        <f>F69</f>
        <v>0</v>
      </c>
      <c r="G70" s="97">
        <f>G69</f>
        <v>0</v>
      </c>
      <c r="H70" s="90">
        <f t="shared" si="4"/>
        <v>3365003.1999999997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81982.5</v>
      </c>
      <c r="D72" s="23" t="s">
        <v>288</v>
      </c>
      <c r="E72" s="23" t="s">
        <v>288</v>
      </c>
      <c r="F72" s="73">
        <f>'DOE25'!I123</f>
        <v>0</v>
      </c>
      <c r="G72" s="23" t="s">
        <v>288</v>
      </c>
      <c r="H72" s="90">
        <f t="shared" si="4"/>
        <v>81982.5</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570</v>
      </c>
      <c r="D76" s="23" t="s">
        <v>288</v>
      </c>
      <c r="E76" s="73">
        <f>SUM('DOE25'!H127:H130)</f>
        <v>0</v>
      </c>
      <c r="F76" s="73">
        <f>SUM('DOE25'!I127:I130)</f>
        <v>0</v>
      </c>
      <c r="G76" s="23" t="s">
        <v>288</v>
      </c>
      <c r="H76" s="90">
        <f t="shared" si="4"/>
        <v>570</v>
      </c>
      <c r="I76"/>
    </row>
    <row r="77" spans="1:9" ht="12" thickBot="1" x14ac:dyDescent="0.25">
      <c r="A77" s="1" t="s">
        <v>258</v>
      </c>
      <c r="B77" s="6" t="s">
        <v>180</v>
      </c>
      <c r="C77" s="73">
        <f>SUM('DOE25'!F131:F135)</f>
        <v>0</v>
      </c>
      <c r="D77" s="73">
        <f>SUM('DOE25'!G131:G135)</f>
        <v>4917.6499999999996</v>
      </c>
      <c r="E77" s="73">
        <f>SUM('DOE25'!H131:H135)</f>
        <v>0</v>
      </c>
      <c r="F77" s="73">
        <f>SUM('DOE25'!I131:I135)</f>
        <v>0</v>
      </c>
      <c r="G77" s="73">
        <f>SUM('DOE25'!J131:J135)</f>
        <v>0</v>
      </c>
      <c r="H77" s="90">
        <f t="shared" si="4"/>
        <v>4917.6499999999996</v>
      </c>
      <c r="I77"/>
    </row>
    <row r="78" spans="1:9" ht="12.75" thickTop="1" thickBot="1" x14ac:dyDescent="0.25">
      <c r="A78" s="28" t="s">
        <v>259</v>
      </c>
      <c r="B78" s="6"/>
      <c r="C78" s="93">
        <f>SUM(C72:C77)</f>
        <v>82552.5</v>
      </c>
      <c r="D78" s="93">
        <f>SUM(D72:D77)</f>
        <v>4917.6499999999996</v>
      </c>
      <c r="E78" s="93">
        <f>SUM(E72:E77)</f>
        <v>0</v>
      </c>
      <c r="F78" s="93">
        <f>SUM(F72:F77)</f>
        <v>0</v>
      </c>
      <c r="G78" s="93">
        <f>SUM(G72:G77)</f>
        <v>0</v>
      </c>
      <c r="H78" s="90">
        <f t="shared" si="4"/>
        <v>87470.15</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3447555.6999999997</v>
      </c>
      <c r="D81" s="93">
        <f>SUM(D79:D80)+D78+D70</f>
        <v>4917.6499999999996</v>
      </c>
      <c r="E81" s="93">
        <f>SUM(E79:E80)+E78+E70</f>
        <v>0</v>
      </c>
      <c r="F81" s="93">
        <f>SUM(F79:F80)+F78+F70</f>
        <v>0</v>
      </c>
      <c r="G81" s="93">
        <f>SUM(G79:G80)+G78+G70</f>
        <v>0</v>
      </c>
      <c r="H81" s="93">
        <f t="shared" si="4"/>
        <v>3452473.3499999996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46176.149999999994</v>
      </c>
      <c r="D88" s="253">
        <f>SUM('DOE25'!G153:G162)</f>
        <v>265772.53999999998</v>
      </c>
      <c r="E88" s="253">
        <f>SUM('DOE25'!H153:H162)</f>
        <v>120262.65</v>
      </c>
      <c r="F88" s="253">
        <f>SUM('DOE25'!I153:I162)</f>
        <v>0</v>
      </c>
      <c r="G88" s="23" t="s">
        <v>288</v>
      </c>
      <c r="H88" s="90">
        <f t="shared" si="5"/>
        <v>432211.33999999997</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46176.149999999994</v>
      </c>
      <c r="D91" s="94">
        <f>SUM(D85:D90)</f>
        <v>265772.53999999998</v>
      </c>
      <c r="E91" s="94">
        <f>SUM(E85:E90)</f>
        <v>120262.65</v>
      </c>
      <c r="F91" s="94">
        <f>SUM(F85:F90)</f>
        <v>0</v>
      </c>
      <c r="G91" s="23" t="s">
        <v>288</v>
      </c>
      <c r="H91" s="90">
        <f t="shared" si="5"/>
        <v>432211.33999999997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v>
      </c>
      <c r="H96" s="90">
        <f t="shared" si="5"/>
        <v>50000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38150</v>
      </c>
      <c r="D99" s="73">
        <f>'DOE25'!G186</f>
        <v>0</v>
      </c>
      <c r="E99" s="73">
        <f>'DOE25'!H186</f>
        <v>0</v>
      </c>
      <c r="F99" s="73">
        <f>'DOE25'!I186</f>
        <v>0</v>
      </c>
      <c r="G99" s="23" t="s">
        <v>288</v>
      </c>
      <c r="H99" s="90">
        <f t="shared" si="5"/>
        <v>38150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38150</v>
      </c>
      <c r="D103" s="68">
        <f>SUM(D93:D102)</f>
        <v>0</v>
      </c>
      <c r="E103" s="68">
        <f>SUM(E93:E102)</f>
        <v>0</v>
      </c>
      <c r="F103" s="68">
        <f>SUM(F93:F102)</f>
        <v>0</v>
      </c>
      <c r="G103" s="68">
        <f>SUM(G93:G102)</f>
        <v>50000</v>
      </c>
      <c r="H103" s="68">
        <f t="shared" si="5"/>
        <v>88150</v>
      </c>
    </row>
    <row r="104" spans="1:8" ht="12.75" thickTop="1" thickBot="1" x14ac:dyDescent="0.25">
      <c r="A104" s="32" t="s">
        <v>761</v>
      </c>
      <c r="C104" s="68">
        <f>C63+C81+C91+C103</f>
        <v>12119570.93</v>
      </c>
      <c r="D104" s="68">
        <f>D63+D81+D91+D103</f>
        <v>274955.93</v>
      </c>
      <c r="E104" s="68">
        <f>E63+E81+E91+E103</f>
        <v>120262.65</v>
      </c>
      <c r="F104" s="68">
        <f>F63+F81+F91+F103</f>
        <v>0</v>
      </c>
      <c r="G104" s="68">
        <f>G63+G81+G103</f>
        <v>50894.559999999998</v>
      </c>
      <c r="H104" s="68">
        <f t="shared" si="5"/>
        <v>12565684.07</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6871657.1999999993</v>
      </c>
      <c r="D109" s="23" t="s">
        <v>288</v>
      </c>
      <c r="E109" s="73">
        <f>('DOE25'!L277)+('DOE25'!L296)+('DOE25'!L315)</f>
        <v>31413.870000000003</v>
      </c>
      <c r="F109" s="23" t="s">
        <v>288</v>
      </c>
      <c r="G109" s="23" t="s">
        <v>288</v>
      </c>
      <c r="H109" s="90">
        <f t="shared" ref="H109:H115" si="6">SUM(C109:G109)</f>
        <v>6903071.0699999994</v>
      </c>
    </row>
    <row r="110" spans="1:8" x14ac:dyDescent="0.2">
      <c r="A110" t="s">
        <v>198</v>
      </c>
      <c r="B110" s="31" t="s">
        <v>199</v>
      </c>
      <c r="C110" s="73">
        <f>('DOE25'!L199)+('DOE25'!L217)+('DOE25'!L235)</f>
        <v>1536177.35</v>
      </c>
      <c r="D110" s="23" t="s">
        <v>288</v>
      </c>
      <c r="E110" s="73">
        <f>('DOE25'!L278)+('DOE25'!L297)+('DOE25'!L316)</f>
        <v>57045.029999999992</v>
      </c>
      <c r="F110" s="23" t="s">
        <v>288</v>
      </c>
      <c r="G110" s="23" t="s">
        <v>288</v>
      </c>
      <c r="H110" s="90">
        <f t="shared" si="6"/>
        <v>1593222.3800000001</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38110.049999999996</v>
      </c>
      <c r="D112" s="23" t="s">
        <v>288</v>
      </c>
      <c r="E112" s="73">
        <f>+('DOE25'!L280)+('DOE25'!L299)+('DOE25'!L318)</f>
        <v>20509.830000000002</v>
      </c>
      <c r="F112" s="23" t="s">
        <v>288</v>
      </c>
      <c r="G112" s="23" t="s">
        <v>288</v>
      </c>
      <c r="H112" s="90">
        <f t="shared" si="6"/>
        <v>58619.88</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8445944.5999999996</v>
      </c>
      <c r="D115" s="68">
        <f>SUM(D109:D114)</f>
        <v>0</v>
      </c>
      <c r="E115" s="68">
        <f>SUM(E109:E114)</f>
        <v>108968.73</v>
      </c>
      <c r="F115" s="68">
        <f>SUM(F109:F114)</f>
        <v>0</v>
      </c>
      <c r="G115" s="68">
        <f>SUM(G109:G114)</f>
        <v>0</v>
      </c>
      <c r="H115" s="68">
        <f t="shared" si="6"/>
        <v>8554913.3300000001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607402.88</v>
      </c>
      <c r="D118" s="23" t="s">
        <v>288</v>
      </c>
      <c r="E118" s="73">
        <f>+('DOE25'!L282)+('DOE25'!L301)+('DOE25'!L320)</f>
        <v>0</v>
      </c>
      <c r="F118" s="23" t="s">
        <v>288</v>
      </c>
      <c r="G118" s="23" t="s">
        <v>288</v>
      </c>
      <c r="H118" s="90">
        <f t="shared" ref="H118:H145" si="7">SUM(C118:G118)</f>
        <v>607402.88</v>
      </c>
    </row>
    <row r="119" spans="1:8" x14ac:dyDescent="0.2">
      <c r="A119" t="s">
        <v>208</v>
      </c>
      <c r="B119" s="31" t="s">
        <v>209</v>
      </c>
      <c r="C119" s="73">
        <f>('DOE25'!L204)+('DOE25'!L222)+('DOE25'!L240)</f>
        <v>358966.12</v>
      </c>
      <c r="D119" s="23" t="s">
        <v>288</v>
      </c>
      <c r="E119" s="73">
        <f>+('DOE25'!L283)+('DOE25'!L302)+('DOE25'!L321)</f>
        <v>3175</v>
      </c>
      <c r="F119" s="23" t="s">
        <v>288</v>
      </c>
      <c r="G119" s="23" t="s">
        <v>288</v>
      </c>
      <c r="H119" s="90">
        <f t="shared" si="7"/>
        <v>362141.12</v>
      </c>
    </row>
    <row r="120" spans="1:8" x14ac:dyDescent="0.2">
      <c r="A120" t="s">
        <v>210</v>
      </c>
      <c r="B120" s="31" t="s">
        <v>211</v>
      </c>
      <c r="C120" s="73">
        <f>('DOE25'!L205)+('DOE25'!L223)+('DOE25'!L241)</f>
        <v>355838.89</v>
      </c>
      <c r="D120" s="23" t="s">
        <v>288</v>
      </c>
      <c r="E120" s="73">
        <f>+('DOE25'!L284)+('DOE25'!L303)+('DOE25'!L322)</f>
        <v>0</v>
      </c>
      <c r="F120" s="23" t="s">
        <v>288</v>
      </c>
      <c r="G120" s="23" t="s">
        <v>288</v>
      </c>
      <c r="H120" s="90">
        <f t="shared" si="7"/>
        <v>355838.89</v>
      </c>
    </row>
    <row r="121" spans="1:8" x14ac:dyDescent="0.2">
      <c r="A121" t="s">
        <v>212</v>
      </c>
      <c r="B121" s="31" t="s">
        <v>213</v>
      </c>
      <c r="C121" s="73">
        <f>('DOE25'!L206)+('DOE25'!L224)+('DOE25'!L242)</f>
        <v>385895.88999999996</v>
      </c>
      <c r="D121" s="23" t="s">
        <v>288</v>
      </c>
      <c r="E121" s="73">
        <f>+('DOE25'!L285)+('DOE25'!L304)+('DOE25'!L323)</f>
        <v>599</v>
      </c>
      <c r="F121" s="23" t="s">
        <v>288</v>
      </c>
      <c r="G121" s="23" t="s">
        <v>288</v>
      </c>
      <c r="H121" s="90">
        <f t="shared" si="7"/>
        <v>386494.88999999996</v>
      </c>
    </row>
    <row r="122" spans="1:8" x14ac:dyDescent="0.2">
      <c r="A122" t="s">
        <v>214</v>
      </c>
      <c r="B122" s="31" t="s">
        <v>215</v>
      </c>
      <c r="C122" s="73">
        <f>('DOE25'!L207)+('DOE25'!L225)+('DOE25'!L243)</f>
        <v>112814.40000000001</v>
      </c>
      <c r="D122" s="23" t="s">
        <v>288</v>
      </c>
      <c r="E122" s="73">
        <f>+('DOE25'!L286)+('DOE25'!L305)+('DOE25'!L324)</f>
        <v>0</v>
      </c>
      <c r="F122" s="23" t="s">
        <v>288</v>
      </c>
      <c r="G122" s="23" t="s">
        <v>288</v>
      </c>
      <c r="H122" s="90">
        <f t="shared" si="7"/>
        <v>112814.40000000001</v>
      </c>
    </row>
    <row r="123" spans="1:8" x14ac:dyDescent="0.2">
      <c r="A123" t="s">
        <v>216</v>
      </c>
      <c r="B123" s="31" t="s">
        <v>217</v>
      </c>
      <c r="C123" s="73">
        <f>('DOE25'!L208)+('DOE25'!L226)+('DOE25'!L244)</f>
        <v>516173.32999999996</v>
      </c>
      <c r="D123" s="23" t="s">
        <v>288</v>
      </c>
      <c r="E123" s="73">
        <f>+('DOE25'!L287)+('DOE25'!L306)+('DOE25'!L325)</f>
        <v>0</v>
      </c>
      <c r="F123" s="23" t="s">
        <v>288</v>
      </c>
      <c r="G123" s="23" t="s">
        <v>288</v>
      </c>
      <c r="H123" s="90">
        <f t="shared" si="7"/>
        <v>516173.32999999996</v>
      </c>
    </row>
    <row r="124" spans="1:8" x14ac:dyDescent="0.2">
      <c r="A124" t="s">
        <v>218</v>
      </c>
      <c r="B124" s="31" t="s">
        <v>219</v>
      </c>
      <c r="C124" s="73">
        <f>('DOE25'!L209)+('DOE25'!L227)+('DOE25'!L245+'DOE25'!L255)</f>
        <v>554234.73</v>
      </c>
      <c r="D124" s="23" t="s">
        <v>288</v>
      </c>
      <c r="E124" s="73">
        <f>+('DOE25'!L288)+('DOE25'!L307)+('DOE25'!L326)</f>
        <v>7519.92</v>
      </c>
      <c r="F124" s="23" t="s">
        <v>288</v>
      </c>
      <c r="G124" s="23" t="s">
        <v>288</v>
      </c>
      <c r="H124" s="90">
        <f t="shared" si="7"/>
        <v>561754.65</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223899.01</v>
      </c>
      <c r="E127" s="23" t="s">
        <v>288</v>
      </c>
      <c r="F127" s="23" t="s">
        <v>288</v>
      </c>
      <c r="G127" s="23" t="s">
        <v>288</v>
      </c>
      <c r="H127" s="90">
        <f t="shared" si="7"/>
        <v>223899.01</v>
      </c>
    </row>
    <row r="128" spans="1:8" ht="12.75" thickTop="1" thickBot="1" x14ac:dyDescent="0.25">
      <c r="A128" s="32" t="s">
        <v>226</v>
      </c>
      <c r="C128" s="68">
        <f>SUM(C118:C127)</f>
        <v>2891326.2399999998</v>
      </c>
      <c r="D128" s="68">
        <f>SUM(D118:D127)</f>
        <v>223899.01</v>
      </c>
      <c r="E128" s="68">
        <f>SUM(E118:E127)</f>
        <v>11293.92</v>
      </c>
      <c r="F128" s="68">
        <f>SUM(F118:F127)</f>
        <v>0</v>
      </c>
      <c r="G128" s="68">
        <f>SUM(G118:G127)</f>
        <v>0</v>
      </c>
      <c r="H128" s="68">
        <f t="shared" si="7"/>
        <v>3126519.17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79588</v>
      </c>
      <c r="D130" s="23" t="s">
        <v>288</v>
      </c>
      <c r="E130" s="92">
        <f>'DOE25'!L337</f>
        <v>0</v>
      </c>
      <c r="F130" s="92">
        <f>SUM('DOE25'!L375:'DOE25'!L381)</f>
        <v>0</v>
      </c>
      <c r="G130" s="23" t="s">
        <v>288</v>
      </c>
      <c r="H130" s="90">
        <f t="shared" si="7"/>
        <v>79588</v>
      </c>
    </row>
    <row r="131" spans="1:8" x14ac:dyDescent="0.2">
      <c r="A131" t="s">
        <v>229</v>
      </c>
      <c r="B131" s="31">
        <v>5110</v>
      </c>
      <c r="C131" s="73">
        <f>'DOE25'!L261</f>
        <v>255000</v>
      </c>
      <c r="D131" s="23" t="s">
        <v>288</v>
      </c>
      <c r="E131" s="92">
        <f>'DOE25'!L342</f>
        <v>0</v>
      </c>
      <c r="F131" s="23" t="s">
        <v>288</v>
      </c>
      <c r="G131" s="23" t="s">
        <v>288</v>
      </c>
      <c r="H131" s="90">
        <f t="shared" si="7"/>
        <v>255000</v>
      </c>
    </row>
    <row r="132" spans="1:8" x14ac:dyDescent="0.2">
      <c r="A132" t="s">
        <v>230</v>
      </c>
      <c r="B132" s="31">
        <v>5120</v>
      </c>
      <c r="C132" s="73">
        <f>'DOE25'!L262</f>
        <v>135182.5</v>
      </c>
      <c r="D132" s="23" t="s">
        <v>288</v>
      </c>
      <c r="E132" s="92">
        <f>'DOE25'!L343</f>
        <v>0</v>
      </c>
      <c r="F132" s="23" t="s">
        <v>288</v>
      </c>
      <c r="G132" s="23" t="s">
        <v>288</v>
      </c>
      <c r="H132" s="90">
        <f t="shared" si="7"/>
        <v>135182.5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25426.47</v>
      </c>
      <c r="D138" s="23" t="s">
        <v>288</v>
      </c>
      <c r="E138" s="23" t="s">
        <v>288</v>
      </c>
      <c r="F138" s="23" t="s">
        <v>288</v>
      </c>
      <c r="G138" s="23" t="s">
        <v>288</v>
      </c>
      <c r="H138" s="90">
        <f t="shared" si="7"/>
        <v>25426.47</v>
      </c>
    </row>
    <row r="139" spans="1:8" x14ac:dyDescent="0.2">
      <c r="A139" t="s">
        <v>239</v>
      </c>
      <c r="B139" s="31">
        <v>5252</v>
      </c>
      <c r="C139" s="73">
        <f>'DOE25'!L402</f>
        <v>25468.09</v>
      </c>
      <c r="D139" s="23" t="s">
        <v>288</v>
      </c>
      <c r="E139" s="23" t="s">
        <v>288</v>
      </c>
      <c r="F139" s="23" t="s">
        <v>288</v>
      </c>
      <c r="G139" s="23" t="s">
        <v>288</v>
      </c>
      <c r="H139" s="90">
        <f t="shared" si="7"/>
        <v>25468.09</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-894.55999999999767</v>
      </c>
      <c r="D141" s="23" t="s">
        <v>288</v>
      </c>
      <c r="E141" s="23" t="s">
        <v>288</v>
      </c>
      <c r="F141" s="23" t="s">
        <v>288</v>
      </c>
      <c r="G141" s="23" t="s">
        <v>288</v>
      </c>
      <c r="H141" s="90">
        <f t="shared" si="7"/>
        <v>-894.55999999999767</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519770.5</v>
      </c>
      <c r="D144" s="98">
        <f>SUM(D130:D143)</f>
        <v>0</v>
      </c>
      <c r="E144" s="98">
        <f>SUM(E130:E143)</f>
        <v>0</v>
      </c>
      <c r="F144" s="98">
        <f>SUM(F130:F143)</f>
        <v>0</v>
      </c>
      <c r="G144" s="98">
        <f>SUM(G130:G143)</f>
        <v>0</v>
      </c>
      <c r="H144" s="98">
        <f t="shared" si="7"/>
        <v>519770.5</v>
      </c>
    </row>
    <row r="145" spans="1:9" ht="12.75" thickTop="1" thickBot="1" x14ac:dyDescent="0.25">
      <c r="A145" s="32" t="s">
        <v>244</v>
      </c>
      <c r="C145" s="68">
        <f>(C115+C128+C144)</f>
        <v>11857041.34</v>
      </c>
      <c r="D145" s="68">
        <f>(D115+D128+D144)</f>
        <v>223899.01</v>
      </c>
      <c r="E145" s="68">
        <f>(E115+E128+E144)</f>
        <v>120262.65</v>
      </c>
      <c r="F145" s="68">
        <f>(F115+F128+F144)</f>
        <v>0</v>
      </c>
      <c r="G145" s="68">
        <f>(G115+G128+G144)</f>
        <v>0</v>
      </c>
      <c r="H145" s="68">
        <f t="shared" si="7"/>
        <v>12201203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8/2010</v>
      </c>
      <c r="C152" s="109">
        <f>'DOE25'!G492</f>
        <v>0</v>
      </c>
      <c r="D152" s="109">
        <f>'DOE25'!H492</f>
        <v>0</v>
      </c>
      <c r="E152" s="109">
        <f>'DOE25'!I492</f>
        <v>0</v>
      </c>
      <c r="F152" s="109">
        <f>'DOE25'!J492</f>
        <v>0</v>
      </c>
      <c r="G152" s="23" t="s">
        <v>288</v>
      </c>
    </row>
    <row r="153" spans="1:9" x14ac:dyDescent="0.2">
      <c r="A153" s="21" t="s">
        <v>29</v>
      </c>
      <c r="B153" s="109" t="str">
        <f>'DOE25'!F493</f>
        <v>8/2030</v>
      </c>
      <c r="C153" s="109">
        <f>'DOE25'!G493</f>
        <v>0</v>
      </c>
      <c r="D153" s="109">
        <f>'DOE25'!H493</f>
        <v>0</v>
      </c>
      <c r="E153" s="109">
        <f>'DOE25'!I493</f>
        <v>0</v>
      </c>
      <c r="F153" s="109">
        <f>'DOE25'!J493</f>
        <v>0</v>
      </c>
      <c r="G153" s="23" t="s">
        <v>288</v>
      </c>
    </row>
    <row r="154" spans="1:9" x14ac:dyDescent="0.2">
      <c r="A154" s="21" t="s">
        <v>30</v>
      </c>
      <c r="B154" s="19">
        <f>'DOE25'!F494</f>
        <v>5600000</v>
      </c>
      <c r="C154" s="19">
        <f>'DOE25'!G494</f>
        <v>0</v>
      </c>
      <c r="D154" s="19">
        <f>'DOE25'!H494</f>
        <v>0</v>
      </c>
      <c r="E154" s="19">
        <f>'DOE25'!I494</f>
        <v>0</v>
      </c>
      <c r="F154" s="19">
        <f>'DOE25'!J494</f>
        <v>0</v>
      </c>
      <c r="G154" s="23" t="s">
        <v>288</v>
      </c>
    </row>
    <row r="155" spans="1:9" x14ac:dyDescent="0.2">
      <c r="A155" s="21" t="s">
        <v>31</v>
      </c>
      <c r="B155" s="19">
        <f>'DOE25'!F495</f>
        <v>3.99</v>
      </c>
      <c r="C155" s="19">
        <f>'DOE25'!G495</f>
        <v>0</v>
      </c>
      <c r="D155" s="19">
        <f>'DOE25'!H495</f>
        <v>0</v>
      </c>
      <c r="E155" s="19">
        <f>'DOE25'!I495</f>
        <v>0</v>
      </c>
      <c r="F155" s="19">
        <f>'DOE25'!J495</f>
        <v>0</v>
      </c>
      <c r="G155" s="23" t="s">
        <v>288</v>
      </c>
    </row>
    <row r="156" spans="1:9" x14ac:dyDescent="0.2">
      <c r="A156" s="21" t="s">
        <v>32</v>
      </c>
      <c r="B156" s="19">
        <f>'DOE25'!F496</f>
        <v>3200000</v>
      </c>
      <c r="C156" s="19">
        <f>'DOE25'!G496</f>
        <v>0</v>
      </c>
      <c r="D156" s="19">
        <f>'DOE25'!H496</f>
        <v>0</v>
      </c>
      <c r="E156" s="19">
        <f>'DOE25'!I496</f>
        <v>0</v>
      </c>
      <c r="F156" s="19">
        <f>'DOE25'!J496</f>
        <v>0</v>
      </c>
      <c r="G156" s="96">
        <f>SUM(B156:F156)</f>
        <v>3200000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255000</v>
      </c>
      <c r="C158" s="19">
        <f>'DOE25'!G498</f>
        <v>0</v>
      </c>
      <c r="D158" s="19">
        <f>'DOE25'!H498</f>
        <v>0</v>
      </c>
      <c r="E158" s="19">
        <f>'DOE25'!I498</f>
        <v>0</v>
      </c>
      <c r="F158" s="19">
        <f>'DOE25'!J498</f>
        <v>0</v>
      </c>
      <c r="G158" s="96">
        <f t="shared" si="8"/>
        <v>255000</v>
      </c>
    </row>
    <row r="159" spans="1:9" x14ac:dyDescent="0.2">
      <c r="A159" s="21" t="s">
        <v>35</v>
      </c>
      <c r="B159" s="19">
        <f>'DOE25'!F499</f>
        <v>2945000</v>
      </c>
      <c r="C159" s="19">
        <f>'DOE25'!G499</f>
        <v>0</v>
      </c>
      <c r="D159" s="19">
        <f>'DOE25'!H499</f>
        <v>0</v>
      </c>
      <c r="E159" s="19">
        <f>'DOE25'!I499</f>
        <v>0</v>
      </c>
      <c r="F159" s="19">
        <f>'DOE25'!J499</f>
        <v>0</v>
      </c>
      <c r="G159" s="96">
        <f t="shared" si="8"/>
        <v>2945000</v>
      </c>
    </row>
    <row r="160" spans="1:9" x14ac:dyDescent="0.2">
      <c r="A160" s="21" t="s">
        <v>36</v>
      </c>
      <c r="B160" s="19">
        <f>'DOE25'!F500</f>
        <v>732320</v>
      </c>
      <c r="C160" s="19">
        <f>'DOE25'!G500</f>
        <v>0</v>
      </c>
      <c r="D160" s="19">
        <f>'DOE25'!H500</f>
        <v>0</v>
      </c>
      <c r="E160" s="19">
        <f>'DOE25'!I500</f>
        <v>0</v>
      </c>
      <c r="F160" s="19">
        <f>'DOE25'!J500</f>
        <v>0</v>
      </c>
      <c r="G160" s="96">
        <f t="shared" si="8"/>
        <v>732320</v>
      </c>
    </row>
    <row r="161" spans="1:7" x14ac:dyDescent="0.2">
      <c r="A161" s="21" t="s">
        <v>37</v>
      </c>
      <c r="B161" s="19">
        <f>'DOE25'!F501</f>
        <v>3677320</v>
      </c>
      <c r="C161" s="19">
        <f>'DOE25'!G501</f>
        <v>0</v>
      </c>
      <c r="D161" s="19">
        <f>'DOE25'!H501</f>
        <v>0</v>
      </c>
      <c r="E161" s="19">
        <f>'DOE25'!I501</f>
        <v>0</v>
      </c>
      <c r="F161" s="19">
        <f>'DOE25'!J501</f>
        <v>0</v>
      </c>
      <c r="G161" s="96">
        <f t="shared" si="8"/>
        <v>3677320</v>
      </c>
    </row>
    <row r="162" spans="1:7" x14ac:dyDescent="0.2">
      <c r="A162" s="21" t="s">
        <v>38</v>
      </c>
      <c r="B162" s="19">
        <f>'DOE25'!F502</f>
        <v>265000</v>
      </c>
      <c r="C162" s="19">
        <f>'DOE25'!G502</f>
        <v>0</v>
      </c>
      <c r="D162" s="19">
        <f>'DOE25'!H502</f>
        <v>0</v>
      </c>
      <c r="E162" s="19">
        <f>'DOE25'!I502</f>
        <v>0</v>
      </c>
      <c r="F162" s="19">
        <f>'DOE25'!J502</f>
        <v>0</v>
      </c>
      <c r="G162" s="96">
        <f t="shared" si="8"/>
        <v>265000</v>
      </c>
    </row>
    <row r="163" spans="1:7" x14ac:dyDescent="0.2">
      <c r="A163" s="21" t="s">
        <v>39</v>
      </c>
      <c r="B163" s="19">
        <f>'DOE25'!F503</f>
        <v>121524.5</v>
      </c>
      <c r="C163" s="19">
        <f>'DOE25'!G503</f>
        <v>0</v>
      </c>
      <c r="D163" s="19">
        <f>'DOE25'!H503</f>
        <v>0</v>
      </c>
      <c r="E163" s="19">
        <f>'DOE25'!I503</f>
        <v>0</v>
      </c>
      <c r="F163" s="19">
        <f>'DOE25'!J503</f>
        <v>0</v>
      </c>
      <c r="G163" s="96">
        <f t="shared" si="8"/>
        <v>121524.5</v>
      </c>
    </row>
    <row r="164" spans="1:7" x14ac:dyDescent="0.2">
      <c r="A164" s="21" t="s">
        <v>246</v>
      </c>
      <c r="B164" s="19">
        <f>'DOE25'!F504</f>
        <v>386524.5</v>
      </c>
      <c r="C164" s="19">
        <f>'DOE25'!G504</f>
        <v>0</v>
      </c>
      <c r="D164" s="19">
        <f>'DOE25'!H504</f>
        <v>0</v>
      </c>
      <c r="E164" s="19">
        <f>'DOE25'!I504</f>
        <v>0</v>
      </c>
      <c r="F164" s="19">
        <f>'DOE25'!J504</f>
        <v>0</v>
      </c>
      <c r="G164" s="96">
        <f t="shared" si="8"/>
        <v>386524.5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Strafford</v>
      </c>
    </row>
    <row r="3" spans="1:4" x14ac:dyDescent="0.2">
      <c r="B3" s="137" t="s">
        <v>1799</v>
      </c>
    </row>
    <row r="4" spans="1:4" x14ac:dyDescent="0.2">
      <c r="B4" t="s">
        <v>61</v>
      </c>
      <c r="C4" s="129">
        <f>IF('DOE25'!F666+'DOE25'!F671=0,0,ROUND('DOE25'!F673,0))</f>
        <v>15909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15909</v>
      </c>
    </row>
    <row r="9" spans="1:4" x14ac:dyDescent="0.2">
      <c r="A9" s="136" t="s">
        <v>94</v>
      </c>
      <c r="B9" s="137" t="s">
        <v>1800</v>
      </c>
      <c r="C9" s="131" t="s">
        <v>720</v>
      </c>
      <c r="D9" s="131" t="s">
        <v>721</v>
      </c>
    </row>
    <row r="10" spans="1:4" x14ac:dyDescent="0.2">
      <c r="A10">
        <v>1100</v>
      </c>
      <c r="B10" t="s">
        <v>702</v>
      </c>
      <c r="C10" s="129">
        <f>ROUND('DOE25'!L198+'DOE25'!L216+'DOE25'!L234+'DOE25'!L277+'DOE25'!L296+'DOE25'!L315,0)</f>
        <v>6903071</v>
      </c>
      <c r="D10" s="132">
        <f>ROUND((C10/$C$28)*100,1)</f>
        <v>58.4</v>
      </c>
    </row>
    <row r="11" spans="1:4" x14ac:dyDescent="0.2">
      <c r="A11">
        <v>1200</v>
      </c>
      <c r="B11" t="s">
        <v>703</v>
      </c>
      <c r="C11" s="129">
        <f>ROUND('DOE25'!L199+'DOE25'!L217+'DOE25'!L235+'DOE25'!L278+'DOE25'!L297+'DOE25'!L316,0)</f>
        <v>1593222</v>
      </c>
      <c r="D11" s="132">
        <f>ROUND((C11/$C$28)*100,1)</f>
        <v>13.5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58620</v>
      </c>
      <c r="D13" s="132">
        <f>ROUND((C13/$C$28)*100,1)</f>
        <v>0.5</v>
      </c>
    </row>
    <row r="14" spans="1:4" x14ac:dyDescent="0.2">
      <c r="D14" s="132"/>
    </row>
    <row r="15" spans="1:4" x14ac:dyDescent="0.2">
      <c r="A15">
        <v>2100</v>
      </c>
      <c r="B15" t="s">
        <v>706</v>
      </c>
      <c r="C15" s="129">
        <f>ROUND('DOE25'!L203+'DOE25'!L221+'DOE25'!L239+'DOE25'!L282+'DOE25'!L301+'DOE25'!L320,0)</f>
        <v>607403</v>
      </c>
      <c r="D15" s="132">
        <f t="shared" ref="D15:D27" si="0">ROUND((C15/$C$28)*100,1)</f>
        <v>5.0999999999999996</v>
      </c>
    </row>
    <row r="16" spans="1:4" x14ac:dyDescent="0.2">
      <c r="A16">
        <v>2200</v>
      </c>
      <c r="B16" t="s">
        <v>707</v>
      </c>
      <c r="C16" s="129">
        <f>ROUND('DOE25'!L204+'DOE25'!L222+'DOE25'!L240+'DOE25'!L283+'DOE25'!L302+'DOE25'!L321,0)</f>
        <v>362141</v>
      </c>
      <c r="D16" s="132">
        <f t="shared" si="0"/>
        <v>3.1</v>
      </c>
    </row>
    <row r="17" spans="1:4" x14ac:dyDescent="0.2">
      <c r="A17" s="133" t="s">
        <v>723</v>
      </c>
      <c r="B17" t="s">
        <v>738</v>
      </c>
      <c r="C17" s="129">
        <f>ROUND('DOE25'!L205+'DOE25'!L210+'DOE25'!L223+'DOE25'!L228+'DOE25'!L241+'DOE25'!L246+'DOE25'!L284+'DOE25'!L289+'DOE25'!L303+'DOE25'!L308+'DOE25'!L322+'DOE25'!L327,0)</f>
        <v>355839</v>
      </c>
      <c r="D17" s="132">
        <f t="shared" si="0"/>
        <v>3</v>
      </c>
    </row>
    <row r="18" spans="1:4" x14ac:dyDescent="0.2">
      <c r="A18">
        <v>2400</v>
      </c>
      <c r="B18" t="s">
        <v>711</v>
      </c>
      <c r="C18" s="129">
        <f>ROUND('DOE25'!L206+'DOE25'!L224+'DOE25'!L242+'DOE25'!L285+'DOE25'!L304+'DOE25'!L323,0)</f>
        <v>386495</v>
      </c>
      <c r="D18" s="132">
        <f t="shared" si="0"/>
        <v>3.3</v>
      </c>
    </row>
    <row r="19" spans="1:4" x14ac:dyDescent="0.2">
      <c r="A19">
        <v>2500</v>
      </c>
      <c r="B19" t="s">
        <v>708</v>
      </c>
      <c r="C19" s="129">
        <f>ROUND('DOE25'!L207+'DOE25'!L225+'DOE25'!L243+'DOE25'!L286+'DOE25'!L305+'DOE25'!L324,0)</f>
        <v>112814</v>
      </c>
      <c r="D19" s="132">
        <f t="shared" si="0"/>
        <v>1</v>
      </c>
    </row>
    <row r="20" spans="1:4" x14ac:dyDescent="0.2">
      <c r="A20">
        <v>2600</v>
      </c>
      <c r="B20" t="s">
        <v>709</v>
      </c>
      <c r="C20" s="129">
        <f>ROUND('DOE25'!L208+'DOE25'!L226+'DOE25'!L244+'DOE25'!L287+'DOE25'!L306+'DOE25'!L325,0)</f>
        <v>516173</v>
      </c>
      <c r="D20" s="132">
        <f t="shared" si="0"/>
        <v>4.4000000000000004</v>
      </c>
    </row>
    <row r="21" spans="1:4" x14ac:dyDescent="0.2">
      <c r="A21">
        <v>2700</v>
      </c>
      <c r="B21" t="s">
        <v>710</v>
      </c>
      <c r="C21" s="129">
        <f>ROUND('DOE25'!L209+'DOE25'!L227+'DOE25'!L245+'DOE25'!L288+'DOE25'!L307+'DOE25'!L326,0)</f>
        <v>561755</v>
      </c>
      <c r="D21" s="132">
        <f t="shared" si="0"/>
        <v>4.8</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135183</v>
      </c>
      <c r="D25" s="132">
        <f t="shared" si="0"/>
        <v>1.1000000000000001</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219633.26</v>
      </c>
      <c r="D27" s="132">
        <f t="shared" si="0"/>
        <v>1.9</v>
      </c>
    </row>
    <row r="28" spans="1:4" x14ac:dyDescent="0.2">
      <c r="B28" s="136" t="s">
        <v>719</v>
      </c>
      <c r="C28" s="130">
        <f>SUM(C10:C27)</f>
        <v>11812349.26</v>
      </c>
      <c r="D28" s="134">
        <f>ROUND(SUM(D10:D27),0)</f>
        <v>100</v>
      </c>
    </row>
    <row r="29" spans="1:4" x14ac:dyDescent="0.2">
      <c r="A29">
        <v>4000</v>
      </c>
      <c r="B29" t="s">
        <v>724</v>
      </c>
      <c r="C29" s="129">
        <f>ROUND('DOE25'!L256+'DOE25'!L337+'DOE25'!L375+'DOE25'!L376+'DOE25'!L377+'DOE25'!L378+'DOE25'!L379+'DOE25'!L380+'DOE25'!L381,0)</f>
        <v>79588</v>
      </c>
    </row>
    <row r="30" spans="1:4" x14ac:dyDescent="0.2">
      <c r="B30" s="136" t="s">
        <v>725</v>
      </c>
      <c r="C30" s="130">
        <f>SUM(C28:C29)</f>
        <v>11891937.26</v>
      </c>
    </row>
    <row r="31" spans="1:4" x14ac:dyDescent="0.2">
      <c r="B31" s="32"/>
      <c r="C31" s="130"/>
    </row>
    <row r="32" spans="1:4" x14ac:dyDescent="0.2">
      <c r="A32">
        <v>5100</v>
      </c>
      <c r="B32" s="32" t="s">
        <v>726</v>
      </c>
      <c r="C32" s="130">
        <f>ROUND('DOE25'!L261+'DOE25'!L342,0)</f>
        <v>255000</v>
      </c>
    </row>
    <row r="34" spans="1:4" x14ac:dyDescent="0.2">
      <c r="A34" s="136" t="s">
        <v>94</v>
      </c>
      <c r="B34" s="137" t="s">
        <v>1801</v>
      </c>
      <c r="C34" s="131" t="s">
        <v>720</v>
      </c>
      <c r="D34" s="131" t="s">
        <v>721</v>
      </c>
    </row>
    <row r="35" spans="1:4" x14ac:dyDescent="0.2">
      <c r="A35">
        <v>1100</v>
      </c>
      <c r="B35" s="71" t="s">
        <v>727</v>
      </c>
      <c r="C35" s="129">
        <f>ROUND('DOE25'!F60+'DOE25'!G60+'DOE25'!H60+'DOE25'!I60+'DOE25'!J60,0)</f>
        <v>8333955</v>
      </c>
      <c r="D35" s="132">
        <f t="shared" ref="D35:D40" si="1">ROUND((C35/$C$41)*100,1)</f>
        <v>66.8</v>
      </c>
    </row>
    <row r="36" spans="1:4" x14ac:dyDescent="0.2">
      <c r="B36" s="71" t="s">
        <v>739</v>
      </c>
      <c r="C36" s="129">
        <f>SUM('DOE25'!F112:J112)-SUM('DOE25'!G97:G110)+('DOE25'!F175+'DOE25'!F176+'DOE25'!I175+'DOE25'!I176)-C35</f>
        <v>254628.6400000006</v>
      </c>
      <c r="D36" s="132">
        <f t="shared" si="1"/>
        <v>2</v>
      </c>
    </row>
    <row r="37" spans="1:4" x14ac:dyDescent="0.2">
      <c r="A37" s="133" t="s">
        <v>835</v>
      </c>
      <c r="B37" s="71" t="s">
        <v>728</v>
      </c>
      <c r="C37" s="129">
        <f>ROUND('DOE25'!F117+'DOE25'!F118,0)</f>
        <v>3363008</v>
      </c>
      <c r="D37" s="132">
        <f t="shared" si="1"/>
        <v>27</v>
      </c>
    </row>
    <row r="38" spans="1:4" x14ac:dyDescent="0.2">
      <c r="A38" s="133" t="s">
        <v>734</v>
      </c>
      <c r="B38" s="71" t="s">
        <v>729</v>
      </c>
      <c r="C38" s="129">
        <f>ROUND(SUM('DOE25'!F140:J140)-SUM('DOE25'!F117:F119),0)</f>
        <v>89465</v>
      </c>
      <c r="D38" s="132">
        <f t="shared" si="1"/>
        <v>0.7</v>
      </c>
    </row>
    <row r="39" spans="1:4" x14ac:dyDescent="0.2">
      <c r="A39">
        <v>4000</v>
      </c>
      <c r="B39" s="71" t="s">
        <v>730</v>
      </c>
      <c r="C39" s="129">
        <f>ROUND('DOE25'!F170+'DOE25'!G170+'DOE25'!H170+'DOE25'!I170,0)</f>
        <v>432211</v>
      </c>
      <c r="D39" s="132">
        <f t="shared" si="1"/>
        <v>3.5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12473267.640000001</v>
      </c>
      <c r="D41" s="134">
        <f>SUM(D35:D40)</f>
        <v>100</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Strafford</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c r="B4" s="150"/>
      <c r="C4" s="313"/>
      <c r="D4" s="313"/>
      <c r="E4" s="313"/>
      <c r="F4" s="313"/>
      <c r="G4" s="313"/>
      <c r="H4" s="313"/>
      <c r="I4" s="313"/>
      <c r="J4" s="313"/>
      <c r="K4" s="313"/>
      <c r="L4" s="313"/>
      <c r="M4" s="315"/>
    </row>
    <row r="5" spans="1:13" x14ac:dyDescent="0.2">
      <c r="A5" s="159"/>
      <c r="B5" s="150"/>
      <c r="C5" s="313"/>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278</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t="str">
        <f>IF('School Level Expenditures'!$B$2=A232,'School Tables'!H232,"")</f>
        <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f>IF('School Level Expenditures'!$B$2=A281,'School Tables'!H281,"")</f>
        <v>278</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2022-12-23T03:04:25Z</cp:lastPrinted>
  <dcterms:created xsi:type="dcterms:W3CDTF">1997-12-04T19:04:30Z</dcterms:created>
  <dcterms:modified xsi:type="dcterms:W3CDTF">2022-12-28T13:00:52Z</dcterms:modified>
</cp:coreProperties>
</file>