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1931DD34-57A0-47EE-9364-BF6B0D59252E}"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8" i="14" l="1"/>
  <c r="D26" i="14"/>
  <c r="D6" i="14"/>
  <c r="I605" i="1" l="1"/>
  <c r="H209" i="1"/>
  <c r="I244" i="1"/>
  <c r="H244" i="1"/>
  <c r="H208" i="1"/>
  <c r="J222" i="1"/>
  <c r="I205" i="1"/>
  <c r="I204" i="1"/>
  <c r="H204" i="1"/>
  <c r="I237" i="1"/>
  <c r="I234" i="1"/>
  <c r="H234" i="1"/>
  <c r="H283" i="1"/>
  <c r="J302" i="1"/>
  <c r="H315" i="1"/>
  <c r="F473" i="1"/>
  <c r="J593" i="1"/>
  <c r="F9" i="1" l="1"/>
  <c r="I593" i="1"/>
  <c r="G614" i="1"/>
  <c r="G613" i="1"/>
  <c r="G612" i="1"/>
  <c r="F614" i="1"/>
  <c r="F613" i="1"/>
  <c r="H580" i="1"/>
  <c r="G580" i="1"/>
  <c r="F580" i="1" l="1"/>
  <c r="J524" i="1"/>
  <c r="I524" i="1"/>
  <c r="H524" i="1"/>
  <c r="J523" i="1"/>
  <c r="I523" i="1"/>
  <c r="H523" i="1"/>
  <c r="J522" i="1"/>
  <c r="I522" i="1"/>
  <c r="H522" i="1"/>
  <c r="F523" i="1"/>
  <c r="G543" i="1"/>
  <c r="G542" i="1"/>
  <c r="F544" i="1"/>
  <c r="G544" i="1" s="1"/>
  <c r="F543" i="1"/>
  <c r="F542" i="1"/>
  <c r="G524" i="1"/>
  <c r="G534" i="1"/>
  <c r="G533" i="1"/>
  <c r="G523" i="1" s="1"/>
  <c r="F534" i="1"/>
  <c r="F524" i="1" s="1"/>
  <c r="F533" i="1"/>
  <c r="F532" i="1"/>
  <c r="F522" i="1" s="1"/>
  <c r="G532" i="1" l="1"/>
  <c r="G522" i="1" s="1"/>
  <c r="H401" i="1"/>
  <c r="H390" i="1"/>
  <c r="I361" i="1" l="1"/>
  <c r="I360" i="1"/>
  <c r="I359" i="1"/>
  <c r="E13" i="17"/>
  <c r="E9" i="17"/>
  <c r="I240" i="1"/>
  <c r="I222" i="1"/>
  <c r="H321" i="1"/>
  <c r="H302" i="1"/>
  <c r="H159" i="1" l="1"/>
  <c r="D9" i="13" l="1"/>
  <c r="B19" i="12"/>
  <c r="B10" i="12"/>
  <c r="H162" i="1"/>
  <c r="H155" i="1"/>
  <c r="F63" i="1" l="1"/>
  <c r="J325" i="1"/>
  <c r="J306" i="1"/>
  <c r="J287" i="1"/>
  <c r="J321" i="1"/>
  <c r="J283" i="1"/>
  <c r="K321" i="1"/>
  <c r="K302" i="1"/>
  <c r="K283" i="1"/>
  <c r="J316" i="1"/>
  <c r="J297" i="1"/>
  <c r="J278" i="1"/>
  <c r="I316" i="1"/>
  <c r="I297" i="1"/>
  <c r="I278" i="1"/>
  <c r="H316" i="1"/>
  <c r="H297" i="1"/>
  <c r="H278" i="1"/>
  <c r="F316" i="1"/>
  <c r="F297" i="1"/>
  <c r="F278" i="1"/>
  <c r="H296" i="1"/>
  <c r="H277" i="1"/>
  <c r="F277" i="1"/>
  <c r="F315" i="1"/>
  <c r="F296" i="1"/>
  <c r="B37" i="12"/>
  <c r="B21" i="12"/>
  <c r="B20" i="12"/>
  <c r="B11" i="12"/>
  <c r="F245" i="1"/>
  <c r="F227" i="1"/>
  <c r="F209" i="1"/>
  <c r="F244" i="1"/>
  <c r="F226" i="1"/>
  <c r="F208" i="1"/>
  <c r="F242" i="1"/>
  <c r="F224" i="1"/>
  <c r="F206" i="1"/>
  <c r="F241" i="1"/>
  <c r="F223" i="1"/>
  <c r="F205" i="1"/>
  <c r="F240" i="1"/>
  <c r="F222" i="1"/>
  <c r="F204" i="1"/>
  <c r="F239" i="1"/>
  <c r="F221" i="1"/>
  <c r="F203" i="1"/>
  <c r="F237" i="1"/>
  <c r="F219" i="1"/>
  <c r="F201" i="1"/>
  <c r="F235" i="1"/>
  <c r="F217" i="1"/>
  <c r="F199" i="1"/>
  <c r="F234" i="1"/>
  <c r="F216" i="1"/>
  <c r="F198" i="1"/>
  <c r="G234" i="1"/>
  <c r="G198" i="1" l="1"/>
  <c r="H226" i="1" l="1"/>
  <c r="H245" i="1"/>
  <c r="H227" i="1"/>
  <c r="H242" i="1" l="1"/>
  <c r="H224" i="1"/>
  <c r="H206" i="1"/>
  <c r="H241" i="1"/>
  <c r="H223" i="1"/>
  <c r="H205" i="1"/>
  <c r="H240" i="1"/>
  <c r="H222" i="1"/>
  <c r="H239" i="1"/>
  <c r="H221" i="1"/>
  <c r="H203" i="1"/>
  <c r="H237" i="1"/>
  <c r="H219" i="1"/>
  <c r="H235" i="1"/>
  <c r="H217" i="1"/>
  <c r="H199" i="1"/>
  <c r="H216" i="1"/>
  <c r="I208" i="1"/>
  <c r="I226" i="1"/>
  <c r="I245" i="1"/>
  <c r="I227" i="1"/>
  <c r="I209" i="1"/>
  <c r="I242" i="1"/>
  <c r="I224" i="1"/>
  <c r="I241" i="1"/>
  <c r="I223" i="1"/>
  <c r="I239" i="1"/>
  <c r="I221" i="1"/>
  <c r="I203" i="1"/>
  <c r="I219" i="1"/>
  <c r="I199" i="1"/>
  <c r="I235" i="1"/>
  <c r="I217" i="1"/>
  <c r="I216" i="1"/>
  <c r="I198" i="1"/>
  <c r="J245" i="1"/>
  <c r="J227" i="1"/>
  <c r="J209" i="1"/>
  <c r="J244" i="1"/>
  <c r="J226" i="1"/>
  <c r="J240" i="1"/>
  <c r="J204" i="1"/>
  <c r="J235" i="1"/>
  <c r="J217" i="1"/>
  <c r="J234" i="1"/>
  <c r="J216" i="1"/>
  <c r="K227" i="1"/>
  <c r="K242" i="1"/>
  <c r="K224" i="1"/>
  <c r="K241" i="1"/>
  <c r="K223" i="1"/>
  <c r="K205" i="1"/>
  <c r="K237" i="1"/>
  <c r="K219" i="1"/>
  <c r="K235" i="1"/>
  <c r="K199" i="1"/>
  <c r="K217" i="1"/>
  <c r="B36" i="16" l="1"/>
  <c r="H361" i="1" l="1"/>
  <c r="H360" i="1"/>
  <c r="H359" i="1"/>
  <c r="F361" i="1"/>
  <c r="F360" i="1"/>
  <c r="F359" i="1"/>
  <c r="G158"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H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H17" i="2" s="1"/>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H34" i="2" s="1"/>
  <c r="D34" i="2"/>
  <c r="E34" i="2"/>
  <c r="F34" i="2"/>
  <c r="C35" i="2"/>
  <c r="H35" i="2" s="1"/>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E77" i="2"/>
  <c r="F77" i="2"/>
  <c r="G77" i="2"/>
  <c r="G78" i="2" s="1"/>
  <c r="C79" i="2"/>
  <c r="D79" i="2"/>
  <c r="E79" i="2"/>
  <c r="C80" i="2"/>
  <c r="E80" i="2"/>
  <c r="C85" i="2"/>
  <c r="F85" i="2"/>
  <c r="C87" i="2"/>
  <c r="E87" i="2"/>
  <c r="F87" i="2"/>
  <c r="C89" i="2"/>
  <c r="H89" i="2" s="1"/>
  <c r="D89" i="2"/>
  <c r="E89" i="2"/>
  <c r="F89" i="2"/>
  <c r="C90" i="2"/>
  <c r="H90" i="2" s="1"/>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4"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H653" i="1"/>
  <c r="G654" i="1"/>
  <c r="H654" i="1"/>
  <c r="H655" i="1"/>
  <c r="H656" i="1"/>
  <c r="I170" i="1"/>
  <c r="H13" i="2" l="1"/>
  <c r="C12" i="10"/>
  <c r="I409" i="1"/>
  <c r="H94" i="2"/>
  <c r="H69" i="2"/>
  <c r="H30" i="2"/>
  <c r="H29" i="2"/>
  <c r="H28" i="2"/>
  <c r="H27" i="2"/>
  <c r="H25" i="2"/>
  <c r="H24" i="2"/>
  <c r="C10" i="12"/>
  <c r="H132" i="2"/>
  <c r="H36" i="2"/>
  <c r="H38" i="2"/>
  <c r="H43" i="2"/>
  <c r="H44" i="2"/>
  <c r="H48" i="2"/>
  <c r="D144" i="2"/>
  <c r="H102" i="2"/>
  <c r="H101" i="2"/>
  <c r="H100" i="2"/>
  <c r="H99" i="2"/>
  <c r="H98" i="2"/>
  <c r="H79" i="2"/>
  <c r="H76" i="2"/>
  <c r="H58" i="2"/>
  <c r="H23" i="2"/>
  <c r="H15" i="2"/>
  <c r="H143" i="2"/>
  <c r="C20" i="12"/>
  <c r="C21" i="12" s="1"/>
  <c r="C19" i="12"/>
  <c r="C39" i="12"/>
  <c r="C37" i="12" s="1"/>
  <c r="C40" i="12" s="1"/>
  <c r="A40" i="12" s="1"/>
  <c r="E121" i="2"/>
  <c r="H125" i="2"/>
  <c r="H97" i="2"/>
  <c r="H93" i="2"/>
  <c r="H87" i="2"/>
  <c r="H80" i="2"/>
  <c r="H26" i="2"/>
  <c r="H22" i="2"/>
  <c r="G663" i="1"/>
  <c r="H12" i="2"/>
  <c r="H8" i="2"/>
  <c r="H11" i="2"/>
  <c r="G409" i="1"/>
  <c r="H646" i="1" s="1"/>
  <c r="J646" i="1" s="1"/>
  <c r="J112" i="1"/>
  <c r="J652" i="1"/>
  <c r="H477" i="1"/>
  <c r="H625" i="1" s="1"/>
  <c r="H61" i="2"/>
  <c r="H59" i="2"/>
  <c r="G651" i="1"/>
  <c r="J651" i="1" s="1"/>
  <c r="C121" i="2"/>
  <c r="H121" i="2" s="1"/>
  <c r="C119" i="2"/>
  <c r="D6" i="13"/>
  <c r="C6" i="13" s="1"/>
  <c r="C112" i="2"/>
  <c r="H112" i="2" s="1"/>
  <c r="D15" i="13"/>
  <c r="C15" i="13" s="1"/>
  <c r="C13" i="10"/>
  <c r="C120" i="2"/>
  <c r="H120" i="2" s="1"/>
  <c r="C110" i="2"/>
  <c r="G62" i="2"/>
  <c r="G63" i="2" s="1"/>
  <c r="G477" i="1"/>
  <c r="H624" i="1" s="1"/>
  <c r="J624" i="1" s="1"/>
  <c r="G662" i="1"/>
  <c r="D78" i="2"/>
  <c r="H77" i="2"/>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D29" i="13"/>
  <c r="C29" i="13" s="1"/>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J653" i="1"/>
  <c r="G572" i="1"/>
  <c r="I435" i="1"/>
  <c r="G435" i="1"/>
  <c r="I664" i="1"/>
  <c r="H103" i="2" l="1"/>
  <c r="H78" i="2"/>
  <c r="H16" i="2"/>
  <c r="H42" i="2"/>
  <c r="H134" i="2"/>
  <c r="H57" i="2"/>
  <c r="H21" i="2"/>
  <c r="C11" i="12"/>
  <c r="C13" i="12" s="1"/>
  <c r="A13" i="12" s="1"/>
  <c r="C22" i="12"/>
  <c r="A22" i="12" s="1"/>
  <c r="H85" i="2"/>
  <c r="H31" i="2"/>
  <c r="E51" i="2"/>
  <c r="B33" i="16"/>
  <c r="G24" i="14"/>
  <c r="H24" i="14" s="1"/>
  <c r="I24" i="14" s="1"/>
  <c r="H91" i="2"/>
  <c r="C81" i="2"/>
  <c r="F194" i="1"/>
  <c r="G628" i="1" s="1"/>
  <c r="J628" i="1" s="1"/>
  <c r="H123" i="2"/>
  <c r="H119" i="2"/>
  <c r="E128" i="2"/>
  <c r="E115" i="2"/>
  <c r="H110" i="2"/>
  <c r="F661" i="1"/>
  <c r="F665" i="1" s="1"/>
  <c r="F668" i="1" s="1"/>
  <c r="H109" i="2"/>
  <c r="I663" i="1"/>
  <c r="H50" i="2"/>
  <c r="H18" i="2"/>
  <c r="D51" i="2"/>
  <c r="D128" i="2"/>
  <c r="H127" i="2"/>
  <c r="D81" i="2"/>
  <c r="D63" i="2"/>
  <c r="H62"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44" i="2" l="1"/>
  <c r="H144" i="2" s="1"/>
  <c r="H141" i="2"/>
  <c r="H81" i="2"/>
  <c r="C104" i="2"/>
  <c r="H63" i="2"/>
  <c r="E145" i="2"/>
  <c r="H115" i="2"/>
  <c r="H51" i="2"/>
  <c r="D145" i="2"/>
  <c r="H128" i="2"/>
  <c r="D104" i="2"/>
  <c r="H673" i="1"/>
  <c r="C6" i="10"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H104"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<sst xmlns="http://schemas.openxmlformats.org/spreadsheetml/2006/main" count="6531" uniqueCount="1804">
  <si>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</si>
  <si>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</si>
  <si>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</si>
  <si>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</si>
  <si>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</si>
  <si>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</si>
  <si>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</si>
  <si>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</si>
  <si>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</si>
  <si>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</si>
  <si>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</si>
  <si>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</si>
  <si>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</si>
  <si>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</si>
  <si>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</si>
  <si>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</si>
  <si>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</si>
  <si>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</si>
  <si>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</si>
  <si>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</si>
  <si>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</si>
  <si>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</si>
  <si>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</si>
  <si>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</si>
  <si>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</si>
  <si>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</si>
  <si>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</si>
  <si>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</si>
  <si>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</si>
  <si>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</si>
  <si>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</si>
  <si>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</si>
  <si>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</si>
  <si>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</si>
  <si>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</si>
  <si>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</si>
  <si>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</si>
  <si>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</si>
  <si>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</si>
  <si>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</si>
  <si>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</si>
  <si>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</si>
  <si>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</si>
  <si>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</si>
  <si>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</si>
  <si>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</si>
  <si>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</si>
  <si>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</si>
  <si>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</si>
  <si>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</si>
  <si>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</si>
  <si>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</si>
  <si>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</si>
  <si>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</si>
  <si>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</si>
  <si>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</si>
  <si>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</si>
  <si>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</si>
  <si>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</si>
  <si>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</si>
  <si>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</si>
  <si>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</si>
  <si>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</si>
  <si>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</si>
  <si>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</si>
  <si>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</si>
  <si>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</si>
  <si>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</si>
  <si>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</si>
  <si>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</si>
  <si>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</si>
  <si>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</si>
  <si>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</si>
  <si>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</si>
  <si>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</si>
  <si>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</si>
  <si>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</si>
  <si>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</si>
  <si>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</si>
  <si>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</si>
  <si>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</si>
  <si>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</si>
  <si>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</si>
  <si>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</si>
  <si>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</si>
  <si>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</si>
  <si>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</si>
  <si>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</si>
  <si>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</si>
  <si>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</si>
  <si>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</si>
  <si>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</si>
  <si>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</si>
  <si>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</si>
  <si>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</si>
  <si>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</si>
  <si>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</si>
  <si>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</si>
  <si>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</si>
  <si>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</si>
  <si>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</si>
  <si>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</si>
  <si>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</si>
  <si>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</si>
  <si>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</si>
  <si>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</si>
  <si>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</si>
  <si>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</si>
  <si>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</si>
  <si>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</si>
  <si>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</si>
  <si>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</si>
  <si>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</si>
  <si>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</si>
  <si>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</si>
  <si>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</si>
  <si>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</si>
  <si>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</si>
  <si>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</si>
  <si>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</si>
  <si>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</si>
  <si>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</si>
  <si>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</si>
  <si>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</si>
  <si>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</si>
  <si>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</si>
  <si>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</si>
  <si>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</si>
  <si>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</si>
  <si>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</si>
  <si>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</si>
  <si>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</si>
  <si>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</si>
  <si>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</si>
  <si>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</si>
  <si>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</si>
  <si>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</si>
  <si>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</si>
  <si>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</si>
  <si>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</si>
  <si>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</si>
  <si>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</si>
  <si>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</si>
  <si>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</si>
  <si>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</si>
  <si>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</si>
  <si>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</si>
  <si>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</si>
  <si>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</si>
  <si>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</si>
  <si>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</si>
  <si>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</si>
  <si>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</si>
  <si>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</si>
  <si>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</si>
  <si>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</si>
  <si>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</si>
  <si>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</si>
  <si>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</si>
  <si>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</si>
  <si>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</si>
  <si>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</si>
  <si>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</si>
  <si>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</si>
  <si>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</si>
  <si>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</si>
  <si>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</si>
  <si>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</si>
  <si>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</si>
  <si>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</si>
  <si>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</si>
  <si>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</si>
  <si>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</si>
  <si>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</si>
  <si>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</si>
  <si>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</si>
  <si>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</si>
  <si>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</si>
  <si>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</si>
  <si>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</si>
  <si>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</si>
  <si>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</si>
  <si>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</si>
  <si>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</si>
  <si>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</si>
  <si>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</si>
  <si>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</si>
  <si>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</si>
  <si>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</si>
  <si>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</si>
  <si>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</si>
  <si>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</si>
  <si>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</si>
  <si>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</si>
  <si>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</si>
  <si>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</si>
  <si>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</si>
  <si>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</si>
  <si>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</si>
  <si>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</si>
  <si>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</si>
  <si>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</si>
  <si>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</si>
  <si>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</si>
  <si>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</si>
  <si>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</si>
  <si>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</si>
  <si>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</si>
  <si>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</si>
  <si>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</si>
  <si>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</si>
  <si>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</si>
  <si>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</si>
  <si>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</si>
  <si>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</si>
  <si>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</si>
  <si>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</si>
  <si>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</si>
  <si>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</si>
  <si>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</si>
  <si>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</si>
  <si>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</si>
  <si>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</si>
  <si>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</si>
  <si>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</si>
  <si>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</si>
  <si>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</si>
  <si>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</si>
  <si>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</si>
  <si>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</si>
  <si>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</si>
  <si>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</si>
  <si>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</si>
  <si>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</si>
  <si>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</si>
  <si>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</si>
  <si>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</si>
  <si>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</si>
  <si>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</si>
  <si>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</si>
  <si>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</si>
  <si>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</si>
  <si>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</si>
  <si>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</si>
  <si>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</si>
  <si>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</si>
  <si>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</si>
  <si>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</si>
  <si>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</si>
  <si>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</si>
  <si>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</si>
  <si>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</si>
  <si>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</si>
  <si>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</si>
  <si>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</si>
  <si>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</si>
  <si>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</si>
  <si>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</si>
  <si>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</si>
  <si>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</si>
  <si>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</si>
  <si>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</si>
  <si>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</si>
  <si>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</si>
  <si>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</si>
  <si>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</si>
  <si>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</si>
  <si>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</si>
  <si>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</si>
  <si>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</si>
  <si>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</si>
  <si>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</si>
  <si>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</si>
  <si>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</si>
  <si>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</si>
  <si>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</si>
  <si>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</si>
  <si>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</si>
  <si>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</si>
  <si>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</si>
  <si>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</si>
  <si>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</si>
  <si>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</si>
  <si>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</si>
  <si>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</si>
  <si>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</si>
  <si>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</si>
  <si>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</si>
  <si>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</si>
  <si>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</si>
  <si>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</si>
  <si>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</si>
  <si>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</si>
  <si>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</si>
  <si>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</si>
  <si>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</si>
  <si>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</si>
  <si>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</si>
  <si>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</si>
  <si>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</si>
  <si>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</si>
  <si>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</si>
  <si>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</si>
  <si>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</si>
  <si>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</si>
  <si>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</si>
  <si>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</si>
  <si>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</si>
  <si>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</si>
  <si>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</si>
  <si>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</si>
  <si>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</si>
  <si>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</si>
  <si>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</si>
  <si>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</si>
  <si>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</si>
  <si>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</si>
  <si>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</si>
  <si>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</si>
  <si>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</si>
  <si>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</si>
  <si>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</si>
  <si>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</si>
  <si>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</si>
  <si>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</si>
  <si>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</si>
  <si>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</si>
  <si>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</si>
  <si>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</si>
  <si>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</si>
  <si>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</si>
  <si>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</si>
  <si>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</si>
  <si>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</si>
  <si>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</si>
  <si>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</si>
  <si>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</si>
  <si>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</si>
  <si>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</si>
  <si>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</si>
  <si>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</si>
  <si>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</si>
  <si>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</si>
  <si>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</si>
  <si>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</si>
  <si>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</si>
  <si>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</si>
  <si>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</si>
  <si>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</si>
  <si>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</si>
  <si>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</si>
  <si>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</si>
  <si>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</si>
  <si>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</si>
  <si>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</si>
  <si>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</si>
  <si>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</si>
  <si>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</si>
  <si>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</si>
  <si>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</si>
  <si>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</si>
  <si>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</si>
  <si>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</si>
  <si>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</si>
  <si>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</si>
  <si>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</si>
  <si>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</si>
  <si>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</si>
  <si>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</si>
  <si>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</si>
  <si>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</si>
  <si>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</si>
  <si>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</si>
  <si>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</si>
  <si>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</si>
  <si>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</si>
  <si>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</si>
  <si>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</si>
  <si>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</si>
  <si>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</si>
  <si>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</si>
  <si>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</si>
  <si>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</si>
  <si>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</si>
  <si>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</si>
  <si>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</si>
  <si>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</si>
  <si>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</si>
  <si>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</si>
  <si>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</si>
  <si>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</si>
  <si>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</si>
  <si>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</si>
  <si>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</si>
  <si>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</si>
  <si>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</si>
  <si>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</si>
  <si>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</si>
  <si>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</si>
  <si>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</si>
  <si>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</si>
  <si>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</si>
  <si>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</si>
  <si>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</si>
  <si>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</si>
  <si>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</si>
  <si>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</si>
  <si>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</si>
  <si>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</si>
  <si>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</si>
  <si>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</si>
  <si>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</si>
  <si>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</si>
  <si>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</si>
  <si>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</si>
  <si>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</si>
  <si>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</si>
  <si>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</si>
  <si>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</si>
  <si>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</si>
  <si>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</si>
  <si>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</si>
  <si>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</si>
  <si>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</si>
  <si>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</si>
  <si>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</si>
  <si>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</si>
  <si>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</si>
  <si>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</si>
  <si>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</si>
  <si>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</si>
  <si>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</si>
  <si>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</si>
  <si>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</si>
  <si>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</si>
  <si>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</si>
  <si>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</si>
  <si>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</si>
  <si>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</si>
  <si>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</si>
  <si>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</si>
  <si>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</si>
  <si>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</si>
  <si>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</si>
  <si>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</si>
  <si>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</si>
  <si>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</si>
  <si>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</si>
  <si>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</si>
  <si>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</si>
  <si>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</si>
  <si>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</si>
  <si>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</si>
  <si>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</si>
  <si>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</si>
  <si>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</si>
  <si>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</si>
  <si>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</si>
  <si>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</si>
  <si>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</si>
  <si>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</si>
  <si>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</si>
  <si>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</si>
  <si>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</si>
  <si>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</si>
  <si>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</si>
  <si>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</si>
  <si>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</si>
  <si>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</si>
  <si>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</si>
  <si>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</si>
  <si>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</si>
  <si>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</si>
  <si>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</si>
  <si>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</si>
  <si>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</si>
  <si>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</si>
  <si>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</si>
  <si>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</si>
  <si>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</si>
  <si>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</si>
  <si>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</si>
  <si>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</si>
  <si>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</si>
  <si>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</si>
  <si>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</si>
  <si>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</si>
  <si>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</si>
  <si>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</si>
  <si>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</si>
  <si>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</si>
  <si>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</si>
  <si>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</si>
  <si>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</si>
  <si>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</si>
  <si>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</si>
  <si>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</si>
  <si>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</si>
  <si>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</si>
  <si>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</si>
  <si>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</si>
  <si>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</si>
  <si>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</si>
  <si>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</si>
  <si>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</si>
  <si>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</si>
  <si>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</si>
  <si>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</si>
  <si>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</si>
  <si>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</si>
  <si>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</si>
  <si>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</si>
  <si>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</si>
  <si>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</si>
  <si>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</si>
  <si>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</si>
  <si>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</si>
  <si>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</si>
  <si>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</si>
  <si>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</si>
  <si>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</si>
  <si>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</si>
  <si>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</si>
  <si>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</si>
  <si>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</si>
  <si>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</si>
  <si>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</si>
  <si>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</si>
  <si>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</si>
  <si>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</si>
  <si>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</si>
  <si>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</si>
  <si>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</si>
  <si>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</si>
  <si>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</si>
  <si>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</si>
  <si>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</si>
  <si>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</si>
  <si>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</si>
  <si>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</si>
  <si>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</si>
  <si>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</si>
  <si>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</si>
  <si>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</si>
  <si>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</si>
  <si>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</si>
  <si>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</si>
  <si>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</si>
  <si>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</si>
  <si>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</si>
  <si>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</si>
  <si>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</si>
  <si>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</si>
  <si>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</si>
  <si>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</si>
  <si>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</si>
  <si>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</si>
  <si>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</si>
  <si>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</si>
  <si>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</si>
  <si>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</si>
  <si>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</si>
  <si>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</si>
  <si>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</si>
  <si>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</si>
  <si>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</si>
  <si>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</si>
  <si>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</si>
  <si>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</si>
  <si>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</si>
  <si>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</si>
  <si>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</si>
  <si>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</si>
  <si>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</si>
  <si>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</si>
  <si>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</si>
  <si>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</si>
  <si>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</si>
  <si>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</si>
  <si>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</si>
  <si>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</si>
  <si>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</si>
  <si>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</si>
  <si>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</si>
  <si>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</si>
  <si>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</si>
  <si>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</si>
  <si>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</si>
  <si>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</si>
  <si>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</si>
  <si>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</si>
  <si>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</si>
  <si>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</si>
  <si>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</si>
  <si>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</si>
  <si>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</si>
  <si>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</si>
  <si>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</si>
  <si>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</si>
  <si>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</si>
  <si>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</si>
  <si>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</si>
  <si>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</si>
  <si>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</si>
  <si>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</si>
  <si>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</si>
  <si>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</si>
  <si>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</si>
  <si>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</si>
  <si>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</si>
  <si>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</si>
  <si>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</si>
  <si>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</si>
  <si>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</si>
  <si>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</si>
  <si>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</si>
  <si>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</si>
  <si>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</si>
  <si>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</si>
  <si>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</si>
  <si>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</si>
  <si>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</si>
  <si>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</si>
  <si>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</si>
  <si>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</si>
  <si>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</si>
  <si>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</si>
  <si>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</si>
  <si>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</si>
  <si>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</si>
  <si>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</si>
  <si>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</si>
  <si>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</si>
  <si>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</si>
  <si>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</si>
  <si>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</si>
  <si>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</si>
  <si>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</si>
  <si>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</si>
  <si>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</si>
  <si>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</si>
  <si>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</si>
  <si>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</si>
  <si>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</si>
  <si>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</si>
  <si>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</si>
  <si>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</si>
  <si>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</si>
  <si>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</si>
  <si>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</si>
  <si>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</si>
  <si>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</si>
  <si>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</si>
  <si>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</si>
  <si>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</si>
  <si>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</si>
  <si>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</si>
  <si>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</si>
  <si>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</si>
  <si>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</si>
  <si>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</si>
  <si>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</si>
  <si>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</si>
  <si>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</si>
  <si>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</si>
  <si>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</si>
  <si>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</si>
  <si>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</si>
  <si>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</si>
  <si>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</si>
  <si>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</si>
  <si>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</si>
  <si>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</si>
  <si>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</si>
  <si>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</si>
  <si>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</si>
  <si>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</si>
  <si>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</si>
  <si>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</si>
  <si>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</si>
  <si>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</si>
  <si>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</si>
  <si>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</si>
  <si>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</si>
  <si>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</si>
  <si>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</si>
  <si>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</si>
  <si>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</si>
  <si>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</si>
  <si>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</si>
  <si>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</si>
  <si>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</si>
  <si>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</si>
  <si>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</si>
  <si>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</si>
  <si>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</si>
  <si>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</si>
  <si>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</si>
  <si>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</si>
  <si>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</si>
  <si>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</si>
  <si>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</si>
  <si>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</si>
  <si>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</si>
  <si>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</si>
  <si>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</si>
  <si>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</si>
  <si>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</si>
  <si>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</si>
  <si>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</si>
  <si>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</si>
  <si>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</si>
  <si>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</si>
  <si>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</si>
  <si>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</si>
  <si>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</si>
  <si>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</si>
  <si>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</si>
  <si>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</si>
  <si>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</si>
  <si>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</si>
  <si>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</si>
  <si>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</si>
  <si>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</si>
  <si>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</si>
  <si>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</si>
  <si>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</si>
  <si>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</si>
  <si>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</si>
  <si>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</si>
  <si>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</si>
  <si>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</si>
  <si>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</si>
  <si>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</si>
  <si>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</si>
  <si>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</si>
  <si>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</si>
  <si>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</si>
  <si>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</si>
  <si>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</si>
  <si>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</si>
  <si>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</si>
  <si>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</si>
  <si>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</si>
  <si>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</si>
  <si>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</si>
  <si>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</si>
  <si>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</si>
  <si>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</si>
  <si>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</si>
  <si>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</si>
  <si>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</si>
  <si>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</si>
  <si>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</si>
  <si>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</si>
  <si>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</si>
  <si>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</si>
  <si>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</si>
  <si>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</si>
  <si>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</si>
  <si>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</si>
  <si>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</si>
  <si>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</si>
  <si>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</si>
  <si>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</si>
  <si>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</si>
  <si>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</si>
  <si>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</si>
  <si>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</si>
  <si>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</si>
  <si>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</si>
  <si>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</si>
  <si>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</si>
  <si>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</si>
  <si>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</si>
  <si>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</si>
  <si>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</si>
  <si>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</si>
  <si>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</si>
  <si>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</si>
  <si>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</si>
  <si>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</si>
  <si>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</si>
  <si>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</si>
  <si>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</si>
  <si>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</si>
  <si>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</si>
  <si>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</si>
  <si>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</si>
  <si>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</si>
  <si>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</si>
  <si>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</si>
  <si>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</si>
  <si>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</si>
  <si>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</si>
  <si>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</si>
  <si>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</si>
  <si>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</si>
  <si>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</si>
  <si>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</si>
  <si>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</si>
  <si>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</si>
  <si>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</si>
  <si>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</si>
  <si>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</si>
  <si>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</si>
  <si>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</si>
  <si>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</si>
  <si>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</si>
  <si>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</si>
  <si>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</si>
  <si>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</si>
  <si>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</si>
  <si>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</si>
  <si>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</si>
  <si>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</si>
  <si>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</si>
  <si>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</si>
  <si>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</si>
  <si>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</si>
  <si>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</si>
  <si>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</si>
  <si>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</si>
  <si>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</si>
  <si>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</si>
  <si>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</si>
  <si>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</si>
  <si>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</si>
  <si>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</si>
  <si>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</si>
  <si>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</si>
  <si>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</si>
  <si>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</si>
  <si>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</si>
  <si>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</si>
  <si>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</si>
  <si>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</si>
  <si>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</si>
  <si>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</si>
  <si>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</si>
  <si>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</si>
  <si>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</si>
  <si>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</si>
  <si>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</si>
  <si>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</si>
  <si>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</si>
  <si>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</si>
  <si>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</si>
  <si>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</si>
  <si>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</si>
  <si>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</si>
  <si>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</si>
  <si>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</si>
  <si>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</si>
  <si>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</si>
  <si>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</si>
  <si>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</si>
  <si>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</si>
  <si>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</si>
  <si>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</si>
  <si>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</si>
  <si>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</si>
  <si>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</si>
  <si>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</si>
  <si>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</si>
  <si>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</si>
  <si>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</si>
  <si>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</si>
  <si>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</si>
  <si>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</si>
  <si>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</si>
  <si>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</si>
  <si>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</si>
  <si>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</si>
  <si>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</si>
  <si>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</si>
  <si>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</si>
  <si>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</si>
  <si>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</si>
  <si>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</si>
  <si>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</si>
  <si>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</si>
  <si>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</si>
  <si>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</si>
  <si>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</si>
  <si>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</si>
  <si>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</si>
  <si>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</si>
  <si>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</si>
  <si>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</si>
  <si>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</si>
  <si>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</si>
  <si>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</si>
  <si>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</si>
  <si>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</si>
  <si>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</si>
  <si>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</si>
  <si>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</si>
  <si>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</si>
  <si>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</si>
  <si>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</si>
  <si>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</si>
  <si>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</si>
  <si>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</si>
  <si>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</si>
  <si>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</si>
  <si>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</si>
  <si>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</si>
  <si>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</si>
  <si>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</si>
  <si>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</si>
  <si>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</si>
  <si>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</si>
  <si>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</si>
  <si>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</si>
  <si>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</si>
  <si>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</si>
  <si>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</si>
  <si>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</si>
  <si>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</si>
  <si>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</si>
  <si>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</si>
  <si>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</si>
  <si>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</si>
  <si>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</si>
  <si>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</si>
  <si>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</si>
  <si>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</si>
  <si>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</si>
  <si>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</si>
  <si>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</si>
  <si>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</si>
  <si>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</si>
  <si>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</si>
  <si>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</si>
  <si>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</si>
  <si>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</si>
  <si>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</si>
  <si>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</si>
  <si>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</si>
  <si>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</si>
  <si>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</si>
  <si>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</si>
  <si>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</si>
  <si>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</si>
  <si>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</si>
  <si>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</si>
  <si>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</si>
  <si>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</si>
  <si>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</si>
  <si>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</si>
  <si>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</si>
  <si>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</si>
  <si>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</si>
  <si>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</si>
  <si>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</si>
  <si>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</si>
  <si>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</si>
  <si>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</si>
  <si>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</si>
  <si>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</si>
  <si>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</si>
  <si>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</si>
  <si>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</si>
  <si>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</si>
  <si>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</si>
  <si>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</si>
  <si>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</si>
  <si>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</si>
  <si>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</si>
  <si>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</si>
  <si>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</si>
  <si>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</si>
  <si>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</si>
  <si>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</si>
  <si>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</si>
  <si>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</si>
  <si>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</si>
  <si>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</si>
  <si>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</si>
  <si>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</si>
  <si>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</si>
  <si>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</si>
  <si>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</si>
  <si>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</si>
  <si>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</si>
  <si>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</si>
  <si>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</si>
  <si>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</si>
  <si>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</si>
  <si>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</si>
  <si>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</si>
  <si>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</si>
  <si>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</si>
  <si>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</si>
  <si>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</si>
  <si>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</si>
  <si>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</si>
  <si>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</si>
  <si>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</si>
  <si>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</si>
  <si>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</si>
  <si>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</si>
  <si>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</si>
  <si>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</si>
  <si>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</si>
  <si>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</si>
  <si>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</si>
  <si>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</si>
  <si>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</si>
  <si>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</si>
  <si>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</si>
  <si>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</si>
  <si>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</si>
  <si>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</si>
  <si>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</si>
  <si>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</si>
  <si>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</si>
  <si>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</si>
  <si>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</si>
  <si>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</si>
  <si>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</si>
  <si>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</si>
  <si>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</si>
  <si>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</si>
  <si>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</si>
  <si>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</si>
  <si>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</si>
  <si>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</si>
  <si>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</si>
  <si>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</si>
  <si>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</si>
  <si>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</si>
  <si>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</si>
  <si>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</si>
  <si>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</si>
  <si>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</si>
  <si>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</si>
  <si>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</si>
  <si>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</si>
  <si>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</si>
  <si>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</si>
  <si>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</si>
  <si>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</si>
  <si>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</si>
  <si>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</si>
  <si>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</si>
  <si>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</si>
  <si>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</si>
  <si>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</si>
  <si>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</si>
  <si>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</si>
  <si>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</si>
  <si>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</si>
  <si>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</si>
  <si>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</si>
  <si>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</si>
  <si>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</si>
  <si>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</si>
  <si>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</si>
  <si>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</si>
  <si>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</si>
  <si>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</si>
  <si>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</si>
  <si>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</si>
  <si>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</si>
  <si>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</si>
  <si>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</si>
  <si>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</si>
  <si>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</si>
  <si>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</si>
  <si>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</si>
  <si>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</si>
  <si>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</si>
  <si>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</si>
  <si>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</si>
  <si>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</si>
  <si>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</si>
  <si>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</si>
  <si>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</si>
  <si>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</si>
  <si>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</si>
  <si>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</si>
  <si>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</si>
  <si>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</si>
  <si>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</si>
  <si>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</si>
  <si>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</si>
  <si>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</si>
  <si>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</si>
  <si>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</si>
  <si>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</si>
  <si>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</si>
  <si>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</si>
  <si>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</si>
  <si>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</si>
  <si>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</si>
  <si>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</si>
  <si>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</si>
  <si>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</si>
  <si>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</si>
  <si>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</si>
  <si>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</si>
  <si>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</si>
  <si>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</si>
  <si>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</si>
  <si>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</si>
  <si>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</si>
  <si>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</si>
  <si>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</si>
  <si>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</si>
  <si>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</si>
  <si>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</si>
  <si>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</si>
  <si>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</si>
  <si>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</si>
  <si>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</si>
  <si>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</si>
  <si>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</si>
  <si>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</si>
  <si>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</si>
  <si>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</si>
  <si>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</si>
  <si>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</si>
  <si>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</si>
  <si>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</si>
  <si>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</si>
  <si>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</si>
  <si>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</si>
  <si>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</si>
  <si>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</si>
  <si>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</si>
  <si>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</si>
  <si>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</si>
  <si>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</si>
  <si>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</si>
  <si>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</si>
  <si>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</si>
  <si>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</si>
  <si>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</si>
  <si>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</si>
  <si>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</si>
  <si>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</si>
  <si>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</si>
  <si>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</si>
  <si>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</si>
  <si>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</si>
  <si>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</si>
  <si>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</si>
  <si>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</si>
  <si>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</si>
  <si>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</si>
  <si>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</si>
  <si>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</si>
  <si>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</si>
  <si>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</si>
  <si>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</si>
  <si>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</si>
  <si>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</si>
  <si>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</si>
  <si>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</si>
  <si>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</si>
  <si>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</si>
  <si>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</si>
  <si>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</si>
  <si>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</si>
  <si>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</si>
  <si>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</si>
  <si>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</si>
  <si>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</si>
  <si>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</si>
  <si>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</si>
  <si>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</si>
  <si>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</si>
  <si>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</si>
  <si>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</si>
  <si>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</si>
  <si>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</si>
  <si>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</si>
  <si>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</si>
  <si>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</si>
  <si>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</si>
  <si>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</si>
  <si>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</si>
  <si>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</si>
  <si>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</si>
  <si>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</si>
  <si>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</si>
  <si>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</si>
  <si>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</si>
  <si>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</si>
  <si>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</si>
  <si>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</si>
  <si>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</si>
  <si>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</si>
  <si>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</si>
  <si>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</si>
  <si>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</si>
  <si>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</si>
  <si>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</si>
  <si>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</si>
  <si>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</si>
  <si>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</si>
  <si>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</si>
  <si>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</si>
  <si>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</si>
  <si>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</si>
  <si>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</si>
  <si>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</si>
  <si>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</si>
  <si>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</si>
  <si>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</si>
  <si>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</si>
  <si>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</si>
  <si>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</si>
  <si>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</si>
  <si>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</si>
  <si>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</si>
  <si>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</si>
  <si>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</si>
  <si>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</si>
  <si>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</si>
  <si>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</si>
  <si>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</si>
  <si>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</si>
  <si>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</si>
  <si>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</si>
  <si>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</si>
  <si>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</si>
  <si>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</si>
  <si>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</si>
  <si>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</si>
  <si>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</si>
  <si>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</si>
  <si>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</si>
  <si>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</si>
  <si>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</si>
  <si>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</si>
  <si>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</si>
  <si>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</si>
  <si>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</si>
  <si>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</si>
  <si>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</si>
  <si>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</si>
  <si>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</si>
  <si>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</si>
  <si>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</si>
  <si>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</si>
  <si>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</si>
  <si>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</si>
  <si>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</si>
  <si>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</si>
  <si>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</si>
  <si>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</si>
  <si>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</si>
  <si>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</si>
  <si>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</si>
  <si>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</si>
  <si>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</si>
  <si>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</si>
  <si>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</si>
  <si>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</si>
  <si>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</si>
  <si>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</si>
  <si>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</si>
  <si>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</si>
  <si>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</si>
  <si>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</si>
  <si>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</si>
  <si>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</si>
  <si>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</si>
  <si>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</si>
  <si>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</si>
  <si>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</si>
  <si>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</si>
  <si>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</si>
  <si>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</si>
  <si>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</si>
  <si>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</si>
  <si>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</si>
  <si>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</si>
  <si>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</si>
  <si>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</si>
  <si>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</si>
  <si>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</si>
  <si>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</si>
  <si>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</si>
  <si>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</si>
  <si>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</si>
  <si>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</si>
  <si>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</si>
  <si>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</si>
  <si>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</si>
  <si>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</si>
  <si>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</si>
  <si>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</si>
  <si>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</si>
  <si>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</si>
  <si>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</si>
  <si>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</si>
  <si>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</si>
  <si>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</si>
  <si>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</si>
  <si>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</si>
  <si>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</si>
  <si>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</si>
  <si>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</si>
  <si>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</si>
  <si>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</si>
  <si>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</si>
  <si>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</si>
  <si>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</si>
  <si>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</si>
  <si>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</si>
  <si>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</si>
  <si>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</si>
  <si>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</si>
  <si>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</si>
  <si>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</si>
  <si>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</si>
  <si>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</si>
  <si>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</si>
  <si>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</si>
  <si>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</si>
  <si>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</si>
  <si>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</si>
  <si>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</si>
  <si>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</si>
  <si>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</si>
  <si>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</si>
  <si>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</si>
  <si>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</si>
  <si>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</si>
  <si>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</si>
  <si>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</si>
  <si>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</si>
  <si>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</si>
  <si>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</si>
  <si>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</si>
  <si>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</si>
  <si>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</si>
  <si>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</si>
  <si>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</si>
  <si>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</si>
  <si>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</si>
  <si>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</si>
  <si>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</si>
  <si>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</si>
  <si>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</si>
  <si>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</si>
  <si>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</si>
  <si>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</si>
  <si>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</si>
  <si>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</si>
  <si>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</si>
  <si>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</si>
  <si>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</si>
  <si>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</si>
  <si>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</si>
  <si>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</si>
  <si>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</si>
  <si>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</si>
  <si>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</si>
  <si>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</si>
  <si>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</si>
  <si>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</si>
  <si>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</si>
  <si>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</si>
  <si>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</si>
  <si>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</si>
  <si>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</si>
  <si>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</si>
  <si>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</si>
  <si>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</si>
  <si>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</si>
  <si>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</si>
  <si>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</si>
  <si>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</si>
  <si>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</si>
  <si>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</si>
  <si>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</si>
  <si>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</si>
  <si>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</si>
  <si>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</si>
  <si>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</si>
  <si>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</si>
  <si>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</si>
  <si>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</si>
  <si>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</si>
  <si>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</si>
  <si>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</si>
  <si>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</si>
  <si>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</si>
  <si>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</si>
  <si>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</si>
  <si>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</si>
  <si>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</si>
  <si>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</si>
  <si>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</si>
  <si>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</si>
  <si>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</si>
  <si>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</si>
  <si>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</si>
  <si>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</si>
  <si>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</si>
  <si>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</si>
  <si>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</si>
  <si>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</si>
  <si>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</si>
  <si>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</si>
  <si>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</si>
  <si>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</si>
  <si>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</si>
  <si>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</si>
  <si>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</si>
  <si>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</si>
  <si>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</si>
  <si>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</si>
  <si>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</si>
  <si>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</si>
  <si>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</si>
  <si>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</si>
  <si>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</si>
  <si>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</si>
  <si>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</si>
  <si>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</si>
  <si>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</si>
  <si>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</si>
  <si>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</si>
  <si>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</si>
  <si>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</si>
  <si>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</si>
  <si>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</si>
  <si>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</si>
  <si>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</si>
  <si>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</si>
  <si>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</si>
  <si>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</si>
  <si>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</si>
  <si>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</si>
  <si>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</si>
  <si>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</si>
  <si>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</si>
  <si>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</si>
  <si>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</si>
  <si>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</si>
  <si>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</si>
  <si>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</si>
  <si>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</si>
  <si>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</si>
  <si>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</si>
  <si>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</si>
  <si>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</si>
  <si>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</si>
  <si>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</si>
  <si>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</si>
  <si>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</si>
  <si>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</si>
  <si>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</si>
  <si>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</si>
  <si>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</si>
  <si>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</si>
  <si>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</si>
  <si>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</si>
  <si>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</si>
  <si>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</si>
  <si>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</si>
  <si>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</si>
  <si>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</si>
  <si>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</si>
  <si>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</si>
  <si>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</si>
  <si>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</si>
  <si>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</si>
  <si>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</si>
  <si>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</si>
  <si>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</si>
  <si>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</si>
  <si>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</si>
  <si>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</si>
  <si>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</si>
  <si>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</si>
  <si>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</si>
  <si>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</si>
  <si>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</si>
  <si>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</si>
  <si>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</si>
  <si>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</si>
  <si>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</si>
  <si>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</si>
  <si>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</si>
  <si>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</si>
  <si>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</si>
  <si>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</si>
  <si>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</si>
  <si>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</si>
  <si>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</si>
  <si>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</si>
  <si>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</si>
  <si>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</si>
  <si>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</si>
  <si>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</si>
  <si>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</si>
  <si>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</si>
  <si>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</si>
  <si>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</si>
  <si>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</si>
  <si>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</si>
  <si>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</si>
  <si>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</si>
  <si>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</si>
  <si>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</si>
  <si>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</si>
  <si>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</si>
  <si>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</si>
  <si>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</si>
  <si>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</si>
  <si>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</si>
  <si>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</si>
  <si>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</si>
  <si>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</si>
  <si>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</si>
  <si>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</si>
  <si>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</si>
  <si>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</si>
  <si>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</si>
  <si>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</si>
  <si>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</si>
  <si>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</si>
  <si>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</si>
  <si>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</si>
  <si>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</si>
  <si>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</si>
  <si>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</si>
  <si>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</si>
  <si>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</si>
  <si>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</si>
  <si>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</si>
  <si>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</si>
  <si>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</si>
  <si>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</si>
  <si>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</si>
  <si>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</si>
  <si>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</si>
  <si>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</si>
  <si>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</si>
  <si>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</si>
  <si>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</si>
  <si>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</si>
  <si>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</si>
  <si>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</si>
  <si>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</si>
  <si>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</si>
  <si>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</si>
  <si>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</si>
  <si>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</si>
  <si>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</si>
  <si>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</si>
  <si>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</si>
  <si>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</si>
  <si>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</si>
  <si>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</si>
  <si>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</si>
  <si>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</si>
  <si>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</si>
  <si>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</si>
  <si>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</si>
  <si>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</si>
  <si>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</si>
  <si>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</si>
  <si>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</si>
  <si>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</si>
  <si>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</si>
  <si>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</si>
  <si>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</si>
  <si>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</si>
  <si>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</si>
  <si>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</si>
  <si>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</si>
  <si>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</si>
  <si>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</si>
  <si>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</si>
  <si>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</si>
  <si>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</si>
  <si>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</si>
  <si>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</si>
  <si>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</si>
  <si>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</si>
  <si>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</si>
  <si>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</si>
  <si>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</si>
  <si>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</si>
  <si>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</si>
  <si>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</si>
  <si>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</si>
  <si>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</si>
  <si>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</si>
  <si>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</si>
  <si>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</si>
  <si>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</si>
  <si>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</si>
  <si>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</si>
  <si>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</si>
  <si>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</si>
  <si>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</si>
  <si>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</si>
  <si>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</si>
  <si>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</si>
  <si>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</si>
  <si>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</si>
  <si>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</si>
  <si>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</si>
  <si>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</si>
  <si>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</si>
  <si>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</si>
  <si>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</si>
  <si>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</si>
  <si>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</si>
  <si>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</si>
  <si>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</si>
  <si>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</si>
  <si>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</si>
  <si>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</si>
  <si>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</si>
  <si>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</si>
  <si>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</si>
  <si>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</si>
  <si>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</si>
  <si>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</si>
  <si>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</si>
  <si>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</si>
  <si>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</si>
  <si>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</si>
  <si>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</si>
  <si>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</si>
  <si>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</si>
  <si>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</si>
  <si>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</si>
  <si>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</si>
  <si>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</si>
  <si>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</si>
  <si>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</si>
  <si>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</si>
  <si>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</si>
  <si>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</si>
  <si>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</si>
  <si>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</si>
  <si>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</si>
  <si>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</si>
  <si>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</si>
  <si>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</si>
  <si>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</si>
  <si>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</si>
  <si>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</si>
  <si>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</si>
  <si>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</si>
  <si>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</si>
  <si>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</si>
  <si>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</si>
  <si>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</si>
  <si>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</si>
  <si>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</si>
  <si>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</si>
  <si>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</si>
  <si>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</si>
  <si>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</si>
  <si>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</si>
  <si>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</si>
  <si>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</si>
  <si>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</si>
  <si>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</si>
  <si>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</si>
  <si>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</si>
  <si>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</si>
  <si>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</si>
  <si>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</si>
  <si>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</si>
  <si>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</si>
  <si>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</si>
  <si>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</si>
  <si>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</si>
  <si>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</si>
  <si>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</si>
  <si>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</si>
  <si>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</si>
  <si>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</si>
  <si>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</si>
  <si>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</si>
  <si>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</si>
  <si>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</si>
  <si>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</si>
  <si>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</si>
  <si>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</si>
  <si>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</si>
  <si>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</si>
  <si>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</si>
  <si>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</si>
  <si>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</si>
  <si>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</si>
  <si>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</si>
  <si>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</si>
  <si>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</si>
  <si>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</si>
  <si>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</si>
  <si>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</si>
  <si>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</si>
  <si>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</si>
  <si>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</si>
  <si>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</si>
  <si>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</si>
  <si>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</si>
  <si>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</si>
  <si>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</si>
  <si>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</si>
  <si>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</si>
  <si>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</si>
  <si>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</si>
  <si>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</si>
  <si>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</si>
  <si>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</si>
  <si>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</si>
  <si>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</si>
  <si>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</si>
  <si>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</si>
  <si>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</si>
  <si>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</si>
  <si>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</si>
  <si>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</si>
  <si>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</si>
  <si>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</si>
  <si>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</si>
  <si>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</si>
  <si>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</si>
  <si>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</si>
  <si>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</si>
  <si>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</si>
  <si>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</si>
  <si>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</si>
  <si>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</si>
  <si>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</si>
  <si>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</si>
  <si>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</si>
  <si>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</si>
  <si>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</si>
  <si>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</si>
  <si>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</si>
  <si>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</si>
  <si>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</si>
  <si>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</si>
  <si>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</si>
  <si>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</si>
  <si>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</si>
  <si>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</si>
  <si>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</si>
  <si>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</si>
  <si>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</si>
  <si>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</si>
  <si>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</si>
  <si>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</si>
  <si>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</si>
  <si>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</si>
  <si>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</si>
  <si>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</si>
  <si>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</si>
  <si>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</si>
  <si>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</si>
  <si>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</si>
  <si>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</si>
  <si>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</si>
  <si>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</si>
  <si>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</si>
  <si>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</si>
  <si>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</si>
  <si>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</si>
  <si>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</si>
  <si>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</si>
  <si>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</si>
  <si>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</si>
  <si>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</si>
  <si>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</si>
  <si>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</si>
  <si>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</si>
  <si>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</si>
  <si>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</si>
  <si>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</si>
  <si>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</si>
  <si>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</si>
  <si>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</si>
  <si>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</si>
  <si>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</si>
  <si>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</si>
  <si>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</si>
  <si>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</si>
  <si>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</si>
  <si>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</si>
  <si>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</si>
  <si>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</si>
  <si>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</si>
  <si>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</si>
  <si>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</si>
  <si>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</si>
  <si>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</si>
  <si>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correction for error in beginning interfund balances</t>
  </si>
  <si>
    <t>correction for beginning int. gov. receivables-overstated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</si>
</sst>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6" zoomScale="125" zoomScaleNormal="125"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1436</v>
      </c>
      <c r="B2" s="126">
        <f>INDEX('School Tables'!$AH$3:$AH$208,MATCH('DOE25'!A2,'School Tables'!$AJ$3:$AJ$208,0))</f>
        <v>515</v>
      </c>
      <c r="C2" s="126">
        <f>INDEX('School Tables'!$AI$3:$AI$208,MATCH('DOE25'!A2,'School Tables'!$AJ$3:$AJ$208,0))</f>
        <v>515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1339111.07+11.41</f>
        <v>1339122.48</v>
      </c>
      <c r="G9" s="18"/>
      <c r="H9" s="18">
        <v>0</v>
      </c>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954455.15</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137886.19</v>
      </c>
      <c r="G12" s="18">
        <v>31868.62</v>
      </c>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23268.13</v>
      </c>
      <c r="G13" s="18">
        <v>9045.9</v>
      </c>
      <c r="H13" s="18">
        <v>169754.81</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689.86</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1500966.66</v>
      </c>
      <c r="G19" s="41">
        <f>SUM(G9:G18)</f>
        <v>40914.519999999997</v>
      </c>
      <c r="H19" s="41">
        <f>SUM(H9:H18)</f>
        <v>169754.81</v>
      </c>
      <c r="I19" s="41">
        <f>SUM(I9:I18)</f>
        <v>0</v>
      </c>
      <c r="J19" s="41">
        <f>SUM(J9:J18)</f>
        <v>954455.15</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v>169754.81</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7732.86</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-1183.45</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6549.41</v>
      </c>
      <c r="G32" s="41">
        <f>SUM(G22:G31)</f>
        <v>0</v>
      </c>
      <c r="H32" s="41">
        <f>SUM(H22:H31)</f>
        <v>169754.81</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29063.69</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v>337897.7</v>
      </c>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425000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11850.83</v>
      </c>
      <c r="H48" s="18"/>
      <c r="I48" s="18"/>
      <c r="J48" s="13">
        <f>SUM(I460)</f>
        <v>954455.15</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631519.55000000005</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1494417.25</v>
      </c>
      <c r="G51" s="41">
        <f>SUM(G35:G50)</f>
        <v>40914.519999999997</v>
      </c>
      <c r="H51" s="41">
        <f>SUM(H35:H50)</f>
        <v>0</v>
      </c>
      <c r="I51" s="41">
        <f>SUM(I35:I50)</f>
        <v>0</v>
      </c>
      <c r="J51" s="41">
        <f>SUM(J35:J50)</f>
        <v>954455.15</v>
      </c>
      <c r="K51" s="45" t="s">
        <v>288</v>
      </c>
      <c r="L51" s="45" t="s">
        <v>288</v>
      </c>
      <c r="N51" s="263"/>
    </row>
    <row r="52" spans="1:14" s="3" customFormat="1" ht="12.2" customHeight="1" thickTop="1" x14ac:dyDescent="0.15">
      <c r="A52" s="38" t="s">
        <v>455</v>
      </c>
      <c r="B52" s="39" t="s">
        <v>289</v>
      </c>
      <c r="C52" s="6">
        <v>37</v>
      </c>
      <c r="D52" s="39" t="s">
        <v>653</v>
      </c>
      <c r="E52" s="39"/>
      <c r="F52" s="41">
        <f>F51+F32</f>
        <v>1500966.66</v>
      </c>
      <c r="G52" s="41">
        <f>G51+G32</f>
        <v>40914.519999999997</v>
      </c>
      <c r="H52" s="41">
        <f>H51+H32</f>
        <v>169754.81</v>
      </c>
      <c r="I52" s="41">
        <f>I51+I32</f>
        <v>0</v>
      </c>
      <c r="J52" s="41">
        <f>J51+J32</f>
        <v>954455.15</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8830535</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8830535</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f>36400</f>
        <v>36400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324138.3</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70154.84</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46329.57</v>
      </c>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477022.71</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1493.11</v>
      </c>
      <c r="G96" s="18"/>
      <c r="H96" s="18"/>
      <c r="I96" s="18"/>
      <c r="J96" s="18">
        <v>998.72</v>
      </c>
      <c r="K96" s="24" t="s">
        <v>288</v>
      </c>
      <c r="L96" s="24" t="s">
        <v>288</v>
      </c>
      <c r="M96" s="8"/>
      <c r="N96" s="265"/>
    </row>
    <row r="97" spans="1:14" s="3" customFormat="1" ht="12.2" customHeight="1" x14ac:dyDescent="0.15">
      <c r="A97" s="1" t="s">
        <v>503</v>
      </c>
      <c r="B97" s="2" t="s">
        <v>315</v>
      </c>
      <c r="C97" s="6">
        <v>12</v>
      </c>
      <c r="D97" s="2" t="s">
        <v>430</v>
      </c>
      <c r="E97" s="6">
        <v>1600</v>
      </c>
      <c r="F97" s="24" t="s">
        <v>288</v>
      </c>
      <c r="G97" s="18">
        <v>74081.429999999993</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v>935.59</v>
      </c>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574.78</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32812.129999999997</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34880.019999999997</v>
      </c>
      <c r="G111" s="41">
        <f>SUM(G96:G110)</f>
        <v>75017.01999999999</v>
      </c>
      <c r="H111" s="41">
        <f>SUM(H96:H110)</f>
        <v>0</v>
      </c>
      <c r="I111" s="41">
        <f>SUM(I96:I110)</f>
        <v>0</v>
      </c>
      <c r="J111" s="41">
        <f>SUM(J96:J110)</f>
        <v>998.72</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9342437.7300000004</v>
      </c>
      <c r="G112" s="41">
        <f>G60+G111</f>
        <v>75017.01999999999</v>
      </c>
      <c r="H112" s="41">
        <f>H60+H79+H94+H111</f>
        <v>0</v>
      </c>
      <c r="I112" s="41">
        <f>I60+I111</f>
        <v>0</v>
      </c>
      <c r="J112" s="41">
        <f>J60+J111</f>
        <v>998.72</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2688500</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2688500</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372178.39</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1153.2</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239.49</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373331.59</v>
      </c>
      <c r="G136" s="41">
        <f>SUM(G123:G135)</f>
        <v>239.49</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3061831.59</v>
      </c>
      <c r="G140" s="41">
        <f>G121+SUM(G136:G137)</f>
        <v>239.49</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v>11850.83</v>
      </c>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11850.83</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49242.7</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3585.86+10000+12674.66+1890</f>
        <v>28150.52</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35147</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34413.61+14423.05</f>
        <v>48836.66</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32976.75+8001.94+96694.13</f>
        <v>137672.82</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16291.25</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76243.96+32632.75+5192.75</f>
        <v>114069.46</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16291.25</v>
      </c>
      <c r="G163" s="41">
        <f>SUM(G150:G162)</f>
        <v>48836.66</v>
      </c>
      <c r="H163" s="41">
        <f>SUM(H150:H162)</f>
        <v>364282.5</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16291.25</v>
      </c>
      <c r="G170" s="41">
        <f>G147+G163+SUM(G164:G169)</f>
        <v>60687.490000000005</v>
      </c>
      <c r="H170" s="41">
        <f>H147+H163+SUM(H164:H169)</f>
        <v>364282.5</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12420560.57</v>
      </c>
      <c r="G194" s="47">
        <f>G112+G140+G170+G193</f>
        <v>135944</v>
      </c>
      <c r="H194" s="47">
        <f>H112+H140+H170+H193</f>
        <v>364282.5</v>
      </c>
      <c r="I194" s="47">
        <f>I112+I140+I170+I193</f>
        <v>0</v>
      </c>
      <c r="J194" s="47">
        <f>J112+J140+J193</f>
        <v>998.72</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(51549.77/3)+1240852.77+41779.28</f>
        <v>1299815.3066666666</v>
      </c>
      <c r="G198" s="18">
        <f>522812-20+0.02</f>
        <v>522792.02</v>
      </c>
      <c r="H198" s="18">
        <v>5374.79</v>
      </c>
      <c r="I198" s="18">
        <f>32319.9+9440.33</f>
        <v>41760.230000000003</v>
      </c>
      <c r="J198" s="18">
        <v>4085.01</v>
      </c>
      <c r="K198" s="18"/>
      <c r="L198" s="19">
        <f>SUM(F198:K198)</f>
        <v>1873827.3566666667</v>
      </c>
      <c r="M198" s="8"/>
      <c r="N198" s="265"/>
    </row>
    <row r="199" spans="1:14" s="3" customFormat="1" ht="12.2" customHeight="1" x14ac:dyDescent="0.15">
      <c r="A199" s="1" t="s">
        <v>439</v>
      </c>
      <c r="B199" s="2" t="s">
        <v>341</v>
      </c>
      <c r="C199" s="2" t="s">
        <v>291</v>
      </c>
      <c r="D199" s="2" t="s">
        <v>431</v>
      </c>
      <c r="E199" s="6">
        <v>1200</v>
      </c>
      <c r="F199" s="18">
        <f>(101825+42424.69)/3+156434.89+95041.98</f>
        <v>299560.10000000003</v>
      </c>
      <c r="G199" s="18">
        <v>134650</v>
      </c>
      <c r="H199" s="18">
        <f>533647.23/3</f>
        <v>177882.41</v>
      </c>
      <c r="I199" s="18">
        <f>(789.78+436.17)+(7488.37/3)</f>
        <v>3722.0733333333337</v>
      </c>
      <c r="J199" s="18">
        <v>623.15</v>
      </c>
      <c r="K199" s="18">
        <f>0.333333*5006.08</f>
        <v>1668.69166464</v>
      </c>
      <c r="L199" s="19">
        <f>SUM(F199:K199)</f>
        <v>618106.42499797337</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f>1147.26+11259.5</f>
        <v>12406.76</v>
      </c>
      <c r="G201" s="18">
        <v>25623</v>
      </c>
      <c r="H201" s="18">
        <v>1220</v>
      </c>
      <c r="I201" s="18">
        <v>1117.73</v>
      </c>
      <c r="J201" s="18"/>
      <c r="K201" s="18"/>
      <c r="L201" s="19">
        <f>SUM(F201:K201)</f>
        <v>40367.490000000005</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(67099+74708+116874+120203.5)/3+64543+52775.5</f>
        <v>243613.33333333331</v>
      </c>
      <c r="G203" s="18">
        <v>135679</v>
      </c>
      <c r="H203" s="18">
        <f>(150)</f>
        <v>150</v>
      </c>
      <c r="I203" s="18">
        <f>(456.89)+(1646.87+317.25+925.09)/3</f>
        <v>1419.96</v>
      </c>
      <c r="J203" s="18"/>
      <c r="K203" s="18"/>
      <c r="L203" s="19">
        <f t="shared" ref="L203:L209" si="0">SUM(F203:K203)</f>
        <v>380862.29333333333</v>
      </c>
      <c r="M203" s="8"/>
      <c r="N203" s="265"/>
    </row>
    <row r="204" spans="1:14" s="3" customFormat="1" ht="12.2" customHeight="1" x14ac:dyDescent="0.15">
      <c r="A204" s="1" t="s">
        <v>443</v>
      </c>
      <c r="B204" s="2" t="s">
        <v>341</v>
      </c>
      <c r="C204" s="2" t="s">
        <v>295</v>
      </c>
      <c r="D204" s="2" t="s">
        <v>431</v>
      </c>
      <c r="E204" s="6">
        <v>2200</v>
      </c>
      <c r="F204" s="18">
        <f>(128689.97/3)+84856</f>
        <v>127752.65666666668</v>
      </c>
      <c r="G204" s="18">
        <v>72959</v>
      </c>
      <c r="H204" s="18">
        <f>(608.75)+250</f>
        <v>858.75</v>
      </c>
      <c r="I204" s="18">
        <f>(328.52+2369.85+1628.06+7478)+((52894.77-1505)/3)+2130</f>
        <v>31064.353333333333</v>
      </c>
      <c r="J204" s="18">
        <f>(45216.26/3)+45706.98</f>
        <v>60779.066666666673</v>
      </c>
      <c r="K204" s="18"/>
      <c r="L204" s="19">
        <f t="shared" si="0"/>
        <v>293413.82666666666</v>
      </c>
      <c r="M204" s="8"/>
      <c r="N204" s="265"/>
    </row>
    <row r="205" spans="1:14" s="3" customFormat="1" ht="12.2" customHeight="1" x14ac:dyDescent="0.15">
      <c r="A205" s="1" t="s">
        <v>444</v>
      </c>
      <c r="B205" s="2" t="s">
        <v>341</v>
      </c>
      <c r="C205" s="2" t="s">
        <v>296</v>
      </c>
      <c r="D205" s="2" t="s">
        <v>431</v>
      </c>
      <c r="E205" s="6">
        <v>2300</v>
      </c>
      <c r="F205" s="18">
        <f>(9700+311278.35)/3</f>
        <v>106992.78333333333</v>
      </c>
      <c r="G205" s="18">
        <v>55393</v>
      </c>
      <c r="H205" s="18">
        <f>(43923.75+24530.82)/3</f>
        <v>22818.190000000002</v>
      </c>
      <c r="I205" s="18">
        <f>(8328.62+39600.07)/3</f>
        <v>15976.230000000001</v>
      </c>
      <c r="J205" s="18"/>
      <c r="K205" s="18">
        <f>(4356.22+3964)/3</f>
        <v>2773.4066666666672</v>
      </c>
      <c r="L205" s="19">
        <f t="shared" si="0"/>
        <v>203953.61000000002</v>
      </c>
      <c r="M205" s="8"/>
      <c r="N205" s="265"/>
    </row>
    <row r="206" spans="1:14" s="3" customFormat="1" ht="12.2" customHeight="1" x14ac:dyDescent="0.15">
      <c r="A206" s="1" t="s">
        <v>445</v>
      </c>
      <c r="B206" s="2" t="s">
        <v>341</v>
      </c>
      <c r="C206" s="2" t="s">
        <v>297</v>
      </c>
      <c r="D206" s="2" t="s">
        <v>431</v>
      </c>
      <c r="E206" s="6">
        <v>2400</v>
      </c>
      <c r="F206" s="18">
        <f>102524.3+34123.14</f>
        <v>136647.44</v>
      </c>
      <c r="G206" s="18">
        <v>65038</v>
      </c>
      <c r="H206" s="18">
        <f>154+93.05</f>
        <v>247.05</v>
      </c>
      <c r="I206" s="18">
        <v>386.74</v>
      </c>
      <c r="J206" s="18"/>
      <c r="K206" s="18">
        <v>884</v>
      </c>
      <c r="L206" s="19">
        <f t="shared" si="0"/>
        <v>203203.22999999998</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f>(61500+38337.49)/3+(47956.11)</f>
        <v>81235.273333333331</v>
      </c>
      <c r="G208" s="18">
        <v>54297</v>
      </c>
      <c r="H208" s="18">
        <f>(2663+1195.8+16281.33+41423.57+28280.1)/3+(4000+6237.2+3826.77+23376.67+14608.63)+8648+40</f>
        <v>90685.203333333324</v>
      </c>
      <c r="I208" s="18">
        <f>(29274.92+24762.64+2538.85+18078.66)+(2908.75+5732.333+1599.68+14056.29+4692.3)/3-30</f>
        <v>84288.187666666665</v>
      </c>
      <c r="J208" s="18"/>
      <c r="K208" s="18"/>
      <c r="L208" s="19">
        <f t="shared" si="0"/>
        <v>310505.66433333326</v>
      </c>
      <c r="M208" s="8"/>
      <c r="N208" s="265"/>
    </row>
    <row r="209" spans="1:14" s="3" customFormat="1" ht="12.2" customHeight="1" x14ac:dyDescent="0.15">
      <c r="A209" s="1" t="s">
        <v>448</v>
      </c>
      <c r="B209" s="2" t="s">
        <v>341</v>
      </c>
      <c r="C209" s="2" t="s">
        <v>300</v>
      </c>
      <c r="D209" s="2" t="s">
        <v>431</v>
      </c>
      <c r="E209" s="6">
        <v>2700</v>
      </c>
      <c r="F209" s="18">
        <f>(4877.46+127196.28+84155.66)/3+(1177.55)</f>
        <v>73254.016666666663</v>
      </c>
      <c r="G209" s="18">
        <v>43561</v>
      </c>
      <c r="H209" s="18">
        <f>33185.75/3+3194</f>
        <v>14255.916666666666</v>
      </c>
      <c r="I209" s="18">
        <f>(34946.27)/3</f>
        <v>11648.756666666666</v>
      </c>
      <c r="J209" s="18">
        <f>108872.17/3</f>
        <v>36290.723333333335</v>
      </c>
      <c r="K209" s="18">
        <v>206.33</v>
      </c>
      <c r="L209" s="19">
        <f t="shared" si="0"/>
        <v>179216.74333333332</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2381277.67</v>
      </c>
      <c r="G212" s="41">
        <f t="shared" si="1"/>
        <v>1109992.02</v>
      </c>
      <c r="H212" s="41">
        <f t="shared" si="1"/>
        <v>313492.31</v>
      </c>
      <c r="I212" s="41">
        <f t="shared" si="1"/>
        <v>191384.261</v>
      </c>
      <c r="J212" s="41">
        <f t="shared" si="1"/>
        <v>101777.95000000001</v>
      </c>
      <c r="K212" s="41">
        <f t="shared" si="1"/>
        <v>5532.4283313066671</v>
      </c>
      <c r="L212" s="41">
        <f t="shared" si="1"/>
        <v>4103456.6393313068</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f>(51549.77/3)+(1633064.47+62219.57)*0.4</f>
        <v>695296.87266666675</v>
      </c>
      <c r="G216" s="18">
        <v>522792</v>
      </c>
      <c r="H216" s="18">
        <f>12404.82*0.4</f>
        <v>4961.9279999999999</v>
      </c>
      <c r="I216" s="18">
        <f>(43820.12+2428.84+10067.2)*0.4</f>
        <v>22526.464000000004</v>
      </c>
      <c r="J216" s="18">
        <f>18444.6*0.4</f>
        <v>7377.84</v>
      </c>
      <c r="K216" s="18"/>
      <c r="L216" s="19">
        <f>SUM(F216:K216)</f>
        <v>1252955.1046666668</v>
      </c>
      <c r="M216" s="8"/>
      <c r="N216" s="265"/>
    </row>
    <row r="217" spans="1:14" s="3" customFormat="1" ht="12.2" customHeight="1" x14ac:dyDescent="0.15">
      <c r="A217" s="1" t="s">
        <v>439</v>
      </c>
      <c r="B217" s="2" t="s">
        <v>346</v>
      </c>
      <c r="C217" s="2" t="s">
        <v>291</v>
      </c>
      <c r="D217" s="2" t="s">
        <v>431</v>
      </c>
      <c r="E217" s="6">
        <v>1200</v>
      </c>
      <c r="F217" s="18">
        <f>(101825+42424.69)/3+(291543.86+92967.48)*0.4</f>
        <v>201887.766</v>
      </c>
      <c r="G217" s="18">
        <v>134650</v>
      </c>
      <c r="H217" s="18">
        <f>533647.23/3</f>
        <v>177882.41</v>
      </c>
      <c r="I217" s="18">
        <f>(1580.98+594.39)*0.4+(7488.37/3)</f>
        <v>3366.2713333333336</v>
      </c>
      <c r="J217" s="18">
        <f>446.43*0.4</f>
        <v>178.572</v>
      </c>
      <c r="K217" s="18">
        <f>0.333333*5006.08</f>
        <v>1668.69166464</v>
      </c>
      <c r="L217" s="19">
        <f>SUM(F217:K217)</f>
        <v>519633.71099797328</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f>(42613.71+81048.98+12406.2)*0.4</f>
        <v>54427.556000000011</v>
      </c>
      <c r="G219" s="18">
        <v>25623</v>
      </c>
      <c r="H219" s="18">
        <f>25134.45*0.4</f>
        <v>10053.780000000001</v>
      </c>
      <c r="I219" s="18">
        <f>(31436.29+17108.86)*0.4</f>
        <v>19418.060000000001</v>
      </c>
      <c r="J219" s="18"/>
      <c r="K219" s="18">
        <f>5520*0.4</f>
        <v>2208</v>
      </c>
      <c r="L219" s="19">
        <f>SUM(F219:K219)</f>
        <v>111730.39600000001</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f>(67099+74708+116874+120203.5)/3+(184082+46267+59648.62)*0.4</f>
        <v>242293.88133333332</v>
      </c>
      <c r="G221" s="18">
        <v>135679</v>
      </c>
      <c r="H221" s="18">
        <f>(8988+150)*0.4+(7400/3)</f>
        <v>6121.8666666666668</v>
      </c>
      <c r="I221" s="18">
        <f>(5772.27+1133.8)*0.4+(1646.87+317.25+925.09)/3</f>
        <v>3725.4980000000005</v>
      </c>
      <c r="J221" s="18"/>
      <c r="K221" s="18"/>
      <c r="L221" s="19">
        <f t="shared" ref="L221:L227" si="2">SUM(F221:K221)</f>
        <v>387820.24599999998</v>
      </c>
      <c r="M221" s="8"/>
      <c r="N221" s="265"/>
    </row>
    <row r="222" spans="1:14" s="3" customFormat="1" ht="12.2" customHeight="1" x14ac:dyDescent="0.15">
      <c r="A222" s="1" t="s">
        <v>443</v>
      </c>
      <c r="B222" s="2" t="s">
        <v>346</v>
      </c>
      <c r="C222" s="2" t="s">
        <v>295</v>
      </c>
      <c r="D222" s="2" t="s">
        <v>431</v>
      </c>
      <c r="E222" s="6">
        <v>2200</v>
      </c>
      <c r="F222" s="18">
        <f>(128689.97/3)+(89445.5+27852.66+91802.57)*0.4</f>
        <v>126536.94866666669</v>
      </c>
      <c r="G222" s="18">
        <v>72959</v>
      </c>
      <c r="H222" s="18">
        <f>(5059+3744.57+979.15)*0.4+(9930.13+10609.5+49896.48)/3</f>
        <v>27391.791333333334</v>
      </c>
      <c r="I222" s="18">
        <f>(696.24+4185.02+4498.98+602.09+18891.48)*0.4+((52894.77-1505)/3)</f>
        <v>28679.44733333333</v>
      </c>
      <c r="J222" s="18">
        <f>(45216.26/3)+(56557.64+1620.57)*0.4+20000</f>
        <v>58343.370666666669</v>
      </c>
      <c r="K222" s="18"/>
      <c r="L222" s="19">
        <f t="shared" si="2"/>
        <v>313910.55800000002</v>
      </c>
      <c r="M222" s="8"/>
      <c r="N222" s="265"/>
    </row>
    <row r="223" spans="1:14" s="3" customFormat="1" ht="12.2" customHeight="1" x14ac:dyDescent="0.15">
      <c r="A223" s="1" t="s">
        <v>444</v>
      </c>
      <c r="B223" s="2" t="s">
        <v>346</v>
      </c>
      <c r="C223" s="2" t="s">
        <v>296</v>
      </c>
      <c r="D223" s="2" t="s">
        <v>431</v>
      </c>
      <c r="E223" s="6">
        <v>2300</v>
      </c>
      <c r="F223" s="18">
        <f>(9700+311278.35)/3</f>
        <v>106992.78333333333</v>
      </c>
      <c r="G223" s="18">
        <v>55393</v>
      </c>
      <c r="H223" s="18">
        <f>(43923.75+24530.82)/3</f>
        <v>22818.190000000002</v>
      </c>
      <c r="I223" s="18">
        <f>(8328.62+39600.07)/3</f>
        <v>15976.230000000001</v>
      </c>
      <c r="J223" s="18"/>
      <c r="K223" s="18">
        <f>(4356.22+3964)/3</f>
        <v>2773.4066666666672</v>
      </c>
      <c r="L223" s="19">
        <f t="shared" si="2"/>
        <v>203953.61000000002</v>
      </c>
      <c r="M223" s="8"/>
      <c r="N223" s="265"/>
    </row>
    <row r="224" spans="1:14" s="3" customFormat="1" ht="12.2" customHeight="1" x14ac:dyDescent="0.15">
      <c r="A224" s="1" t="s">
        <v>445</v>
      </c>
      <c r="B224" s="2" t="s">
        <v>346</v>
      </c>
      <c r="C224" s="2" t="s">
        <v>297</v>
      </c>
      <c r="D224" s="2" t="s">
        <v>431</v>
      </c>
      <c r="E224" s="6">
        <v>2400</v>
      </c>
      <c r="F224" s="18">
        <f>(174186.54+66032.67)*0.4</f>
        <v>96087.684000000008</v>
      </c>
      <c r="G224" s="18">
        <v>65038</v>
      </c>
      <c r="H224" s="18">
        <f>(1961.48+4068.89+2578.43)*0.4</f>
        <v>3443.52</v>
      </c>
      <c r="I224" s="18">
        <f>11978.12*0.4</f>
        <v>4791.2480000000005</v>
      </c>
      <c r="J224" s="18"/>
      <c r="K224" s="18">
        <f>9188*0.4</f>
        <v>3675.2000000000003</v>
      </c>
      <c r="L224" s="19">
        <f t="shared" si="2"/>
        <v>173035.652</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f>(61500+38337.49)/3+(166832.96)*0.4</f>
        <v>100012.34733333332</v>
      </c>
      <c r="G226" s="18">
        <v>54297</v>
      </c>
      <c r="H226" s="18">
        <f>(2663+1195.8+16281.33+41423.57+28280.1)/3+(19064.08+3300+21847.76+61048.79+60186.96+2050)*0.4+8648</f>
        <v>105594.96933333334</v>
      </c>
      <c r="I226" s="18">
        <f>(65878.22+85783.25+2206.91+86666.48)*0.4+(2908.75+5732.33+1599.68+14056.29+4692.3)/3-50</f>
        <v>105827.06066666667</v>
      </c>
      <c r="J226" s="18">
        <f>5377.63*0.4</f>
        <v>2151.0520000000001</v>
      </c>
      <c r="K226" s="18"/>
      <c r="L226" s="19">
        <f t="shared" si="2"/>
        <v>367882.42933333339</v>
      </c>
      <c r="M226" s="8"/>
      <c r="N226" s="265"/>
    </row>
    <row r="227" spans="1:14" s="3" customFormat="1" ht="12.2" customHeight="1" x14ac:dyDescent="0.15">
      <c r="A227" s="1" t="s">
        <v>448</v>
      </c>
      <c r="B227" s="2" t="s">
        <v>346</v>
      </c>
      <c r="C227" s="2" t="s">
        <v>300</v>
      </c>
      <c r="D227" s="2" t="s">
        <v>431</v>
      </c>
      <c r="E227" s="6">
        <v>2700</v>
      </c>
      <c r="F227" s="18">
        <f>(4877.46+127196.28+84155.66)/3+(12578.72+19589.04+2844.83)*0.4-(0.4)</f>
        <v>86081.102666666673</v>
      </c>
      <c r="G227" s="18">
        <v>43561</v>
      </c>
      <c r="H227" s="18">
        <f>33185.75/3</f>
        <v>11061.916666666666</v>
      </c>
      <c r="I227" s="18">
        <f>(34946.27)/3</f>
        <v>11648.756666666666</v>
      </c>
      <c r="J227" s="18">
        <f>108872.17/3</f>
        <v>36290.723333333335</v>
      </c>
      <c r="K227" s="18">
        <f>619/3</f>
        <v>206.33333333333334</v>
      </c>
      <c r="L227" s="19">
        <f t="shared" si="2"/>
        <v>188849.83266666665</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1709616.942</v>
      </c>
      <c r="G230" s="41">
        <f>SUM(G216:G229)</f>
        <v>1109992</v>
      </c>
      <c r="H230" s="41">
        <f>SUM(H216:H229)</f>
        <v>369330.37200000003</v>
      </c>
      <c r="I230" s="41">
        <f>SUM(I216:I229)</f>
        <v>215959.03600000002</v>
      </c>
      <c r="J230" s="41">
        <f>SUM(J216:J229)</f>
        <v>104341.55799999999</v>
      </c>
      <c r="K230" s="41">
        <f t="shared" si="3"/>
        <v>10531.631664640001</v>
      </c>
      <c r="L230" s="41">
        <f t="shared" si="3"/>
        <v>3519771.5396646401</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f>(51549.77/3)+(1633064.47+62219.57)*0.6</f>
        <v>1034353.6806666667</v>
      </c>
      <c r="G234" s="18">
        <f>538655-1</f>
        <v>538654</v>
      </c>
      <c r="H234" s="18">
        <f>12404.82*0.6+165.87</f>
        <v>7608.7619999999997</v>
      </c>
      <c r="I234" s="18">
        <f>(43820.12+2428.84+10067.2)*0.6+75.75</f>
        <v>33865.446000000004</v>
      </c>
      <c r="J234" s="18">
        <f>18444.6*0.6</f>
        <v>11066.759999999998</v>
      </c>
      <c r="K234" s="18"/>
      <c r="L234" s="19">
        <f>SUM(F234:K234)</f>
        <v>1625548.6486666668</v>
      </c>
      <c r="M234" s="8"/>
      <c r="N234" s="265"/>
    </row>
    <row r="235" spans="1:14" s="3" customFormat="1" ht="12.2" customHeight="1" x14ac:dyDescent="0.15">
      <c r="A235" s="1" t="s">
        <v>439</v>
      </c>
      <c r="B235" s="2" t="s">
        <v>350</v>
      </c>
      <c r="C235" s="2" t="s">
        <v>291</v>
      </c>
      <c r="D235" s="2" t="s">
        <v>431</v>
      </c>
      <c r="E235" s="6">
        <v>1200</v>
      </c>
      <c r="F235" s="18">
        <f>(101825+42424.69)/3+(291543.86+92967.48)*0.6</f>
        <v>278790.03399999999</v>
      </c>
      <c r="G235" s="18">
        <v>138730</v>
      </c>
      <c r="H235" s="18">
        <f>533647.23/3</f>
        <v>177882.41</v>
      </c>
      <c r="I235" s="18">
        <f>(1580.98+594.39)*0.6+(7488.37/3)</f>
        <v>3801.3453333333337</v>
      </c>
      <c r="J235" s="18">
        <f>446.43*0.6</f>
        <v>267.858</v>
      </c>
      <c r="K235" s="18">
        <f>0.333333*5006.08+0.01</f>
        <v>1668.70166464</v>
      </c>
      <c r="L235" s="19">
        <f>SUM(F235:K235)</f>
        <v>601140.34899797337</v>
      </c>
      <c r="M235" s="8"/>
      <c r="N235" s="265"/>
    </row>
    <row r="236" spans="1:14" s="3" customFormat="1" ht="12.2" customHeight="1" x14ac:dyDescent="0.15">
      <c r="A236" s="1" t="s">
        <v>440</v>
      </c>
      <c r="B236" s="2" t="s">
        <v>350</v>
      </c>
      <c r="C236" s="2" t="s">
        <v>292</v>
      </c>
      <c r="D236" s="2" t="s">
        <v>431</v>
      </c>
      <c r="E236" s="6">
        <v>1300</v>
      </c>
      <c r="F236" s="18"/>
      <c r="G236" s="18"/>
      <c r="H236" s="18">
        <v>16496.87</v>
      </c>
      <c r="I236" s="18"/>
      <c r="J236" s="18"/>
      <c r="K236" s="18"/>
      <c r="L236" s="19">
        <f>SUM(F236:K236)</f>
        <v>16496.87</v>
      </c>
      <c r="M236" s="8"/>
      <c r="N236" s="265"/>
    </row>
    <row r="237" spans="1:14" s="3" customFormat="1" ht="12.2" customHeight="1" x14ac:dyDescent="0.15">
      <c r="A237" s="1" t="s">
        <v>441</v>
      </c>
      <c r="B237" s="2" t="s">
        <v>350</v>
      </c>
      <c r="C237" s="2" t="s">
        <v>293</v>
      </c>
      <c r="D237" s="2" t="s">
        <v>431</v>
      </c>
      <c r="E237" s="6">
        <v>1400</v>
      </c>
      <c r="F237" s="18">
        <f>(42613.71+81048.98+12406.2)*0.6</f>
        <v>81641.334000000003</v>
      </c>
      <c r="G237" s="18">
        <v>26400</v>
      </c>
      <c r="H237" s="18">
        <f>25134.45*0.6</f>
        <v>15080.67</v>
      </c>
      <c r="I237" s="18">
        <f>(31436.29+17108.86)*0.6+4560</f>
        <v>33687.089999999997</v>
      </c>
      <c r="J237" s="18"/>
      <c r="K237" s="18">
        <f>5520*0.6</f>
        <v>3312</v>
      </c>
      <c r="L237" s="19">
        <f>SUM(F237:K237)</f>
        <v>160121.09399999998</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f>(67099+74708+116874+120203.5)/3+(184082+46267+59648.62)*0.6</f>
        <v>300293.4053333333</v>
      </c>
      <c r="G239" s="18">
        <v>139791</v>
      </c>
      <c r="H239" s="18">
        <f>(8988+150)*0.6+(7400/3)</f>
        <v>7949.4666666666672</v>
      </c>
      <c r="I239" s="18">
        <f>(5772.27+1133.8)*0.6+(1646.87+317.25+925.09)/3</f>
        <v>5106.7119999999995</v>
      </c>
      <c r="J239" s="18"/>
      <c r="K239" s="18"/>
      <c r="L239" s="19">
        <f t="shared" ref="L239:L245" si="4">SUM(F239:K239)</f>
        <v>453140.58399999997</v>
      </c>
      <c r="M239" s="8"/>
      <c r="N239" s="265"/>
    </row>
    <row r="240" spans="1:14" s="3" customFormat="1" ht="12.2" customHeight="1" x14ac:dyDescent="0.15">
      <c r="A240" s="1" t="s">
        <v>443</v>
      </c>
      <c r="B240" s="2" t="s">
        <v>350</v>
      </c>
      <c r="C240" s="2" t="s">
        <v>295</v>
      </c>
      <c r="D240" s="2" t="s">
        <v>431</v>
      </c>
      <c r="E240" s="6">
        <v>2200</v>
      </c>
      <c r="F240" s="18">
        <f>(128689.97/3)+(89445.5+27852.66+91802.57)*0.6</f>
        <v>168357.09466666667</v>
      </c>
      <c r="G240" s="18">
        <v>75149</v>
      </c>
      <c r="H240" s="18">
        <f>(5059+3744.57+979.15)*0.6+(9930.13+10609.5+49896.48)/3</f>
        <v>29348.335333333336</v>
      </c>
      <c r="I240" s="18">
        <f>(696.24+4185.02+4498.98+602.09+18891.48)*0.6+((52894.77-1505)/3)</f>
        <v>34454.209333333332</v>
      </c>
      <c r="J240" s="18">
        <f>(45216.26/3)+(56557.64+1620.57)*0.6</f>
        <v>49979.012666666669</v>
      </c>
      <c r="K240" s="18"/>
      <c r="L240" s="19">
        <f t="shared" si="4"/>
        <v>357287.652</v>
      </c>
      <c r="M240" s="8"/>
      <c r="N240" s="265"/>
    </row>
    <row r="241" spans="1:14" s="3" customFormat="1" ht="12.2" customHeight="1" x14ac:dyDescent="0.15">
      <c r="A241" s="1" t="s">
        <v>444</v>
      </c>
      <c r="B241" s="2" t="s">
        <v>350</v>
      </c>
      <c r="C241" s="2" t="s">
        <v>296</v>
      </c>
      <c r="D241" s="2" t="s">
        <v>431</v>
      </c>
      <c r="E241" s="6">
        <v>2300</v>
      </c>
      <c r="F241" s="18">
        <f>(9700+311278.35)/3+0.01</f>
        <v>106992.79333333332</v>
      </c>
      <c r="G241" s="18">
        <v>57072</v>
      </c>
      <c r="H241" s="18">
        <f>(43923.75+24530.82)/3</f>
        <v>22818.190000000002</v>
      </c>
      <c r="I241" s="18">
        <f>(8328.62+39600.07)/3</f>
        <v>15976.230000000001</v>
      </c>
      <c r="J241" s="18"/>
      <c r="K241" s="18">
        <f>(4356.22+3964)/3-(0.01)</f>
        <v>2773.396666666667</v>
      </c>
      <c r="L241" s="19">
        <f t="shared" si="4"/>
        <v>205632.61000000002</v>
      </c>
      <c r="M241" s="8"/>
      <c r="N241" s="265"/>
    </row>
    <row r="242" spans="1:14" s="3" customFormat="1" ht="12.2" customHeight="1" x14ac:dyDescent="0.15">
      <c r="A242" s="1" t="s">
        <v>445</v>
      </c>
      <c r="B242" s="2" t="s">
        <v>350</v>
      </c>
      <c r="C242" s="2" t="s">
        <v>297</v>
      </c>
      <c r="D242" s="2" t="s">
        <v>431</v>
      </c>
      <c r="E242" s="6">
        <v>2400</v>
      </c>
      <c r="F242" s="18">
        <f>(174186.54+66032.67)*0.6</f>
        <v>144131.52600000001</v>
      </c>
      <c r="G242" s="18">
        <v>67009</v>
      </c>
      <c r="H242" s="18">
        <f>(1961.48+4068.89+2578.43)*0.6</f>
        <v>5165.28</v>
      </c>
      <c r="I242" s="18">
        <f>11978.12*0.6</f>
        <v>7186.8720000000003</v>
      </c>
      <c r="J242" s="18"/>
      <c r="K242" s="18">
        <f>9188*0.6</f>
        <v>5512.8</v>
      </c>
      <c r="L242" s="19">
        <f t="shared" si="4"/>
        <v>229005.478</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f>(61500+38337.49)/3+(166832.96)*0.6</f>
        <v>133378.93933333334</v>
      </c>
      <c r="G244" s="18">
        <v>55942</v>
      </c>
      <c r="H244" s="18">
        <f>(2663+1195.8+16281.33+41423.57+28280.1)/3+(19064.08+3300+21847.76+61048.79+60186.96+2050)*0.6+8649.55+18313.83</f>
        <v>157409.8673333333</v>
      </c>
      <c r="I244" s="18">
        <f>(65878.22+85783.25+2206.91+86666.48)*0.6+(2908.75+5732.33+1599.68+14056.29+4692.3)/3-100+5398+12920+7894.32</f>
        <v>180096.35266666667</v>
      </c>
      <c r="J244" s="18">
        <f>5377.63*0.6</f>
        <v>3226.578</v>
      </c>
      <c r="K244" s="18"/>
      <c r="L244" s="19">
        <f t="shared" si="4"/>
        <v>530053.73733333335</v>
      </c>
      <c r="M244" s="8"/>
      <c r="N244" s="265"/>
    </row>
    <row r="245" spans="1:14" s="3" customFormat="1" ht="12.2" customHeight="1" x14ac:dyDescent="0.15">
      <c r="A245" s="1" t="s">
        <v>448</v>
      </c>
      <c r="B245" s="2" t="s">
        <v>350</v>
      </c>
      <c r="C245" s="2" t="s">
        <v>300</v>
      </c>
      <c r="D245" s="2" t="s">
        <v>431</v>
      </c>
      <c r="E245" s="6">
        <v>2700</v>
      </c>
      <c r="F245" s="18">
        <f>(4877.46+127196.28+84155.66)/3+(12578.72+19589.04+2844.83)*0.6+(0.39)</f>
        <v>93084.410666666663</v>
      </c>
      <c r="G245" s="18">
        <v>44881</v>
      </c>
      <c r="H245" s="18">
        <f>33185.75/3</f>
        <v>11061.916666666666</v>
      </c>
      <c r="I245" s="18">
        <f>(34946.27)/3</f>
        <v>11648.756666666666</v>
      </c>
      <c r="J245" s="18">
        <f>108872.17/3</f>
        <v>36290.723333333335</v>
      </c>
      <c r="K245" s="18">
        <v>206.34</v>
      </c>
      <c r="L245" s="19">
        <f t="shared" si="4"/>
        <v>197173.1473333333</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2341023.2179999994</v>
      </c>
      <c r="G248" s="41">
        <f t="shared" si="5"/>
        <v>1143628</v>
      </c>
      <c r="H248" s="41">
        <f t="shared" si="5"/>
        <v>450821.76800000004</v>
      </c>
      <c r="I248" s="41">
        <f t="shared" si="5"/>
        <v>325823.01399999997</v>
      </c>
      <c r="J248" s="41">
        <f t="shared" si="5"/>
        <v>100830.932</v>
      </c>
      <c r="K248" s="41">
        <f t="shared" si="5"/>
        <v>13473.238331306668</v>
      </c>
      <c r="L248" s="41">
        <f t="shared" si="5"/>
        <v>4375600.1703313068</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6431917.8299999991</v>
      </c>
      <c r="G258" s="41">
        <f t="shared" si="8"/>
        <v>3363612.02</v>
      </c>
      <c r="H258" s="41">
        <f t="shared" si="8"/>
        <v>1133644.4500000002</v>
      </c>
      <c r="I258" s="41">
        <f t="shared" si="8"/>
        <v>733166.31099999999</v>
      </c>
      <c r="J258" s="41">
        <f t="shared" si="8"/>
        <v>306950.44</v>
      </c>
      <c r="K258" s="41">
        <f t="shared" si="8"/>
        <v>29537.298327253335</v>
      </c>
      <c r="L258" s="41">
        <f t="shared" si="8"/>
        <v>11998828.349327253</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2" customHeight="1" thickTop="1" x14ac:dyDescent="0.2">
      <c r="A272" s="43" t="s">
        <v>464</v>
      </c>
      <c r="B272" s="40">
        <v>10</v>
      </c>
      <c r="C272" s="40">
        <v>18</v>
      </c>
      <c r="D272" s="39" t="s">
        <v>431</v>
      </c>
      <c r="E272" s="40"/>
      <c r="F272" s="42">
        <f t="shared" ref="F272:L272" si="11">F258+F271</f>
        <v>6431917.8299999991</v>
      </c>
      <c r="G272" s="42">
        <f t="shared" si="11"/>
        <v>3363612.02</v>
      </c>
      <c r="H272" s="42">
        <f t="shared" si="11"/>
        <v>1133644.4500000002</v>
      </c>
      <c r="I272" s="42">
        <f t="shared" si="11"/>
        <v>733166.31099999999</v>
      </c>
      <c r="J272" s="42">
        <f t="shared" si="11"/>
        <v>306950.44</v>
      </c>
      <c r="K272" s="42">
        <f t="shared" si="11"/>
        <v>29537.298327253335</v>
      </c>
      <c r="L272" s="42">
        <f t="shared" si="11"/>
        <v>11998828.349327253</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(32632.75/3)+48842.7</f>
        <v>59720.283333333333</v>
      </c>
      <c r="G277" s="18"/>
      <c r="H277" s="18">
        <f>(1890/3)</f>
        <v>630</v>
      </c>
      <c r="I277" s="18"/>
      <c r="J277" s="18"/>
      <c r="K277" s="18"/>
      <c r="L277" s="19">
        <f>SUM(F277:K277)</f>
        <v>60350.283333333333</v>
      </c>
      <c r="M277" s="8"/>
      <c r="N277" s="265"/>
    </row>
    <row r="278" spans="1:14" s="3" customFormat="1" ht="12.2" customHeight="1" x14ac:dyDescent="0.15">
      <c r="A278" s="1" t="s">
        <v>439</v>
      </c>
      <c r="B278" s="2" t="s">
        <v>357</v>
      </c>
      <c r="C278" s="2" t="s">
        <v>291</v>
      </c>
      <c r="D278" s="2" t="s">
        <v>431</v>
      </c>
      <c r="E278" s="6">
        <v>1200</v>
      </c>
      <c r="F278" s="18">
        <f>(8349.71+420+56375.77)/3</f>
        <v>21715.16</v>
      </c>
      <c r="G278" s="18"/>
      <c r="H278" s="18">
        <f>(27652.2+2929.17+3311.51+628.69+12884.86+411.4+149+3251.35)/3</f>
        <v>17072.726666666669</v>
      </c>
      <c r="I278" s="18">
        <f>(5501.5+1343.27+1321.7+1941.4+4766.78+11195.16)/3</f>
        <v>8689.9366666666665</v>
      </c>
      <c r="J278" s="18">
        <f>431.8/3</f>
        <v>143.93333333333334</v>
      </c>
      <c r="K278" s="18"/>
      <c r="L278" s="19">
        <f>SUM(F278:K278)</f>
        <v>47621.756666666675</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f>(2080.86+11819.14+855.52+1505)/3</f>
        <v>5420.1733333333332</v>
      </c>
      <c r="I283" s="18"/>
      <c r="J283" s="18">
        <f>(35147+10000)/3</f>
        <v>15049</v>
      </c>
      <c r="K283" s="18">
        <f>400/3</f>
        <v>133.33333333333334</v>
      </c>
      <c r="L283" s="19">
        <f t="shared" si="12"/>
        <v>20602.506666666664</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f>76243.96/3+0.1</f>
        <v>25414.753333333334</v>
      </c>
      <c r="K287" s="18"/>
      <c r="L287" s="19">
        <f t="shared" si="12"/>
        <v>25414.753333333334</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81435.443333333329</v>
      </c>
      <c r="G291" s="42">
        <f t="shared" si="13"/>
        <v>0</v>
      </c>
      <c r="H291" s="42">
        <f t="shared" si="13"/>
        <v>23122.9</v>
      </c>
      <c r="I291" s="42">
        <f t="shared" si="13"/>
        <v>8689.9366666666665</v>
      </c>
      <c r="J291" s="42">
        <f t="shared" si="13"/>
        <v>40607.686666666668</v>
      </c>
      <c r="K291" s="42">
        <f t="shared" si="13"/>
        <v>133.33333333333334</v>
      </c>
      <c r="L291" s="41">
        <f t="shared" si="13"/>
        <v>153989.30000000002</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f>(32632.75/3)</f>
        <v>10877.583333333334</v>
      </c>
      <c r="G296" s="18"/>
      <c r="H296" s="18">
        <f>(1890/3)</f>
        <v>630</v>
      </c>
      <c r="I296" s="18"/>
      <c r="J296" s="18"/>
      <c r="K296" s="18"/>
      <c r="L296" s="19">
        <f>SUM(F296:K296)</f>
        <v>11507.583333333334</v>
      </c>
      <c r="M296" s="8"/>
      <c r="N296" s="265"/>
    </row>
    <row r="297" spans="1:14" s="3" customFormat="1" ht="12.2" customHeight="1" x14ac:dyDescent="0.15">
      <c r="A297" s="1" t="s">
        <v>439</v>
      </c>
      <c r="B297" s="2" t="s">
        <v>358</v>
      </c>
      <c r="C297" s="2" t="s">
        <v>291</v>
      </c>
      <c r="D297" s="2" t="s">
        <v>431</v>
      </c>
      <c r="E297" s="6">
        <v>1200</v>
      </c>
      <c r="F297" s="18">
        <f>(8349.71+420+56375.77)/3</f>
        <v>21715.16</v>
      </c>
      <c r="G297" s="18"/>
      <c r="H297" s="18">
        <f>(27652.2+2929.17+3311.51+628.69+12884.86+411.4+149+3251.35)/3</f>
        <v>17072.726666666669</v>
      </c>
      <c r="I297" s="18">
        <f>(5501.5+1343.27+1321.7+1941.4+4766.78+11195.16)/3</f>
        <v>8689.9366666666665</v>
      </c>
      <c r="J297" s="18">
        <f>431.8/3</f>
        <v>143.93333333333334</v>
      </c>
      <c r="K297" s="18"/>
      <c r="L297" s="19">
        <f>SUM(F297:K297)</f>
        <v>47621.756666666675</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f>(2080.86+11819.14+855.52+1505)/3</f>
        <v>5420.1733333333332</v>
      </c>
      <c r="I302" s="18"/>
      <c r="J302" s="18">
        <f>(35147+10000)/3</f>
        <v>15049</v>
      </c>
      <c r="K302" s="18">
        <f>400/3</f>
        <v>133.33333333333334</v>
      </c>
      <c r="L302" s="19">
        <f t="shared" si="14"/>
        <v>20602.506666666664</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f>76243.96/3+0.1</f>
        <v>25414.753333333334</v>
      </c>
      <c r="K306" s="18"/>
      <c r="L306" s="19">
        <f t="shared" si="14"/>
        <v>25414.753333333334</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32592.743333333332</v>
      </c>
      <c r="G310" s="42">
        <f t="shared" si="15"/>
        <v>0</v>
      </c>
      <c r="H310" s="42">
        <f t="shared" si="15"/>
        <v>23122.9</v>
      </c>
      <c r="I310" s="42">
        <f t="shared" si="15"/>
        <v>8689.9366666666665</v>
      </c>
      <c r="J310" s="42">
        <f t="shared" si="15"/>
        <v>40607.686666666668</v>
      </c>
      <c r="K310" s="42">
        <f t="shared" si="15"/>
        <v>133.33333333333334</v>
      </c>
      <c r="L310" s="41">
        <f t="shared" si="15"/>
        <v>105146.6</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f>(32632.75/3)</f>
        <v>10877.583333333334</v>
      </c>
      <c r="G315" s="18"/>
      <c r="H315" s="18">
        <f>(1890/3)</f>
        <v>630</v>
      </c>
      <c r="I315" s="18"/>
      <c r="J315" s="18"/>
      <c r="K315" s="18"/>
      <c r="L315" s="19">
        <f>SUM(F315:K315)</f>
        <v>11507.583333333334</v>
      </c>
      <c r="M315" s="8"/>
      <c r="N315" s="265"/>
    </row>
    <row r="316" spans="1:14" s="3" customFormat="1" ht="12.2" customHeight="1" x14ac:dyDescent="0.15">
      <c r="A316" s="1" t="s">
        <v>439</v>
      </c>
      <c r="B316" s="2" t="s">
        <v>359</v>
      </c>
      <c r="C316" s="2" t="s">
        <v>291</v>
      </c>
      <c r="D316" s="2" t="s">
        <v>431</v>
      </c>
      <c r="E316" s="6">
        <v>1200</v>
      </c>
      <c r="F316" s="18">
        <f>(8349.71+420+56375.77)/3</f>
        <v>21715.16</v>
      </c>
      <c r="G316" s="18"/>
      <c r="H316" s="18">
        <f>(27652.2+2929.17+3311.51+628.69+12884.86+411.4+149+3251.35)/3</f>
        <v>17072.726666666669</v>
      </c>
      <c r="I316" s="18">
        <f>(5501.5+1343.27+1321.7+1941.4+4766.78+11195.16)/3</f>
        <v>8689.9366666666665</v>
      </c>
      <c r="J316" s="18">
        <f>431.8/3</f>
        <v>143.93333333333334</v>
      </c>
      <c r="K316" s="18"/>
      <c r="L316" s="19">
        <f>SUM(F316:K316)</f>
        <v>47621.756666666675</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f>(2080.86+11819.14+855.52+1505)/3</f>
        <v>5420.1733333333332</v>
      </c>
      <c r="I321" s="18"/>
      <c r="J321" s="18">
        <f>(35147+10000)/3</f>
        <v>15049</v>
      </c>
      <c r="K321" s="18">
        <f>400/3</f>
        <v>133.33333333333334</v>
      </c>
      <c r="L321" s="19">
        <f t="shared" si="16"/>
        <v>20602.506666666664</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f>76243.96/3+0.1</f>
        <v>25414.753333333334</v>
      </c>
      <c r="K325" s="18"/>
      <c r="L325" s="19">
        <f t="shared" si="16"/>
        <v>25414.753333333334</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32592.743333333332</v>
      </c>
      <c r="G329" s="42">
        <f t="shared" si="17"/>
        <v>0</v>
      </c>
      <c r="H329" s="42">
        <f t="shared" si="17"/>
        <v>23122.9</v>
      </c>
      <c r="I329" s="42">
        <f t="shared" si="17"/>
        <v>8689.9366666666665</v>
      </c>
      <c r="J329" s="42">
        <f t="shared" si="17"/>
        <v>40607.686666666668</v>
      </c>
      <c r="K329" s="42">
        <f t="shared" si="17"/>
        <v>133.33333333333334</v>
      </c>
      <c r="L329" s="41">
        <f t="shared" si="17"/>
        <v>105146.6</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146620.93</v>
      </c>
      <c r="G339" s="41">
        <f t="shared" si="20"/>
        <v>0</v>
      </c>
      <c r="H339" s="41">
        <f t="shared" si="20"/>
        <v>69368.700000000012</v>
      </c>
      <c r="I339" s="41">
        <f t="shared" si="20"/>
        <v>26069.809999999998</v>
      </c>
      <c r="J339" s="41">
        <f t="shared" si="20"/>
        <v>121823.06</v>
      </c>
      <c r="K339" s="41">
        <f t="shared" si="20"/>
        <v>400</v>
      </c>
      <c r="L339" s="41">
        <f t="shared" si="20"/>
        <v>364282.5</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146620.93</v>
      </c>
      <c r="G353" s="41">
        <f>G339</f>
        <v>0</v>
      </c>
      <c r="H353" s="41">
        <f>H339</f>
        <v>69368.700000000012</v>
      </c>
      <c r="I353" s="41">
        <f>I339</f>
        <v>26069.809999999998</v>
      </c>
      <c r="J353" s="41">
        <f>J339</f>
        <v>121823.06</v>
      </c>
      <c r="K353" s="47">
        <f>K339+K352</f>
        <v>400</v>
      </c>
      <c r="L353" s="41">
        <f>L339+L352</f>
        <v>364282.5</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f>88227/3</f>
        <v>29409</v>
      </c>
      <c r="G359" s="18"/>
      <c r="H359" s="18">
        <f>705.57/3</f>
        <v>235.19000000000003</v>
      </c>
      <c r="I359" s="18">
        <f>(-27.77+9085.49+45427.95)/3</f>
        <v>18161.89</v>
      </c>
      <c r="J359" s="18"/>
      <c r="K359" s="18"/>
      <c r="L359" s="13">
        <f>SUM(F359:K359)</f>
        <v>47806.080000000002</v>
      </c>
      <c r="M359" s="8"/>
      <c r="N359" s="265"/>
    </row>
    <row r="360" spans="1:22" s="3" customFormat="1" ht="12.2" customHeight="1" x14ac:dyDescent="0.15">
      <c r="A360" s="1" t="s">
        <v>542</v>
      </c>
      <c r="B360" s="2" t="s">
        <v>366</v>
      </c>
      <c r="C360" s="6">
        <v>2</v>
      </c>
      <c r="D360" s="2" t="s">
        <v>431</v>
      </c>
      <c r="E360" s="6"/>
      <c r="F360" s="18">
        <f t="shared" ref="F360" si="22">88227/3</f>
        <v>29409</v>
      </c>
      <c r="G360" s="18"/>
      <c r="H360" s="18">
        <f t="shared" ref="H360:H361" si="23">705.57/3</f>
        <v>235.19000000000003</v>
      </c>
      <c r="I360" s="18">
        <f>(-27.77+9085.49+45427.95)/3</f>
        <v>18161.89</v>
      </c>
      <c r="J360" s="18"/>
      <c r="K360" s="18"/>
      <c r="L360" s="19">
        <f>SUM(F360:K360)</f>
        <v>47806.080000000002</v>
      </c>
      <c r="M360" s="8"/>
      <c r="N360" s="265"/>
    </row>
    <row r="361" spans="1:22" s="3" customFormat="1" ht="12.2" customHeight="1" x14ac:dyDescent="0.15">
      <c r="A361" s="3" t="s">
        <v>543</v>
      </c>
      <c r="B361" s="2" t="s">
        <v>366</v>
      </c>
      <c r="C361" s="6">
        <v>3</v>
      </c>
      <c r="D361" s="2" t="s">
        <v>431</v>
      </c>
      <c r="E361" s="6"/>
      <c r="F361" s="18">
        <f>88227/3+0.02</f>
        <v>29409.02</v>
      </c>
      <c r="G361" s="18"/>
      <c r="H361" s="18">
        <f t="shared" si="23"/>
        <v>235.19000000000003</v>
      </c>
      <c r="I361" s="18">
        <f>(-27.77+9085.49+45427.95)/3</f>
        <v>18161.89</v>
      </c>
      <c r="J361" s="18"/>
      <c r="K361" s="18"/>
      <c r="L361" s="19">
        <f>SUM(F361:K361)</f>
        <v>47806.1</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4">SUM(F359:F362)</f>
        <v>88227.02</v>
      </c>
      <c r="G363" s="47">
        <f t="shared" si="24"/>
        <v>0</v>
      </c>
      <c r="H363" s="47">
        <f t="shared" si="24"/>
        <v>705.57</v>
      </c>
      <c r="I363" s="47">
        <f t="shared" si="24"/>
        <v>54485.67</v>
      </c>
      <c r="J363" s="47">
        <f t="shared" si="24"/>
        <v>0</v>
      </c>
      <c r="K363" s="47">
        <f t="shared" si="24"/>
        <v>0</v>
      </c>
      <c r="L363" s="47">
        <f t="shared" si="24"/>
        <v>143418.26</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18161.89</v>
      </c>
      <c r="G368" s="18">
        <v>18161.89</v>
      </c>
      <c r="H368" s="18">
        <v>18161.89</v>
      </c>
      <c r="I368" s="56">
        <f>SUM(F368:H368)</f>
        <v>54485.67</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18161.89</v>
      </c>
      <c r="G370" s="47">
        <f>SUM(G368:G369)</f>
        <v>18161.89</v>
      </c>
      <c r="H370" s="47">
        <f>SUM(H368:H369)</f>
        <v>18161.89</v>
      </c>
      <c r="I370" s="47">
        <f>SUM(I368:I369)</f>
        <v>54485.67</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5">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5"/>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5"/>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5"/>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5"/>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5"/>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5"/>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6">SUM(G375:G382)</f>
        <v>0</v>
      </c>
      <c r="H383" s="139">
        <f t="shared" si="26"/>
        <v>0</v>
      </c>
      <c r="I383" s="41">
        <f t="shared" si="26"/>
        <v>0</v>
      </c>
      <c r="J383" s="47">
        <f t="shared" si="26"/>
        <v>0</v>
      </c>
      <c r="K383" s="47">
        <f t="shared" si="26"/>
        <v>0</v>
      </c>
      <c r="L383" s="47">
        <f t="shared" si="26"/>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7">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7"/>
        <v>0</v>
      </c>
      <c r="M389" s="8"/>
      <c r="N389" s="265"/>
    </row>
    <row r="390" spans="1:14" s="3" customFormat="1" ht="12.2" customHeight="1" x14ac:dyDescent="0.15">
      <c r="A390" s="79" t="s">
        <v>552</v>
      </c>
      <c r="B390" s="2" t="s">
        <v>381</v>
      </c>
      <c r="C390" s="6">
        <v>3</v>
      </c>
      <c r="D390" s="2" t="s">
        <v>432</v>
      </c>
      <c r="E390" s="6"/>
      <c r="F390" s="18"/>
      <c r="G390" s="18"/>
      <c r="H390" s="18">
        <f>147.08+163.51+108.86</f>
        <v>419.45000000000005</v>
      </c>
      <c r="I390" s="18"/>
      <c r="J390" s="24" t="s">
        <v>288</v>
      </c>
      <c r="K390" s="24" t="s">
        <v>288</v>
      </c>
      <c r="L390" s="56">
        <f t="shared" si="27"/>
        <v>419.45000000000005</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7"/>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7"/>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7"/>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419.45000000000005</v>
      </c>
      <c r="I394" s="65">
        <f>SUM(I388:I393)</f>
        <v>0</v>
      </c>
      <c r="J394" s="45" t="s">
        <v>288</v>
      </c>
      <c r="K394" s="45" t="s">
        <v>288</v>
      </c>
      <c r="L394" s="47">
        <f>SUM(L388:L393)</f>
        <v>419.45000000000005</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8">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8"/>
        <v>0</v>
      </c>
      <c r="M397" s="8"/>
      <c r="N397" s="265"/>
    </row>
    <row r="398" spans="1:14" s="3" customFormat="1" ht="12.2" customHeight="1" x14ac:dyDescent="0.15">
      <c r="A398" s="79" t="s">
        <v>515</v>
      </c>
      <c r="B398" s="2" t="s">
        <v>381</v>
      </c>
      <c r="C398" s="6">
        <v>10</v>
      </c>
      <c r="D398" s="2" t="s">
        <v>432</v>
      </c>
      <c r="E398" s="6"/>
      <c r="F398" s="18"/>
      <c r="G398" s="18"/>
      <c r="H398" s="18">
        <v>441.55</v>
      </c>
      <c r="I398" s="18"/>
      <c r="J398" s="24" t="s">
        <v>288</v>
      </c>
      <c r="K398" s="24" t="s">
        <v>288</v>
      </c>
      <c r="L398" s="56">
        <f t="shared" si="28"/>
        <v>441.55</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8"/>
        <v>0</v>
      </c>
      <c r="M399" s="8"/>
      <c r="N399" s="265"/>
    </row>
    <row r="400" spans="1:14" s="3" customFormat="1" ht="12.2" customHeight="1" x14ac:dyDescent="0.15">
      <c r="A400" s="79" t="s">
        <v>559</v>
      </c>
      <c r="B400" s="2" t="s">
        <v>381</v>
      </c>
      <c r="C400" s="6">
        <v>12</v>
      </c>
      <c r="D400" s="2" t="s">
        <v>432</v>
      </c>
      <c r="E400" s="6"/>
      <c r="F400" s="18"/>
      <c r="G400" s="18">
        <v>0</v>
      </c>
      <c r="H400" s="18"/>
      <c r="I400" s="18"/>
      <c r="J400" s="24" t="s">
        <v>288</v>
      </c>
      <c r="K400" s="24" t="s">
        <v>288</v>
      </c>
      <c r="L400" s="56">
        <f t="shared" si="28"/>
        <v>0</v>
      </c>
      <c r="M400" s="8"/>
      <c r="N400" s="265"/>
    </row>
    <row r="401" spans="1:21" s="3" customFormat="1" ht="12.2" customHeight="1" thickBot="1" x14ac:dyDescent="0.2">
      <c r="A401" s="79" t="s">
        <v>510</v>
      </c>
      <c r="B401" s="2" t="s">
        <v>381</v>
      </c>
      <c r="C401" s="6">
        <v>13</v>
      </c>
      <c r="D401" s="2" t="s">
        <v>432</v>
      </c>
      <c r="E401" s="6"/>
      <c r="F401" s="18"/>
      <c r="G401" s="18"/>
      <c r="H401" s="18">
        <f>68.46+18.21+24.88+24.71+0.65+0.32+0.04+0.1+0.33+0.02</f>
        <v>137.72</v>
      </c>
      <c r="I401" s="18"/>
      <c r="J401" s="24" t="s">
        <v>288</v>
      </c>
      <c r="K401" s="24" t="s">
        <v>288</v>
      </c>
      <c r="L401" s="56">
        <f t="shared" si="28"/>
        <v>137.72</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579.27</v>
      </c>
      <c r="I402" s="47">
        <f>SUM(I396:I401)</f>
        <v>0</v>
      </c>
      <c r="J402" s="45" t="s">
        <v>288</v>
      </c>
      <c r="K402" s="45" t="s">
        <v>288</v>
      </c>
      <c r="L402" s="47">
        <f>SUM(L396:L401)</f>
        <v>579.27</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998.72</v>
      </c>
      <c r="I409" s="47">
        <f>I394+I402+I408</f>
        <v>0</v>
      </c>
      <c r="J409" s="24" t="s">
        <v>288</v>
      </c>
      <c r="K409" s="24" t="s">
        <v>288</v>
      </c>
      <c r="L409" s="47">
        <f>L394+L402+L408</f>
        <v>998.72</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9">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9"/>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9"/>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9"/>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9"/>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9"/>
        <v>0</v>
      </c>
      <c r="M419" s="8"/>
      <c r="N419" s="265"/>
    </row>
    <row r="420" spans="1:21" s="3" customFormat="1" ht="12.2" customHeight="1" thickTop="1" x14ac:dyDescent="0.15">
      <c r="A420" s="160" t="s">
        <v>471</v>
      </c>
      <c r="B420" s="6">
        <v>17</v>
      </c>
      <c r="C420" s="6">
        <v>7</v>
      </c>
      <c r="D420" s="2" t="s">
        <v>432</v>
      </c>
      <c r="E420" s="40">
        <v>5251</v>
      </c>
      <c r="F420" s="139">
        <f t="shared" ref="F420:L420" si="30">SUM(F414:F419)</f>
        <v>0</v>
      </c>
      <c r="G420" s="139">
        <f t="shared" si="30"/>
        <v>0</v>
      </c>
      <c r="H420" s="139">
        <f t="shared" si="30"/>
        <v>0</v>
      </c>
      <c r="I420" s="139">
        <f t="shared" si="30"/>
        <v>0</v>
      </c>
      <c r="J420" s="139">
        <f t="shared" si="30"/>
        <v>0</v>
      </c>
      <c r="K420" s="139">
        <f t="shared" si="30"/>
        <v>0</v>
      </c>
      <c r="L420" s="47">
        <f t="shared" si="30"/>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31">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31"/>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31"/>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31"/>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31"/>
        <v>0</v>
      </c>
      <c r="M426" s="8"/>
      <c r="N426" s="265"/>
    </row>
    <row r="427" spans="1:21" s="3" customFormat="1" ht="12.2" customHeight="1" thickBot="1" x14ac:dyDescent="0.2">
      <c r="A427" s="79" t="s">
        <v>510</v>
      </c>
      <c r="B427" s="6">
        <v>17</v>
      </c>
      <c r="C427" s="6">
        <v>13</v>
      </c>
      <c r="D427" s="2" t="s">
        <v>432</v>
      </c>
      <c r="E427" s="6"/>
      <c r="F427" s="18"/>
      <c r="G427" s="18"/>
      <c r="H427" s="18">
        <v>1000</v>
      </c>
      <c r="I427" s="18"/>
      <c r="J427" s="18"/>
      <c r="K427" s="18"/>
      <c r="L427" s="56">
        <f t="shared" si="31"/>
        <v>1000</v>
      </c>
      <c r="M427" s="8"/>
      <c r="N427" s="265"/>
    </row>
    <row r="428" spans="1:21" s="11" customFormat="1" ht="12.2" customHeight="1" thickTop="1" x14ac:dyDescent="0.15">
      <c r="A428" s="160" t="s">
        <v>470</v>
      </c>
      <c r="B428" s="6">
        <v>17</v>
      </c>
      <c r="C428" s="6">
        <v>14</v>
      </c>
      <c r="D428" s="2" t="s">
        <v>432</v>
      </c>
      <c r="E428" s="40">
        <v>5252</v>
      </c>
      <c r="F428" s="47">
        <f t="shared" ref="F428:L428" si="32">SUM(F422:F427)</f>
        <v>0</v>
      </c>
      <c r="G428" s="47">
        <f t="shared" si="32"/>
        <v>0</v>
      </c>
      <c r="H428" s="47">
        <f t="shared" si="32"/>
        <v>1000</v>
      </c>
      <c r="I428" s="47">
        <f t="shared" si="32"/>
        <v>0</v>
      </c>
      <c r="J428" s="47">
        <f t="shared" si="32"/>
        <v>0</v>
      </c>
      <c r="K428" s="47">
        <f t="shared" si="32"/>
        <v>0</v>
      </c>
      <c r="L428" s="47">
        <f t="shared" si="32"/>
        <v>1000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3">SUM(F430:F433)</f>
        <v>0</v>
      </c>
      <c r="G434" s="47">
        <f t="shared" si="33"/>
        <v>0</v>
      </c>
      <c r="H434" s="47">
        <f t="shared" si="33"/>
        <v>0</v>
      </c>
      <c r="I434" s="47">
        <f t="shared" si="33"/>
        <v>0</v>
      </c>
      <c r="J434" s="47">
        <f t="shared" si="33"/>
        <v>0</v>
      </c>
      <c r="K434" s="47">
        <f t="shared" si="33"/>
        <v>0</v>
      </c>
      <c r="L434" s="47">
        <f t="shared" si="33"/>
        <v>0</v>
      </c>
      <c r="M434" s="8"/>
      <c r="N434" s="265"/>
    </row>
    <row r="435" spans="1:14" s="3" customFormat="1" ht="12.2" customHeight="1" thickTop="1" x14ac:dyDescent="0.15">
      <c r="A435" s="78" t="s">
        <v>422</v>
      </c>
      <c r="B435" s="6">
        <v>17</v>
      </c>
      <c r="C435" s="6">
        <v>20</v>
      </c>
      <c r="D435" s="2" t="s">
        <v>432</v>
      </c>
      <c r="E435" s="40"/>
      <c r="F435" s="47">
        <f t="shared" ref="F435:L435" si="34">F420+F428+F434</f>
        <v>0</v>
      </c>
      <c r="G435" s="47">
        <f t="shared" si="34"/>
        <v>0</v>
      </c>
      <c r="H435" s="47">
        <f t="shared" si="34"/>
        <v>1000</v>
      </c>
      <c r="I435" s="47">
        <f t="shared" si="34"/>
        <v>0</v>
      </c>
      <c r="J435" s="47">
        <f t="shared" si="34"/>
        <v>0</v>
      </c>
      <c r="K435" s="47">
        <f t="shared" si="34"/>
        <v>0</v>
      </c>
      <c r="L435" s="47">
        <f t="shared" si="34"/>
        <v>1000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5">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826072.66</v>
      </c>
      <c r="G441" s="18">
        <v>128382.49</v>
      </c>
      <c r="H441" s="18"/>
      <c r="I441" s="56">
        <f t="shared" si="35"/>
        <v>954455.15</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5"/>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5"/>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5"/>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5"/>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5"/>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826072.66</v>
      </c>
      <c r="G447" s="13">
        <f>SUM(G440:G446)</f>
        <v>128382.49</v>
      </c>
      <c r="H447" s="13">
        <f>SUM(H440:H446)</f>
        <v>0</v>
      </c>
      <c r="I447" s="13">
        <f>SUM(I440:I446)</f>
        <v>954455.15</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6">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6"/>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6"/>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6"/>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6"/>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826072.66</v>
      </c>
      <c r="G460" s="18">
        <v>128382.49</v>
      </c>
      <c r="H460" s="18"/>
      <c r="I460" s="56">
        <f t="shared" si="36"/>
        <v>954455.15</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826072.66</v>
      </c>
      <c r="G461" s="83">
        <f>SUM(G455:G460)</f>
        <v>128382.49</v>
      </c>
      <c r="H461" s="83">
        <f>SUM(H455:H460)</f>
        <v>0</v>
      </c>
      <c r="I461" s="83">
        <f>SUM(I455:I460)</f>
        <v>954455.15</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826072.66</v>
      </c>
      <c r="G462" s="42">
        <f>G453+G461</f>
        <v>128382.49</v>
      </c>
      <c r="H462" s="42">
        <f>H453+H461</f>
        <v>0</v>
      </c>
      <c r="I462" s="42">
        <f>I453+I461</f>
        <v>954455.15</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1035810.52</v>
      </c>
      <c r="G466" s="18">
        <v>71607.14</v>
      </c>
      <c r="H466" s="18">
        <v>0</v>
      </c>
      <c r="I466" s="18"/>
      <c r="J466" s="18">
        <v>954456.43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12420560.57</v>
      </c>
      <c r="G469" s="18">
        <v>135944</v>
      </c>
      <c r="H469" s="18">
        <v>364282.5</v>
      </c>
      <c r="I469" s="18"/>
      <c r="J469" s="18">
        <v>998.72</v>
      </c>
      <c r="K469" s="24" t="s">
        <v>288</v>
      </c>
      <c r="L469" s="24" t="s">
        <v>288</v>
      </c>
      <c r="N469" s="264"/>
    </row>
    <row r="470" spans="1:14" s="52" customFormat="1" ht="12.2" customHeight="1" x14ac:dyDescent="0.2">
      <c r="A470" s="93" t="s">
        <v>611</v>
      </c>
      <c r="B470" s="75">
        <v>19</v>
      </c>
      <c r="C470" s="80">
        <v>3</v>
      </c>
      <c r="D470" s="2" t="s">
        <v>432</v>
      </c>
      <c r="E470" s="80"/>
      <c r="F470" s="18">
        <v>36874.51</v>
      </c>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12457435.08</v>
      </c>
      <c r="G471" s="53">
        <f>SUM(G469:G470)</f>
        <v>135944</v>
      </c>
      <c r="H471" s="53">
        <f>SUM(H469:H470)</f>
        <v>364282.5</v>
      </c>
      <c r="I471" s="53">
        <f>SUM(I469:I470)</f>
        <v>0</v>
      </c>
      <c r="J471" s="53">
        <f>SUM(J469:J470)</f>
        <v>998.72</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11923886.58+74941.77</f>
        <v>11998828.35</v>
      </c>
      <c r="G473" s="18">
        <v>143418.26</v>
      </c>
      <c r="H473" s="18">
        <v>364282.5</v>
      </c>
      <c r="I473" s="18"/>
      <c r="J473" s="18">
        <v>1000</v>
      </c>
      <c r="K473" s="24" t="s">
        <v>288</v>
      </c>
      <c r="L473" s="24" t="s">
        <v>288</v>
      </c>
      <c r="N473" s="264"/>
    </row>
    <row r="474" spans="1:14" s="52" customFormat="1" ht="12.2" customHeight="1" x14ac:dyDescent="0.2">
      <c r="A474" s="93" t="s">
        <v>613</v>
      </c>
      <c r="B474" s="75">
        <v>19</v>
      </c>
      <c r="C474" s="80">
        <v>6</v>
      </c>
      <c r="D474" s="2" t="s">
        <v>432</v>
      </c>
      <c r="E474" s="80"/>
      <c r="F474" s="18"/>
      <c r="G474" s="18">
        <v>23218.36</v>
      </c>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11998828.35</v>
      </c>
      <c r="G475" s="53">
        <f>SUM(G473:G474)</f>
        <v>166636.62</v>
      </c>
      <c r="H475" s="53">
        <f>SUM(H473:H474)</f>
        <v>364282.5</v>
      </c>
      <c r="I475" s="53">
        <f>SUM(I473:I474)</f>
        <v>0</v>
      </c>
      <c r="J475" s="53">
        <f>SUM(J473:J474)</f>
        <v>1000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1494417.25</v>
      </c>
      <c r="G477" s="53">
        <f>(G466+G471)- G475</f>
        <v>40914.520000000019</v>
      </c>
      <c r="H477" s="53">
        <f>(H466+H471)- H475</f>
        <v>0</v>
      </c>
      <c r="I477" s="53">
        <f>(I466+I471)- I475</f>
        <v>0</v>
      </c>
      <c r="J477" s="53">
        <f>(J466+J471)- J475</f>
        <v>954455.15</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1802</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t="s">
        <v>1803</v>
      </c>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7">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7"/>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7"/>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7"/>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7"/>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7"/>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7"/>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7"/>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299560.1-F532</f>
        <v>251476.86999999997</v>
      </c>
      <c r="G522" s="18">
        <f>134650-G532</f>
        <v>110608.38499999999</v>
      </c>
      <c r="H522" s="18">
        <f>177882.41+17072.73</f>
        <v>194955.14</v>
      </c>
      <c r="I522" s="18">
        <f>3722.07+8689.94</f>
        <v>12412.01</v>
      </c>
      <c r="J522" s="18">
        <f>623.15+143.93</f>
        <v>767.07999999999993</v>
      </c>
      <c r="K522" s="18">
        <v>1668.69</v>
      </c>
      <c r="L522" s="88">
        <f>SUM(F522:K522)</f>
        <v>571888.17499999993</v>
      </c>
      <c r="N522" s="264"/>
    </row>
    <row r="523" spans="1:14" s="52" customFormat="1" ht="12.2" customHeight="1" x14ac:dyDescent="0.2">
      <c r="A523" s="22" t="s">
        <v>634</v>
      </c>
      <c r="B523" s="105">
        <v>21</v>
      </c>
      <c r="C523" s="115">
        <v>2</v>
      </c>
      <c r="D523" s="2" t="s">
        <v>432</v>
      </c>
      <c r="E523" s="115"/>
      <c r="F523" s="18">
        <f>201887.77-F533+21715.16</f>
        <v>175519.69999999998</v>
      </c>
      <c r="G523" s="18">
        <f>134650-G533</f>
        <v>110608.38499999999</v>
      </c>
      <c r="H523" s="18">
        <f>177882.41+17072.73</f>
        <v>194955.14</v>
      </c>
      <c r="I523" s="18">
        <f>3366.27+8689.94</f>
        <v>12056.210000000001</v>
      </c>
      <c r="J523" s="18">
        <f>178.57+143.93</f>
        <v>322.5</v>
      </c>
      <c r="K523" s="18">
        <v>1668.69</v>
      </c>
      <c r="L523" s="88">
        <f>SUM(F523:K523)</f>
        <v>495130.625</v>
      </c>
      <c r="N523" s="264"/>
    </row>
    <row r="524" spans="1:14" s="52" customFormat="1" ht="12.2" customHeight="1" thickBot="1" x14ac:dyDescent="0.25">
      <c r="A524" s="22" t="s">
        <v>635</v>
      </c>
      <c r="B524" s="105">
        <v>21</v>
      </c>
      <c r="C524" s="115">
        <v>3</v>
      </c>
      <c r="D524" s="2" t="s">
        <v>432</v>
      </c>
      <c r="E524" s="115"/>
      <c r="F524" s="18">
        <f>278790.03-F534+21715.16</f>
        <v>252421.96000000002</v>
      </c>
      <c r="G524" s="18">
        <f>138730-G534</f>
        <v>114688.38499999999</v>
      </c>
      <c r="H524" s="18">
        <f>177882.41+17072.73</f>
        <v>194955.14</v>
      </c>
      <c r="I524" s="18">
        <f>3801.35+8689.94</f>
        <v>12491.29</v>
      </c>
      <c r="J524" s="18">
        <f>267.86+143.93</f>
        <v>411.79</v>
      </c>
      <c r="K524" s="18">
        <v>1668.7</v>
      </c>
      <c r="L524" s="88">
        <f>SUM(F524:K524)</f>
        <v>576637.26500000013</v>
      </c>
      <c r="N524" s="264"/>
    </row>
    <row r="525" spans="1:14" s="52" customFormat="1" ht="12.2" customHeight="1" thickTop="1" x14ac:dyDescent="0.2">
      <c r="A525" s="139" t="s">
        <v>63</v>
      </c>
      <c r="B525" s="107">
        <v>21</v>
      </c>
      <c r="C525" s="194">
        <v>4</v>
      </c>
      <c r="D525" s="195" t="s">
        <v>432</v>
      </c>
      <c r="E525" s="194"/>
      <c r="F525" s="108">
        <f>SUM(F522:F524)</f>
        <v>679418.53</v>
      </c>
      <c r="G525" s="108">
        <f t="shared" ref="G525:L525" si="38">SUM(G522:G524)</f>
        <v>335905.15499999997</v>
      </c>
      <c r="H525" s="108">
        <f t="shared" si="38"/>
        <v>584865.42000000004</v>
      </c>
      <c r="I525" s="108">
        <f t="shared" si="38"/>
        <v>36959.51</v>
      </c>
      <c r="J525" s="108">
        <f t="shared" si="38"/>
        <v>1501.37</v>
      </c>
      <c r="K525" s="108">
        <f t="shared" si="38"/>
        <v>5006.08</v>
      </c>
      <c r="L525" s="89">
        <f t="shared" si="38"/>
        <v>1643656.0649999999</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243613.33</v>
      </c>
      <c r="G527" s="18">
        <v>135679</v>
      </c>
      <c r="H527" s="18">
        <v>150</v>
      </c>
      <c r="I527" s="18">
        <v>1419.96</v>
      </c>
      <c r="J527" s="18"/>
      <c r="K527" s="18"/>
      <c r="L527" s="88">
        <f>SUM(F527:K527)</f>
        <v>380862.29</v>
      </c>
      <c r="M527" s="8"/>
      <c r="N527" s="265"/>
    </row>
    <row r="528" spans="1:14" s="3" customFormat="1" ht="12.2" customHeight="1" x14ac:dyDescent="0.15">
      <c r="A528" s="22" t="s">
        <v>634</v>
      </c>
      <c r="B528" s="105">
        <v>21</v>
      </c>
      <c r="C528" s="115">
        <v>6</v>
      </c>
      <c r="D528" s="2" t="s">
        <v>432</v>
      </c>
      <c r="E528" s="115"/>
      <c r="F528" s="18">
        <v>242293.88</v>
      </c>
      <c r="G528" s="18">
        <v>135679</v>
      </c>
      <c r="H528" s="18">
        <v>6121.87</v>
      </c>
      <c r="I528" s="18">
        <v>3725.5</v>
      </c>
      <c r="J528" s="18"/>
      <c r="K528" s="18"/>
      <c r="L528" s="88">
        <f>SUM(F528:K528)</f>
        <v>387820.25</v>
      </c>
      <c r="M528" s="8"/>
      <c r="N528" s="265"/>
    </row>
    <row r="529" spans="1:14" s="3" customFormat="1" ht="12.2" customHeight="1" thickBot="1" x14ac:dyDescent="0.2">
      <c r="A529" s="22" t="s">
        <v>635</v>
      </c>
      <c r="B529" s="118">
        <v>21</v>
      </c>
      <c r="C529" s="118">
        <v>7</v>
      </c>
      <c r="D529" s="2" t="s">
        <v>432</v>
      </c>
      <c r="E529" s="118"/>
      <c r="F529" s="18">
        <v>300293.40999999997</v>
      </c>
      <c r="G529" s="18">
        <v>139791</v>
      </c>
      <c r="H529" s="18">
        <v>7949.47</v>
      </c>
      <c r="I529" s="18">
        <v>5106.7</v>
      </c>
      <c r="J529" s="18"/>
      <c r="K529" s="18"/>
      <c r="L529" s="88">
        <f>SUM(F529:K529)</f>
        <v>453140.57999999996</v>
      </c>
      <c r="M529" s="8"/>
      <c r="N529" s="265"/>
    </row>
    <row r="530" spans="1:14" s="3" customFormat="1" ht="12.2" customHeight="1" thickTop="1" x14ac:dyDescent="0.15">
      <c r="A530" s="139" t="s">
        <v>65</v>
      </c>
      <c r="B530" s="107">
        <v>21</v>
      </c>
      <c r="C530" s="107">
        <v>8</v>
      </c>
      <c r="D530" s="158" t="s">
        <v>432</v>
      </c>
      <c r="E530" s="107"/>
      <c r="F530" s="89">
        <f>SUM(F527:F529)</f>
        <v>786200.61999999988</v>
      </c>
      <c r="G530" s="89">
        <f t="shared" ref="G530:L530" si="39">SUM(G527:G529)</f>
        <v>411149</v>
      </c>
      <c r="H530" s="89">
        <f t="shared" si="39"/>
        <v>14221.34</v>
      </c>
      <c r="I530" s="89">
        <f t="shared" si="39"/>
        <v>10252.16</v>
      </c>
      <c r="J530" s="89">
        <f t="shared" si="39"/>
        <v>0</v>
      </c>
      <c r="K530" s="89">
        <f t="shared" si="39"/>
        <v>0</v>
      </c>
      <c r="L530" s="89">
        <f t="shared" si="39"/>
        <v>1221823.1200000001</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f>144249.69/3</f>
        <v>48083.23</v>
      </c>
      <c r="G532" s="18">
        <f>F532/2</f>
        <v>24041.615000000002</v>
      </c>
      <c r="H532" s="18"/>
      <c r="I532" s="18"/>
      <c r="J532" s="18"/>
      <c r="K532" s="18"/>
      <c r="L532" s="88">
        <f>SUM(F532:K532)</f>
        <v>72124.845000000001</v>
      </c>
      <c r="M532" s="8"/>
      <c r="N532" s="265"/>
    </row>
    <row r="533" spans="1:14" s="3" customFormat="1" ht="12.2" customHeight="1" x14ac:dyDescent="0.15">
      <c r="A533" s="22" t="s">
        <v>634</v>
      </c>
      <c r="B533" s="105">
        <v>21</v>
      </c>
      <c r="C533" s="105">
        <v>10</v>
      </c>
      <c r="D533" s="2" t="s">
        <v>432</v>
      </c>
      <c r="E533" s="105"/>
      <c r="F533" s="18">
        <f t="shared" ref="F533:F534" si="40">144249.69/3</f>
        <v>48083.23</v>
      </c>
      <c r="G533" s="18">
        <f t="shared" ref="G533:G534" si="41">F533/2</f>
        <v>24041.615000000002</v>
      </c>
      <c r="H533" s="18"/>
      <c r="I533" s="18"/>
      <c r="J533" s="18"/>
      <c r="K533" s="18"/>
      <c r="L533" s="88">
        <f>SUM(F533:K533)</f>
        <v>72124.845000000001</v>
      </c>
      <c r="M533" s="8"/>
      <c r="N533" s="265"/>
    </row>
    <row r="534" spans="1:14" s="3" customFormat="1" ht="12.2" customHeight="1" thickBot="1" x14ac:dyDescent="0.2">
      <c r="A534" s="22" t="s">
        <v>635</v>
      </c>
      <c r="B534" s="105">
        <v>21</v>
      </c>
      <c r="C534" s="105">
        <v>11</v>
      </c>
      <c r="D534" s="2" t="s">
        <v>432</v>
      </c>
      <c r="E534" s="105"/>
      <c r="F534" s="18">
        <f t="shared" si="40"/>
        <v>48083.23</v>
      </c>
      <c r="G534" s="18">
        <f t="shared" si="41"/>
        <v>24041.615000000002</v>
      </c>
      <c r="H534" s="18"/>
      <c r="I534" s="18"/>
      <c r="J534" s="18"/>
      <c r="K534" s="18"/>
      <c r="L534" s="88">
        <f>SUM(F534:K534)</f>
        <v>72124.845000000001</v>
      </c>
      <c r="M534" s="8"/>
      <c r="N534" s="265"/>
    </row>
    <row r="535" spans="1:14" s="3" customFormat="1" ht="12.2" customHeight="1" thickTop="1" x14ac:dyDescent="0.15">
      <c r="A535" s="139" t="s">
        <v>67</v>
      </c>
      <c r="B535" s="107">
        <v>21</v>
      </c>
      <c r="C535" s="107">
        <v>12</v>
      </c>
      <c r="D535" s="158" t="s">
        <v>432</v>
      </c>
      <c r="E535" s="107"/>
      <c r="F535" s="89">
        <f>SUM(F532:F534)</f>
        <v>144249.69</v>
      </c>
      <c r="G535" s="89">
        <f t="shared" ref="G535:L535" si="42">SUM(G532:G534)</f>
        <v>72124.845000000001</v>
      </c>
      <c r="H535" s="89">
        <f t="shared" si="42"/>
        <v>0</v>
      </c>
      <c r="I535" s="89">
        <f t="shared" si="42"/>
        <v>0</v>
      </c>
      <c r="J535" s="89">
        <f t="shared" si="42"/>
        <v>0</v>
      </c>
      <c r="K535" s="89">
        <f t="shared" si="42"/>
        <v>0</v>
      </c>
      <c r="L535" s="89">
        <f t="shared" si="42"/>
        <v>216374.535</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3">SUM(G537:G539)</f>
        <v>0</v>
      </c>
      <c r="H540" s="89">
        <f t="shared" si="43"/>
        <v>0</v>
      </c>
      <c r="I540" s="89">
        <f t="shared" si="43"/>
        <v>0</v>
      </c>
      <c r="J540" s="89">
        <f t="shared" si="43"/>
        <v>0</v>
      </c>
      <c r="K540" s="89">
        <f t="shared" si="43"/>
        <v>0</v>
      </c>
      <c r="L540" s="89">
        <f t="shared" si="43"/>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f>84155.66/3</f>
        <v>28051.886666666669</v>
      </c>
      <c r="G542" s="18">
        <f>F542/2</f>
        <v>14025.943333333335</v>
      </c>
      <c r="H542" s="18"/>
      <c r="I542" s="18"/>
      <c r="J542" s="18"/>
      <c r="K542" s="18"/>
      <c r="L542" s="88">
        <f>SUM(F542:K542)</f>
        <v>42077.83</v>
      </c>
      <c r="M542" s="8"/>
      <c r="N542" s="265"/>
    </row>
    <row r="543" spans="1:14" s="3" customFormat="1" ht="12.2" customHeight="1" x14ac:dyDescent="0.15">
      <c r="A543" s="22" t="s">
        <v>634</v>
      </c>
      <c r="B543" s="105">
        <v>21</v>
      </c>
      <c r="C543" s="105">
        <v>18</v>
      </c>
      <c r="D543" s="2" t="s">
        <v>432</v>
      </c>
      <c r="E543" s="105"/>
      <c r="F543" s="18">
        <f t="shared" ref="F543:F544" si="44">84155.66/3</f>
        <v>28051.886666666669</v>
      </c>
      <c r="G543" s="18">
        <f t="shared" ref="G543:G544" si="45">F543/2</f>
        <v>14025.943333333335</v>
      </c>
      <c r="H543" s="18"/>
      <c r="I543" s="18"/>
      <c r="J543" s="18"/>
      <c r="K543" s="18"/>
      <c r="L543" s="88">
        <f>SUM(F543:K543)</f>
        <v>42077.83</v>
      </c>
      <c r="M543" s="8"/>
      <c r="N543" s="265"/>
    </row>
    <row r="544" spans="1:14" s="3" customFormat="1" ht="12.2" customHeight="1" thickBot="1" x14ac:dyDescent="0.2">
      <c r="A544" s="22" t="s">
        <v>635</v>
      </c>
      <c r="B544" s="105">
        <v>21</v>
      </c>
      <c r="C544" s="105">
        <v>19</v>
      </c>
      <c r="D544" s="2" t="s">
        <v>432</v>
      </c>
      <c r="E544" s="105"/>
      <c r="F544" s="18">
        <f t="shared" si="44"/>
        <v>28051.886666666669</v>
      </c>
      <c r="G544" s="18">
        <f t="shared" si="45"/>
        <v>14025.943333333335</v>
      </c>
      <c r="H544" s="18"/>
      <c r="I544" s="18"/>
      <c r="J544" s="18"/>
      <c r="K544" s="18"/>
      <c r="L544" s="88">
        <f>SUM(F544:K544)</f>
        <v>42077.83</v>
      </c>
      <c r="M544" s="8"/>
      <c r="N544" s="265"/>
    </row>
    <row r="545" spans="1:14" s="3" customFormat="1" ht="12.2" customHeight="1" thickTop="1" thickBot="1" x14ac:dyDescent="0.2">
      <c r="A545" s="130" t="s">
        <v>71</v>
      </c>
      <c r="B545" s="190">
        <v>21</v>
      </c>
      <c r="C545" s="190">
        <v>20</v>
      </c>
      <c r="D545" s="191" t="s">
        <v>432</v>
      </c>
      <c r="E545" s="190"/>
      <c r="F545" s="192">
        <f>SUM(F542:F544)</f>
        <v>84155.66</v>
      </c>
      <c r="G545" s="192">
        <f t="shared" ref="G545:L545" si="46">SUM(G542:G544)</f>
        <v>42077.83</v>
      </c>
      <c r="H545" s="192">
        <f t="shared" si="46"/>
        <v>0</v>
      </c>
      <c r="I545" s="192">
        <f t="shared" si="46"/>
        <v>0</v>
      </c>
      <c r="J545" s="192">
        <f t="shared" si="46"/>
        <v>0</v>
      </c>
      <c r="K545" s="192">
        <f t="shared" si="46"/>
        <v>0</v>
      </c>
      <c r="L545" s="192">
        <f t="shared" si="46"/>
        <v>126233.49</v>
      </c>
      <c r="M545" s="8"/>
      <c r="N545" s="265"/>
    </row>
    <row r="546" spans="1:14" s="3" customFormat="1" ht="12.2" customHeight="1" thickTop="1" x14ac:dyDescent="0.15">
      <c r="A546" s="98" t="s">
        <v>72</v>
      </c>
      <c r="B546" s="107">
        <v>21</v>
      </c>
      <c r="C546" s="107">
        <v>21</v>
      </c>
      <c r="D546" s="158" t="s">
        <v>432</v>
      </c>
      <c r="E546" s="107"/>
      <c r="F546" s="89">
        <f>F525+F530+F535+F540+F545</f>
        <v>1694024.4999999998</v>
      </c>
      <c r="G546" s="89">
        <f t="shared" ref="G546:L546" si="47">G525+G530+G535+G540+G545</f>
        <v>861256.83</v>
      </c>
      <c r="H546" s="89">
        <f t="shared" si="47"/>
        <v>599086.76</v>
      </c>
      <c r="I546" s="89">
        <f t="shared" si="47"/>
        <v>47211.67</v>
      </c>
      <c r="J546" s="89">
        <f t="shared" si="47"/>
        <v>1501.37</v>
      </c>
      <c r="K546" s="89">
        <f t="shared" si="47"/>
        <v>5006.08</v>
      </c>
      <c r="L546" s="89">
        <f t="shared" si="47"/>
        <v>3208087.2100000004</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571888.17499999993</v>
      </c>
      <c r="G550" s="87">
        <f>L527</f>
        <v>380862.29</v>
      </c>
      <c r="H550" s="87">
        <f>L532</f>
        <v>72124.845000000001</v>
      </c>
      <c r="I550" s="87">
        <f>L537</f>
        <v>0</v>
      </c>
      <c r="J550" s="87">
        <f>L542</f>
        <v>42077.83</v>
      </c>
      <c r="K550" s="87">
        <f>SUM(F550:J550)</f>
        <v>1066953.1399999999</v>
      </c>
      <c r="L550" s="24" t="s">
        <v>288</v>
      </c>
      <c r="M550" s="8"/>
      <c r="N550" s="265"/>
    </row>
    <row r="551" spans="1:14" s="3" customFormat="1" ht="12.2" customHeight="1" x14ac:dyDescent="0.15">
      <c r="A551" s="22" t="s">
        <v>634</v>
      </c>
      <c r="B551" s="75">
        <v>21</v>
      </c>
      <c r="C551" s="75">
        <v>23</v>
      </c>
      <c r="D551" s="2" t="s">
        <v>432</v>
      </c>
      <c r="E551" s="75"/>
      <c r="F551" s="87">
        <f>L523</f>
        <v>495130.625</v>
      </c>
      <c r="G551" s="87">
        <f>L528</f>
        <v>387820.25</v>
      </c>
      <c r="H551" s="87">
        <f>L533</f>
        <v>72124.845000000001</v>
      </c>
      <c r="I551" s="87">
        <f>L538</f>
        <v>0</v>
      </c>
      <c r="J551" s="87">
        <f>L543</f>
        <v>42077.83</v>
      </c>
      <c r="K551" s="87">
        <f>SUM(F551:J551)</f>
        <v>997153.54999999993</v>
      </c>
      <c r="L551" s="24" t="s">
        <v>288</v>
      </c>
      <c r="M551" s="8"/>
      <c r="N551" s="265"/>
    </row>
    <row r="552" spans="1:14" s="3" customFormat="1" ht="12.2" customHeight="1" thickBot="1" x14ac:dyDescent="0.2">
      <c r="A552" s="22" t="s">
        <v>635</v>
      </c>
      <c r="B552" s="75">
        <v>21</v>
      </c>
      <c r="C552" s="75">
        <v>24</v>
      </c>
      <c r="D552" s="2" t="s">
        <v>432</v>
      </c>
      <c r="E552" s="75"/>
      <c r="F552" s="87">
        <f>L524</f>
        <v>576637.26500000013</v>
      </c>
      <c r="G552" s="87">
        <f>L529</f>
        <v>453140.57999999996</v>
      </c>
      <c r="H552" s="87">
        <f>L534</f>
        <v>72124.845000000001</v>
      </c>
      <c r="I552" s="87">
        <f>L539</f>
        <v>0</v>
      </c>
      <c r="J552" s="87">
        <f>L544</f>
        <v>42077.83</v>
      </c>
      <c r="K552" s="87">
        <f>SUM(F552:J552)</f>
        <v>1143980.5200000003</v>
      </c>
      <c r="L552" s="24" t="s">
        <v>288</v>
      </c>
      <c r="M552" s="8"/>
      <c r="N552" s="265"/>
    </row>
    <row r="553" spans="1:14" s="3" customFormat="1" ht="12.2" customHeight="1" thickTop="1" x14ac:dyDescent="0.15">
      <c r="A553" s="172" t="s">
        <v>340</v>
      </c>
      <c r="B553" s="44">
        <v>21</v>
      </c>
      <c r="C553" s="44">
        <v>25</v>
      </c>
      <c r="D553" s="39" t="s">
        <v>432</v>
      </c>
      <c r="E553" s="44"/>
      <c r="F553" s="89">
        <f t="shared" ref="F553:K553" si="48">SUM(F550:F552)</f>
        <v>1643656.0649999999</v>
      </c>
      <c r="G553" s="89">
        <f t="shared" si="48"/>
        <v>1221823.1200000001</v>
      </c>
      <c r="H553" s="89">
        <f t="shared" si="48"/>
        <v>216374.535</v>
      </c>
      <c r="I553" s="89">
        <f t="shared" si="48"/>
        <v>0</v>
      </c>
      <c r="J553" s="89">
        <f t="shared" si="48"/>
        <v>126233.49</v>
      </c>
      <c r="K553" s="89">
        <f t="shared" si="48"/>
        <v>3208087.21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9">SUM(F558:F560)</f>
        <v>0</v>
      </c>
      <c r="G561" s="108">
        <f t="shared" si="49"/>
        <v>0</v>
      </c>
      <c r="H561" s="108">
        <f t="shared" si="49"/>
        <v>0</v>
      </c>
      <c r="I561" s="108">
        <f t="shared" si="49"/>
        <v>0</v>
      </c>
      <c r="J561" s="108">
        <f t="shared" si="49"/>
        <v>0</v>
      </c>
      <c r="K561" s="108">
        <f t="shared" si="49"/>
        <v>0</v>
      </c>
      <c r="L561" s="89">
        <f t="shared" si="49"/>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50">SUM(F563:F565)</f>
        <v>0</v>
      </c>
      <c r="G566" s="89">
        <f t="shared" si="50"/>
        <v>0</v>
      </c>
      <c r="H566" s="89">
        <f t="shared" si="50"/>
        <v>0</v>
      </c>
      <c r="I566" s="89">
        <f t="shared" si="50"/>
        <v>0</v>
      </c>
      <c r="J566" s="89">
        <f t="shared" si="50"/>
        <v>0</v>
      </c>
      <c r="K566" s="89">
        <f t="shared" si="50"/>
        <v>0</v>
      </c>
      <c r="L566" s="89">
        <f t="shared" si="50"/>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51">SUM(G568:G570)</f>
        <v>0</v>
      </c>
      <c r="H571" s="192">
        <f t="shared" si="51"/>
        <v>0</v>
      </c>
      <c r="I571" s="192">
        <f t="shared" si="51"/>
        <v>0</v>
      </c>
      <c r="J571" s="192">
        <f t="shared" si="51"/>
        <v>0</v>
      </c>
      <c r="K571" s="192">
        <f t="shared" si="51"/>
        <v>0</v>
      </c>
      <c r="L571" s="192">
        <f t="shared" si="51"/>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52">G561+G566+G571</f>
        <v>0</v>
      </c>
      <c r="H572" s="89">
        <f t="shared" si="52"/>
        <v>0</v>
      </c>
      <c r="I572" s="89">
        <f t="shared" si="52"/>
        <v>0</v>
      </c>
      <c r="J572" s="89">
        <f t="shared" si="52"/>
        <v>0</v>
      </c>
      <c r="K572" s="89">
        <f t="shared" si="52"/>
        <v>0</v>
      </c>
      <c r="L572" s="89">
        <f t="shared" si="52"/>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53">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53"/>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53"/>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f>3150.72/2</f>
        <v>1575.36</v>
      </c>
      <c r="G580" s="18">
        <f>(3150.72/2)+(111332.26*0.4)</f>
        <v>46108.264000000003</v>
      </c>
      <c r="H580" s="18">
        <f>111332.26*0.6</f>
        <v>66799.356</v>
      </c>
      <c r="I580" s="87">
        <f t="shared" si="53"/>
        <v>114482.98000000001</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53"/>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53"/>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v>404073.21</v>
      </c>
      <c r="I583" s="87">
        <f t="shared" si="53"/>
        <v>404073.21</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53"/>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16496.87</v>
      </c>
      <c r="I585" s="87">
        <f t="shared" si="53"/>
        <v>16496.87</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53"/>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53"/>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53"/>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132767.37</v>
      </c>
      <c r="I592" s="18">
        <v>163045.16</v>
      </c>
      <c r="J592" s="18">
        <v>145887.41</v>
      </c>
      <c r="K592" s="104">
        <f t="shared" ref="K592:K598" si="54">SUM(H592:J592)</f>
        <v>441699.94000000006</v>
      </c>
      <c r="L592" s="24" t="s">
        <v>288</v>
      </c>
      <c r="M592" s="8"/>
      <c r="N592" s="265"/>
    </row>
    <row r="593" spans="1:14" s="3" customFormat="1" ht="12.2" customHeight="1" x14ac:dyDescent="0.15">
      <c r="A593" s="3" t="s">
        <v>638</v>
      </c>
      <c r="B593" s="75">
        <v>23</v>
      </c>
      <c r="C593" s="75">
        <v>2</v>
      </c>
      <c r="D593" s="2" t="s">
        <v>432</v>
      </c>
      <c r="E593" s="75"/>
      <c r="F593" s="102">
        <v>2722</v>
      </c>
      <c r="G593" s="103" t="s">
        <v>97</v>
      </c>
      <c r="H593" s="18">
        <v>42077.83</v>
      </c>
      <c r="I593" s="18">
        <f>42077.83*0.4</f>
        <v>16831.132000000001</v>
      </c>
      <c r="J593" s="18">
        <f>42077.83*0.6+0</f>
        <v>25246.698</v>
      </c>
      <c r="K593" s="104">
        <f t="shared" si="54"/>
        <v>84155.66</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12578.72</v>
      </c>
      <c r="K594" s="104">
        <f t="shared" si="54"/>
        <v>12578.72</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7835.62</v>
      </c>
      <c r="J595" s="18">
        <v>11753.42</v>
      </c>
      <c r="K595" s="104">
        <f t="shared" si="54"/>
        <v>19589.04</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1177.54</v>
      </c>
      <c r="I596" s="18">
        <v>1137.92</v>
      </c>
      <c r="J596" s="18">
        <v>1706.9</v>
      </c>
      <c r="K596" s="104">
        <f t="shared" si="54"/>
        <v>4022.36</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54"/>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3194</v>
      </c>
      <c r="I598" s="18"/>
      <c r="J598" s="18"/>
      <c r="K598" s="104">
        <f t="shared" si="54"/>
        <v>3194</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179216.74000000002</v>
      </c>
      <c r="I599" s="108">
        <f>SUM(I592:I598)</f>
        <v>188849.83200000002</v>
      </c>
      <c r="J599" s="108">
        <f>SUM(J592:J598)</f>
        <v>197173.14800000002</v>
      </c>
      <c r="K599" s="108">
        <f>SUM(K592:K598)</f>
        <v>565239.72000000009</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142385.63</v>
      </c>
      <c r="I605" s="18">
        <f>124949.25+20000</f>
        <v>144949.25</v>
      </c>
      <c r="J605" s="18">
        <v>141438.62</v>
      </c>
      <c r="K605" s="104">
        <f>SUM(H605:J605)</f>
        <v>428773.5</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142385.63</v>
      </c>
      <c r="I606" s="108">
        <f>SUM(I603:I605)</f>
        <v>144949.25</v>
      </c>
      <c r="J606" s="108">
        <f>SUM(J603:J605)</f>
        <v>141438.62</v>
      </c>
      <c r="K606" s="108">
        <f>SUM(K603:K605)</f>
        <v>428773.5</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11259.5</v>
      </c>
      <c r="G612" s="18">
        <f>F612*0.5</f>
        <v>5629.75</v>
      </c>
      <c r="H612" s="18"/>
      <c r="I612" s="18"/>
      <c r="J612" s="18"/>
      <c r="K612" s="18"/>
      <c r="L612" s="88">
        <f>SUM(F612:K612)</f>
        <v>16889.25</v>
      </c>
      <c r="M612" s="8"/>
      <c r="N612" s="265"/>
    </row>
    <row r="613" spans="1:14" s="3" customFormat="1" ht="12.2" customHeight="1" x14ac:dyDescent="0.15">
      <c r="A613" s="22" t="s">
        <v>634</v>
      </c>
      <c r="B613" s="75">
        <v>23</v>
      </c>
      <c r="C613" s="75">
        <v>14</v>
      </c>
      <c r="D613" s="2" t="s">
        <v>432</v>
      </c>
      <c r="E613" s="75"/>
      <c r="F613" s="18">
        <f>12406.2*0.4</f>
        <v>4962.4800000000005</v>
      </c>
      <c r="G613" s="18">
        <f t="shared" ref="G613:G614" si="55">F613*0.5</f>
        <v>2481.2400000000002</v>
      </c>
      <c r="H613" s="18"/>
      <c r="I613" s="18"/>
      <c r="J613" s="18"/>
      <c r="K613" s="18"/>
      <c r="L613" s="88">
        <f>SUM(F613:K613)</f>
        <v>7443.7200000000012</v>
      </c>
      <c r="M613" s="8"/>
      <c r="N613" s="265"/>
    </row>
    <row r="614" spans="1:14" s="3" customFormat="1" ht="12.2" customHeight="1" thickBot="1" x14ac:dyDescent="0.2">
      <c r="A614" s="22" t="s">
        <v>645</v>
      </c>
      <c r="B614" s="75">
        <v>23</v>
      </c>
      <c r="C614" s="75">
        <v>15</v>
      </c>
      <c r="D614" s="2" t="s">
        <v>432</v>
      </c>
      <c r="E614" s="75"/>
      <c r="F614" s="18">
        <f>12406.2*0.6</f>
        <v>7443.72</v>
      </c>
      <c r="G614" s="18">
        <f t="shared" si="55"/>
        <v>3721.86</v>
      </c>
      <c r="H614" s="18"/>
      <c r="I614" s="18"/>
      <c r="J614" s="18"/>
      <c r="K614" s="18"/>
      <c r="L614" s="88">
        <f>SUM(F614:K614)</f>
        <v>11165.58</v>
      </c>
      <c r="M614" s="8"/>
      <c r="N614" s="265"/>
    </row>
    <row r="615" spans="1:14" s="3" customFormat="1" ht="12.2" customHeight="1" thickTop="1" x14ac:dyDescent="0.15">
      <c r="A615" s="98" t="s">
        <v>340</v>
      </c>
      <c r="B615" s="107">
        <v>23</v>
      </c>
      <c r="C615" s="107">
        <v>16</v>
      </c>
      <c r="D615" s="39" t="s">
        <v>432</v>
      </c>
      <c r="E615" s="107"/>
      <c r="F615" s="108">
        <f t="shared" ref="F615:L615" si="56">SUM(F612:F614)</f>
        <v>23665.7</v>
      </c>
      <c r="G615" s="108">
        <f t="shared" si="56"/>
        <v>11832.85</v>
      </c>
      <c r="H615" s="108">
        <f t="shared" si="56"/>
        <v>0</v>
      </c>
      <c r="I615" s="108">
        <f t="shared" si="56"/>
        <v>0</v>
      </c>
      <c r="J615" s="108">
        <f t="shared" si="56"/>
        <v>0</v>
      </c>
      <c r="K615" s="108">
        <f t="shared" si="56"/>
        <v>0</v>
      </c>
      <c r="L615" s="89">
        <f t="shared" si="56"/>
        <v>35498.550000000003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1500966.66</v>
      </c>
      <c r="H618" s="109">
        <f>SUM(F52)</f>
        <v>1500966.66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40914.519999999997</v>
      </c>
      <c r="H619" s="109">
        <f>SUM(G52)</f>
        <v>40914.519999999997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169754.81</v>
      </c>
      <c r="H620" s="109">
        <f>SUM(H52)</f>
        <v>169754.81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954455.15</v>
      </c>
      <c r="H622" s="109">
        <f>SUM(J52)</f>
        <v>954455.15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1494417.25</v>
      </c>
      <c r="H623" s="109">
        <f>F477</f>
        <v>1494417.25</v>
      </c>
      <c r="I623" s="121" t="s">
        <v>101</v>
      </c>
      <c r="J623" s="109">
        <f t="shared" ref="J623:J656" si="57">G623-H623</f>
        <v>0</v>
      </c>
      <c r="K623" s="109"/>
      <c r="L623" s="109"/>
      <c r="M623" s="8"/>
    </row>
    <row r="624" spans="1:14" s="3" customFormat="1" ht="12.2" customHeight="1" x14ac:dyDescent="0.15">
      <c r="A624" s="97"/>
      <c r="B624" s="105"/>
      <c r="C624" s="119"/>
      <c r="D624" s="119"/>
      <c r="E624" s="119"/>
      <c r="F624" s="119" t="s">
        <v>866</v>
      </c>
      <c r="G624" s="109">
        <f>G51</f>
        <v>40914.519999999997</v>
      </c>
      <c r="H624" s="109">
        <f>G477</f>
        <v>40914.520000000019</v>
      </c>
      <c r="I624" s="121" t="s">
        <v>102</v>
      </c>
      <c r="J624" s="109">
        <f t="shared" si="57"/>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7"/>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7"/>
        <v>0</v>
      </c>
      <c r="K626" s="109"/>
      <c r="L626" s="109"/>
      <c r="M626" s="8"/>
    </row>
    <row r="627" spans="1:13" s="3" customFormat="1" ht="12.2" customHeight="1" x14ac:dyDescent="0.15">
      <c r="A627" s="22"/>
      <c r="B627" s="105"/>
      <c r="C627" s="105"/>
      <c r="D627" s="105"/>
      <c r="E627" s="105"/>
      <c r="F627" s="120" t="s">
        <v>869</v>
      </c>
      <c r="G627" s="109">
        <f>J51</f>
        <v>954455.15</v>
      </c>
      <c r="H627" s="109">
        <f>J477</f>
        <v>954455.15</v>
      </c>
      <c r="I627" s="140" t="s">
        <v>105</v>
      </c>
      <c r="J627" s="109">
        <f t="shared" si="57"/>
        <v>0</v>
      </c>
      <c r="K627" s="85"/>
      <c r="L627" s="88"/>
      <c r="M627" s="8"/>
    </row>
    <row r="628" spans="1:13" s="3" customFormat="1" ht="12.2" customHeight="1" x14ac:dyDescent="0.15">
      <c r="A628" s="22"/>
      <c r="B628" s="105"/>
      <c r="C628" s="105"/>
      <c r="D628" s="105"/>
      <c r="E628" s="105"/>
      <c r="F628" s="120" t="s">
        <v>658</v>
      </c>
      <c r="G628" s="109">
        <f>F194</f>
        <v>12420560.57</v>
      </c>
      <c r="H628" s="104">
        <f>SUM(F469)</f>
        <v>12420560.57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135944</v>
      </c>
      <c r="H629" s="104">
        <f>SUM(G469)</f>
        <v>135944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364282.5</v>
      </c>
      <c r="H630" s="104">
        <f>SUM(H469)</f>
        <v>364282.5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998.72</v>
      </c>
      <c r="H632" s="104">
        <f>SUM(J469)</f>
        <v>998.72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11998828.349327253</v>
      </c>
      <c r="H633" s="104">
        <f>SUM(F473)</f>
        <v>11998828.35</v>
      </c>
      <c r="I633" s="140" t="s">
        <v>111</v>
      </c>
      <c r="J633" s="109">
        <f t="shared" si="57"/>
        <v>-6.727464497089386E-4</v>
      </c>
      <c r="K633" s="85"/>
      <c r="L633" s="88"/>
      <c r="M633" s="8"/>
    </row>
    <row r="634" spans="1:13" s="3" customFormat="1" ht="12.2" customHeight="1" x14ac:dyDescent="0.15">
      <c r="A634" s="22"/>
      <c r="B634" s="105"/>
      <c r="C634" s="105"/>
      <c r="D634" s="105"/>
      <c r="E634" s="105"/>
      <c r="F634" s="120" t="s">
        <v>395</v>
      </c>
      <c r="G634" s="109">
        <f>SUM(L353)</f>
        <v>364282.5</v>
      </c>
      <c r="H634" s="104">
        <f>SUM(H473)</f>
        <v>364282.5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54485.67</v>
      </c>
      <c r="H635" s="104">
        <f>I370</f>
        <v>54485.67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143418.26</v>
      </c>
      <c r="H636" s="104">
        <f>SUM(G473)</f>
        <v>143418.26</v>
      </c>
      <c r="I636" s="140" t="s">
        <v>114</v>
      </c>
      <c r="J636" s="109">
        <f t="shared" si="57"/>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7"/>
        <v>0</v>
      </c>
      <c r="K637" s="85"/>
      <c r="L637" s="88"/>
      <c r="M637" s="8"/>
    </row>
    <row r="638" spans="1:13" s="3" customFormat="1" ht="12.2" customHeight="1" x14ac:dyDescent="0.15">
      <c r="A638" s="161"/>
      <c r="B638" s="162"/>
      <c r="C638" s="162"/>
      <c r="D638" s="162"/>
      <c r="E638" s="162"/>
      <c r="F638" s="163" t="s">
        <v>477</v>
      </c>
      <c r="G638" s="151">
        <f>SUM(L409)</f>
        <v>998.72</v>
      </c>
      <c r="H638" s="164">
        <f>SUM(J469)</f>
        <v>998.72</v>
      </c>
      <c r="I638" s="165" t="s">
        <v>110</v>
      </c>
      <c r="J638" s="151">
        <f t="shared" si="57"/>
        <v>0</v>
      </c>
      <c r="K638" s="166"/>
      <c r="L638" s="167"/>
      <c r="M638" s="8"/>
    </row>
    <row r="639" spans="1:13" s="3" customFormat="1" ht="12.2" customHeight="1" x14ac:dyDescent="0.15">
      <c r="A639" s="161"/>
      <c r="B639" s="162"/>
      <c r="C639" s="162"/>
      <c r="D639" s="162"/>
      <c r="E639" s="162"/>
      <c r="F639" s="163" t="s">
        <v>478</v>
      </c>
      <c r="G639" s="151">
        <f>SUM(L435)</f>
        <v>1000</v>
      </c>
      <c r="H639" s="164">
        <f>SUM(J473)</f>
        <v>1000</v>
      </c>
      <c r="I639" s="165" t="s">
        <v>117</v>
      </c>
      <c r="J639" s="151">
        <f t="shared" si="57"/>
        <v>0</v>
      </c>
      <c r="K639" s="166"/>
      <c r="L639" s="167"/>
      <c r="M639" s="8"/>
    </row>
    <row r="640" spans="1:13" s="3" customFormat="1" ht="12.2" customHeight="1" x14ac:dyDescent="0.15">
      <c r="A640" s="22"/>
      <c r="B640" s="105"/>
      <c r="C640" s="105"/>
      <c r="D640" s="105"/>
      <c r="E640" s="105"/>
      <c r="F640" s="120" t="s">
        <v>118</v>
      </c>
      <c r="G640" s="109">
        <f>SUM(F447)</f>
        <v>826072.66</v>
      </c>
      <c r="H640" s="104">
        <f>SUM(F462)</f>
        <v>826072.66</v>
      </c>
      <c r="I640" s="140" t="s">
        <v>841</v>
      </c>
      <c r="J640" s="109">
        <f t="shared" si="57"/>
        <v>0</v>
      </c>
      <c r="K640" s="85"/>
      <c r="L640" s="88"/>
      <c r="M640" s="8"/>
    </row>
    <row r="641" spans="1:13" s="3" customFormat="1" ht="12.2" customHeight="1" x14ac:dyDescent="0.15">
      <c r="A641" s="22"/>
      <c r="B641" s="105"/>
      <c r="C641" s="105"/>
      <c r="D641" s="105"/>
      <c r="E641" s="105"/>
      <c r="F641" s="120" t="s">
        <v>119</v>
      </c>
      <c r="G641" s="109">
        <f>SUM(G447)</f>
        <v>128382.49</v>
      </c>
      <c r="H641" s="104">
        <f>SUM(G462)</f>
        <v>128382.49</v>
      </c>
      <c r="I641" s="140" t="s">
        <v>842</v>
      </c>
      <c r="J641" s="109">
        <f t="shared" si="57"/>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7"/>
        <v>0</v>
      </c>
      <c r="K642" s="85"/>
      <c r="L642" s="88"/>
      <c r="M642" s="8"/>
    </row>
    <row r="643" spans="1:13" s="3" customFormat="1" ht="12.2" customHeight="1" x14ac:dyDescent="0.15">
      <c r="A643" s="22"/>
      <c r="B643" s="105"/>
      <c r="C643" s="105"/>
      <c r="D643" s="105"/>
      <c r="E643" s="105"/>
      <c r="F643" s="120" t="s">
        <v>121</v>
      </c>
      <c r="G643" s="109">
        <f>SUM(I447)</f>
        <v>954455.15</v>
      </c>
      <c r="H643" s="104">
        <f>SUM(I462)</f>
        <v>954455.15</v>
      </c>
      <c r="I643" s="140" t="s">
        <v>844</v>
      </c>
      <c r="J643" s="109">
        <f t="shared" si="57"/>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7"/>
        <v>0</v>
      </c>
      <c r="K644" s="85"/>
      <c r="L644" s="88"/>
      <c r="M644" s="8"/>
    </row>
    <row r="645" spans="1:13" s="3" customFormat="1" ht="12.2" customHeight="1" x14ac:dyDescent="0.15">
      <c r="A645" s="22"/>
      <c r="B645" s="105"/>
      <c r="C645" s="105"/>
      <c r="D645" s="105"/>
      <c r="E645" s="105"/>
      <c r="F645" s="120" t="s">
        <v>663</v>
      </c>
      <c r="G645" s="109">
        <f>J96</f>
        <v>998.72</v>
      </c>
      <c r="H645" s="104">
        <f>H409</f>
        <v>998.72</v>
      </c>
      <c r="I645" s="140" t="s">
        <v>480</v>
      </c>
      <c r="J645" s="109">
        <f t="shared" si="57"/>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7"/>
        <v>0</v>
      </c>
      <c r="K646" s="85"/>
      <c r="L646" s="88"/>
      <c r="M646" s="8"/>
    </row>
    <row r="647" spans="1:13" s="3" customFormat="1" ht="12.2" customHeight="1" x14ac:dyDescent="0.15">
      <c r="A647" s="22"/>
      <c r="B647" s="105"/>
      <c r="C647" s="105"/>
      <c r="D647" s="105"/>
      <c r="E647" s="105"/>
      <c r="F647" s="120" t="s">
        <v>662</v>
      </c>
      <c r="G647" s="109">
        <f>J194</f>
        <v>998.72</v>
      </c>
      <c r="H647" s="104">
        <f>L409</f>
        <v>998.72</v>
      </c>
      <c r="I647" s="140" t="s">
        <v>477</v>
      </c>
      <c r="J647" s="109">
        <f t="shared" si="57"/>
        <v>0</v>
      </c>
      <c r="K647" s="85"/>
      <c r="L647" s="88"/>
      <c r="M647" s="8"/>
    </row>
    <row r="648" spans="1:13" s="3" customFormat="1" ht="12.2" customHeight="1" x14ac:dyDescent="0.15">
      <c r="A648" s="22"/>
      <c r="B648" s="105"/>
      <c r="C648" s="105"/>
      <c r="D648" s="105"/>
      <c r="E648" s="105"/>
      <c r="F648" s="120" t="s">
        <v>51</v>
      </c>
      <c r="G648" s="109">
        <f>K599</f>
        <v>565239.72000000009</v>
      </c>
      <c r="H648" s="104">
        <f>L209+L227+L245</f>
        <v>565239.72333333327</v>
      </c>
      <c r="I648" s="140" t="s">
        <v>396</v>
      </c>
      <c r="J648" s="109">
        <f t="shared" si="57"/>
        <v>-3.3333331812173128E-3</v>
      </c>
      <c r="K648" s="85"/>
      <c r="L648" s="88"/>
      <c r="M648" s="8"/>
    </row>
    <row r="649" spans="1:13" s="3" customFormat="1" ht="12.2" customHeight="1" x14ac:dyDescent="0.15">
      <c r="A649" s="22"/>
      <c r="B649" s="105"/>
      <c r="C649" s="105"/>
      <c r="D649" s="105"/>
      <c r="E649" s="105"/>
      <c r="F649" s="120" t="s">
        <v>52</v>
      </c>
      <c r="G649" s="109">
        <f>K606</f>
        <v>428773.5</v>
      </c>
      <c r="H649" s="104">
        <f>(J258+J339)-(J256+J337)</f>
        <v>428773.5</v>
      </c>
      <c r="I649" s="140" t="s">
        <v>699</v>
      </c>
      <c r="J649" s="109">
        <f t="shared" si="57"/>
        <v>0</v>
      </c>
      <c r="K649" s="85"/>
      <c r="L649" s="88"/>
      <c r="M649" s="8"/>
    </row>
    <row r="650" spans="1:13" s="3" customFormat="1" ht="12.2" customHeight="1" x14ac:dyDescent="0.15">
      <c r="A650" s="22"/>
      <c r="B650" s="105"/>
      <c r="C650" s="105"/>
      <c r="D650" s="105"/>
      <c r="E650" s="105"/>
      <c r="F650" s="120" t="s">
        <v>387</v>
      </c>
      <c r="G650" s="109">
        <f>L209</f>
        <v>179216.74333333332</v>
      </c>
      <c r="H650" s="104">
        <f>H599</f>
        <v>179216.74000000002</v>
      </c>
      <c r="I650" s="140" t="s">
        <v>388</v>
      </c>
      <c r="J650" s="109">
        <f t="shared" si="57"/>
        <v>3.3333332976326346E-3</v>
      </c>
      <c r="K650" s="85"/>
      <c r="L650" s="88"/>
      <c r="M650" s="8"/>
    </row>
    <row r="651" spans="1:13" s="3" customFormat="1" ht="12.2" customHeight="1" x14ac:dyDescent="0.15">
      <c r="A651" s="22"/>
      <c r="B651" s="105"/>
      <c r="C651" s="105"/>
      <c r="D651" s="105"/>
      <c r="E651" s="105"/>
      <c r="F651" s="120" t="s">
        <v>392</v>
      </c>
      <c r="G651" s="109">
        <f>L227</f>
        <v>188849.83266666665</v>
      </c>
      <c r="H651" s="104">
        <f>I599</f>
        <v>188849.83200000002</v>
      </c>
      <c r="I651" s="140" t="s">
        <v>389</v>
      </c>
      <c r="J651" s="109">
        <f t="shared" si="57"/>
        <v>6.6666663042269647E-4</v>
      </c>
      <c r="K651" s="85"/>
      <c r="L651" s="88"/>
      <c r="M651" s="8"/>
    </row>
    <row r="652" spans="1:13" s="3" customFormat="1" ht="12.2" customHeight="1" x14ac:dyDescent="0.15">
      <c r="A652" s="22"/>
      <c r="B652" s="105"/>
      <c r="C652" s="105"/>
      <c r="D652" s="105"/>
      <c r="E652" s="105"/>
      <c r="F652" s="120" t="s">
        <v>393</v>
      </c>
      <c r="G652" s="109">
        <f>L245</f>
        <v>197173.1473333333</v>
      </c>
      <c r="H652" s="104">
        <f>J599</f>
        <v>197173.14800000002</v>
      </c>
      <c r="I652" s="140" t="s">
        <v>390</v>
      </c>
      <c r="J652" s="109">
        <f t="shared" si="57"/>
        <v>-6.6666671773418784E-4</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7"/>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7"/>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7"/>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7"/>
        <v>0</v>
      </c>
      <c r="K656" s="85"/>
      <c r="L656" s="88"/>
      <c r="M656" s="9"/>
    </row>
    <row r="657" spans="1:13" s="3" customFormat="1" ht="12.2" customHeight="1" x14ac:dyDescent="0.15">
      <c r="A657" s="127"/>
      <c r="B657" s="127"/>
      <c r="C657" s="127"/>
      <c r="D657" s="127"/>
      <c r="E657" s="127"/>
      <c r="F657" s="26" t="s">
        <v>122</v>
      </c>
      <c r="G657" s="19"/>
      <c r="H657" s="104">
        <f>SUM(G618:G656)-SUM(H618:H656)</f>
        <v>-6.7275762557983398E-4</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4305252.0193313072</v>
      </c>
      <c r="G661" s="19">
        <f>(L230+L310+L360)</f>
        <v>3672724.2196646403</v>
      </c>
      <c r="H661" s="19">
        <f>(L248+L329+L361)</f>
        <v>4528552.870331306</v>
      </c>
      <c r="I661" s="19">
        <f>SUM(F661:H661)</f>
        <v>12506529.109327253</v>
      </c>
      <c r="J661" s="13"/>
      <c r="K661" s="13"/>
      <c r="L661" s="13"/>
      <c r="M661" s="9"/>
    </row>
    <row r="662" spans="1:13" s="3" customFormat="1" ht="12.2" customHeight="1" x14ac:dyDescent="0.2">
      <c r="A662" s="1" t="s">
        <v>127</v>
      </c>
      <c r="F662" s="19">
        <f>(L359/IF(SUM(L359:L361)=0,1,SUM(L359:L361))*(SUM(G97:G110)))</f>
        <v>25005.669846235756</v>
      </c>
      <c r="G662" s="19">
        <f>(L360/IF(SUM(L359:L361)=0,1,SUM(L359:L361))*(SUM(G97:G110)))</f>
        <v>25005.669846235756</v>
      </c>
      <c r="H662" s="19">
        <f>(L361/IF(SUM(L359:L361)=0,1,SUM(L359:L361))*(SUM(G97:G110)))</f>
        <v>25005.680307528481</v>
      </c>
      <c r="I662" s="19">
        <f>SUM(F662:H662)</f>
        <v>75017.01999999999</v>
      </c>
      <c r="J662"/>
      <c r="K662" s="13"/>
      <c r="L662" s="13"/>
      <c r="M662" s="8"/>
    </row>
    <row r="663" spans="1:13" s="3" customFormat="1" ht="12.2" customHeight="1" x14ac:dyDescent="0.2">
      <c r="A663" s="1" t="s">
        <v>128</v>
      </c>
      <c r="F663" s="19">
        <f>(L209+L288)-(J209+J288)</f>
        <v>142926.01999999999</v>
      </c>
      <c r="G663" s="19">
        <f>(L227+L307)-(J227+J307)</f>
        <v>152559.10933333333</v>
      </c>
      <c r="H663" s="19">
        <f>(L245+L326)-(J245+J326)</f>
        <v>160882.42399999997</v>
      </c>
      <c r="I663" s="19">
        <f>SUM(F663:H663)</f>
        <v>456367.55333333334</v>
      </c>
      <c r="J663"/>
      <c r="K663" s="13"/>
      <c r="L663" s="13"/>
      <c r="M663" s="9"/>
    </row>
    <row r="664" spans="1:13" s="3" customFormat="1" ht="12.2" customHeight="1" x14ac:dyDescent="0.15">
      <c r="A664" s="197" t="s">
        <v>129</v>
      </c>
      <c r="B664" s="169"/>
      <c r="C664" s="169"/>
      <c r="D664" s="169"/>
      <c r="E664" s="169"/>
      <c r="F664" s="198">
        <f>SUM(F576:F588)+SUM(H603:H605)+SUM(L612)</f>
        <v>160850.23999999999</v>
      </c>
      <c r="G664" s="198">
        <f>SUM(G576:G588)+SUM(I603:I605)+L613</f>
        <v>198501.234</v>
      </c>
      <c r="H664" s="198">
        <f>SUM(H576:H588)+SUM(J603:J605)+L614</f>
        <v>639973.63599999994</v>
      </c>
      <c r="I664" s="19">
        <f>SUM(F664:H664)</f>
        <v>999325.10999999987</v>
      </c>
      <c r="J664" s="13"/>
      <c r="K664" s="13"/>
      <c r="L664" s="13"/>
      <c r="M664" s="9"/>
    </row>
    <row r="665" spans="1:13" s="3" customFormat="1" ht="12.2" customHeight="1" x14ac:dyDescent="0.15">
      <c r="A665" s="1" t="s">
        <v>130</v>
      </c>
      <c r="F665" s="19">
        <f>F661-SUM(F662:F664)</f>
        <v>3976470.0894850716</v>
      </c>
      <c r="G665" s="19">
        <f>G661-SUM(G662:G664)</f>
        <v>3296658.2064850712</v>
      </c>
      <c r="H665" s="19">
        <f>H661-SUM(H662:H664)</f>
        <v>3702691.1300237775</v>
      </c>
      <c r="I665" s="19">
        <f>I661-SUM(I662:I664)</f>
        <v>10975819.425993919</v>
      </c>
      <c r="J665" s="13"/>
      <c r="K665" s="13"/>
      <c r="L665" s="13"/>
      <c r="M665" s="8"/>
    </row>
    <row r="666" spans="1:13" s="3" customFormat="1" ht="12.2" customHeight="1" x14ac:dyDescent="0.2">
      <c r="A666" s="1" t="s">
        <v>131</v>
      </c>
      <c r="F666" s="245">
        <v>163.22</v>
      </c>
      <c r="G666" s="246">
        <v>83.1</v>
      </c>
      <c r="H666" s="246">
        <v>127.35</v>
      </c>
      <c r="I666" s="19">
        <f>SUM(F666:H666)</f>
        <v>373.66999999999996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24362.639999999999</v>
      </c>
      <c r="G668" s="19">
        <f>ROUND(G665/G666,2)</f>
        <v>39670.980000000003</v>
      </c>
      <c r="H668" s="19">
        <f>ROUND(H665/H666,2)</f>
        <v>29074.92</v>
      </c>
      <c r="I668" s="19">
        <f>ROUND(I665/I666,2)</f>
        <v>29373.03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-2.17</v>
      </c>
      <c r="I671" s="19">
        <f>SUM(F671:H671)</f>
        <v>-2.17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24362.639999999999</v>
      </c>
      <c r="G673" s="19">
        <f>ROUND((G665+G670)/(G666+G671),2)</f>
        <v>39670.980000000003</v>
      </c>
      <c r="H673" s="19">
        <f>ROUND((H665+H670)/(H666+H671),2)</f>
        <v>29578.94</v>
      </c>
      <c r="I673" s="19">
        <f>ROUND((I665+I670)/(I666+I671),2)</f>
        <v>29544.6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28150.52</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3585.86+12674.66</f>
        <v>16260.52</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10000+1890</f>
        <v>11890</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35147</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4"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c r="C3" s="315"/>
      <c r="D3" s="315"/>
      <c r="E3" s="315"/>
      <c r="F3" s="315"/>
      <c r="G3" s="315"/>
      <c r="H3" s="315"/>
      <c r="I3" t="s">
        <v>1613</v>
      </c>
    </row>
    <row r="4" spans="1:9" x14ac:dyDescent="0.2">
      <c r="I4" t="s">
        <v>1614</v>
      </c>
    </row>
    <row r="5" spans="1:9" ht="15.75" x14ac:dyDescent="0.25">
      <c r="A5" s="311" t="s">
        <v>908</v>
      </c>
      <c r="B5" s="374" t="str">
        <f>'DOE25'!A2</f>
        <v>Sunapee</v>
      </c>
      <c r="C5" s="375"/>
      <c r="D5" s="375"/>
      <c r="E5" s="375"/>
      <c r="F5" s="375"/>
    </row>
    <row r="8" spans="1:9" ht="18" x14ac:dyDescent="0.25">
      <c r="A8" s="312" t="s">
        <v>1568</v>
      </c>
      <c r="F8" s="319" t="s">
        <v>1586</v>
      </c>
    </row>
    <row r="9" spans="1:9" ht="15" x14ac:dyDescent="0.2">
      <c r="A9" s="310" t="s">
        <v>1569</v>
      </c>
      <c r="B9" s="313">
        <f>'DOE25'!G97</f>
        <v>74081.429999999993</v>
      </c>
      <c r="F9" s="310" t="s">
        <v>1582</v>
      </c>
    </row>
    <row r="10" spans="1:9" ht="15" x14ac:dyDescent="0.2">
      <c r="A10" s="310" t="s">
        <v>1570</v>
      </c>
      <c r="B10" s="313">
        <f>'DOE25'!G112-'DOE25'!G97</f>
        <v>935.58999999999651</v>
      </c>
      <c r="F10" s="310" t="s">
        <v>1583</v>
      </c>
    </row>
    <row r="11" spans="1:9" ht="15" x14ac:dyDescent="0.2">
      <c r="A11" s="310" t="s">
        <v>1571</v>
      </c>
      <c r="B11" s="313">
        <f>'DOE25'!G140</f>
        <v>239.49</v>
      </c>
      <c r="F11" s="310" t="s">
        <v>1584</v>
      </c>
    </row>
    <row r="12" spans="1:9" ht="15" x14ac:dyDescent="0.2">
      <c r="A12" s="310" t="s">
        <v>1572</v>
      </c>
      <c r="B12" s="313">
        <f>'DOE25'!G170</f>
        <v>60687.490000000005</v>
      </c>
      <c r="F12" s="310" t="s">
        <v>1585</v>
      </c>
    </row>
    <row r="13" spans="1:9" ht="15" x14ac:dyDescent="0.2">
      <c r="A13" s="310" t="s">
        <v>1573</v>
      </c>
      <c r="B13" s="313">
        <f>'DOE25'!G193-'DOE25'!G180</f>
        <v>0</v>
      </c>
      <c r="F13" s="310" t="s">
        <v>1595</v>
      </c>
    </row>
    <row r="14" spans="1:9" ht="18" x14ac:dyDescent="0.25">
      <c r="A14" s="312" t="s">
        <v>732</v>
      </c>
      <c r="B14" s="314">
        <f>SUM(B9:B13)</f>
        <v>135944</v>
      </c>
    </row>
    <row r="16" spans="1:9" ht="18" x14ac:dyDescent="0.25">
      <c r="A16" s="312" t="s">
        <v>786</v>
      </c>
      <c r="F16" s="319" t="s">
        <v>1587</v>
      </c>
    </row>
    <row r="17" spans="1:6" ht="15" x14ac:dyDescent="0.2">
      <c r="A17" s="310" t="s">
        <v>1574</v>
      </c>
      <c r="B17" s="313">
        <f>'DOE25'!L363-'DOE25'!L362</f>
        <v>143418.26</v>
      </c>
      <c r="F17" s="310" t="s">
        <v>1588</v>
      </c>
    </row>
    <row r="18" spans="1:6" ht="15" x14ac:dyDescent="0.2">
      <c r="A18" s="310" t="s">
        <v>1575</v>
      </c>
      <c r="B18" s="323"/>
      <c r="F18" s="319" t="s">
        <v>1612</v>
      </c>
    </row>
    <row r="19" spans="1:6" ht="18" x14ac:dyDescent="0.25">
      <c r="A19" s="312" t="s">
        <v>725</v>
      </c>
      <c r="B19" s="314">
        <f>SUM(B17:B18)</f>
        <v>143418.26</v>
      </c>
    </row>
    <row r="21" spans="1:6" ht="18.75" thickBot="1" x14ac:dyDescent="0.3">
      <c r="A21" s="312" t="s">
        <v>1576</v>
      </c>
    </row>
    <row r="22" spans="1:6" ht="18.75" thickTop="1" x14ac:dyDescent="0.25">
      <c r="A22" s="312" t="s">
        <v>1577</v>
      </c>
      <c r="B22" s="318">
        <f>B14-B19</f>
        <v>-7474.2600000000093</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71607.14</v>
      </c>
      <c r="F31" s="310" t="s">
        <v>1592</v>
      </c>
    </row>
    <row r="33" spans="1:6" ht="15" x14ac:dyDescent="0.2">
      <c r="A33" s="310" t="s">
        <v>1635</v>
      </c>
      <c r="B33" s="313">
        <f>'DOE25'!G477</f>
        <v>40914.520000000019</v>
      </c>
      <c r="F33" s="310" t="s">
        <v>1593</v>
      </c>
    </row>
    <row r="36" spans="1:6" ht="15" x14ac:dyDescent="0.2">
      <c r="A36" s="310" t="s">
        <v>1579</v>
      </c>
      <c r="B36" s="324">
        <f>93.75+33.75+33.75+86.25+93.75+105+67.5+101.25+90+52.5+150</f>
        <v>907.5</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Sunapee</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3110941.3100000005</v>
      </c>
      <c r="C9" s="228">
        <f>'DOE25'!G198+'DOE25'!G216+'DOE25'!G234+'DOE25'!G277+'DOE25'!G296+'DOE25'!G315</f>
        <v>1584238.02</v>
      </c>
    </row>
    <row r="10" spans="1:3" x14ac:dyDescent="0.2">
      <c r="A10" t="s">
        <v>775</v>
      </c>
      <c r="B10" s="239">
        <f>1240852.77+1633064.47+51549.77+59720.28+10877.58+10877.59</f>
        <v>3006942.46</v>
      </c>
      <c r="C10" s="239">
        <f>C9*0.965</f>
        <v>1528789.6893</v>
      </c>
    </row>
    <row r="11" spans="1:3" x14ac:dyDescent="0.2">
      <c r="A11" t="s">
        <v>776</v>
      </c>
      <c r="B11" s="239">
        <f>41779.28+62219.57</f>
        <v>103998.85</v>
      </c>
      <c r="C11" s="239">
        <f>C9-C10</f>
        <v>55448.33070000005</v>
      </c>
    </row>
    <row r="12" spans="1:3" x14ac:dyDescent="0.2">
      <c r="A12" t="s">
        <v>777</v>
      </c>
      <c r="B12" s="239"/>
      <c r="C12" s="239"/>
    </row>
    <row r="13" spans="1:3" x14ac:dyDescent="0.2">
      <c r="A13" t="str">
        <f>IF(B9=B13,IF(C9=C13,"Check Total OK","Check Total Error"),"Check Total Error")</f>
        <v>Check Total OK</v>
      </c>
      <c r="B13" s="230">
        <f>SUM(B10:B12)</f>
        <v>3110941.31</v>
      </c>
      <c r="C13" s="230">
        <f>SUM(C10:C12)</f>
        <v>1584238.02</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845383.38000000012</v>
      </c>
      <c r="C18" s="228">
        <f>'DOE25'!G199+'DOE25'!G217+'DOE25'!G235+'DOE25'!G278+'DOE25'!G297+'DOE25'!G316</f>
        <v>408030</v>
      </c>
    </row>
    <row r="19" spans="1:3" x14ac:dyDescent="0.2">
      <c r="A19" t="s">
        <v>775</v>
      </c>
      <c r="B19" s="239">
        <f>156434.89+291543.86+21715.16+21715.16+21715.16</f>
        <v>513124.22999999992</v>
      </c>
      <c r="C19" s="239">
        <f>C18*0.574</f>
        <v>234209.21999999997</v>
      </c>
    </row>
    <row r="20" spans="1:3" x14ac:dyDescent="0.2">
      <c r="A20" t="s">
        <v>776</v>
      </c>
      <c r="B20" s="239">
        <f>95041.98+92967.48</f>
        <v>188009.46</v>
      </c>
      <c r="C20" s="239">
        <f>C18*0.24</f>
        <v>97927.2</v>
      </c>
    </row>
    <row r="21" spans="1:3" x14ac:dyDescent="0.2">
      <c r="A21" t="s">
        <v>777</v>
      </c>
      <c r="B21" s="239">
        <f>101825+42424.69</f>
        <v>144249.69</v>
      </c>
      <c r="C21" s="239">
        <f>C18-C19-C20</f>
        <v>75893.580000000031</v>
      </c>
    </row>
    <row r="22" spans="1:3" x14ac:dyDescent="0.2">
      <c r="A22" t="str">
        <f>IF(B18=B22,IF(C18=C22,"Check Total OK","Check Total Error"),"Check Total Error")</f>
        <v>Check Total OK</v>
      </c>
      <c r="B22" s="230">
        <f>SUM(B19:B21)</f>
        <v>845383.37999999989</v>
      </c>
      <c r="C22" s="230">
        <f>SUM(C19:C21)</f>
        <v>408030</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148475.65000000002</v>
      </c>
      <c r="C36" s="234">
        <f>'DOE25'!G201+'DOE25'!G219+'DOE25'!G237+'DOE25'!G280+'DOE25'!G299+'DOE25'!G318</f>
        <v>77646</v>
      </c>
    </row>
    <row r="37" spans="1:3" x14ac:dyDescent="0.2">
      <c r="A37" t="s">
        <v>775</v>
      </c>
      <c r="B37" s="239">
        <f>43760.97+23665.7</f>
        <v>67426.67</v>
      </c>
      <c r="C37" s="239">
        <f>C36-C39</f>
        <v>35328.93</v>
      </c>
    </row>
    <row r="38" spans="1:3" x14ac:dyDescent="0.2">
      <c r="A38" t="s">
        <v>776</v>
      </c>
      <c r="B38" s="239"/>
      <c r="C38" s="239"/>
    </row>
    <row r="39" spans="1:3" x14ac:dyDescent="0.2">
      <c r="A39" t="s">
        <v>777</v>
      </c>
      <c r="B39" s="239">
        <v>81048.98</v>
      </c>
      <c r="C39" s="239">
        <f>C36*0.545</f>
        <v>42317.07</v>
      </c>
    </row>
    <row r="40" spans="1:3" x14ac:dyDescent="0.2">
      <c r="A40" t="str">
        <f>IF(B36=B40,IF(C36=C40,"Check Total OK","Check Total Error"),"Check Total Error")</f>
        <v>Check Total OK</v>
      </c>
      <c r="B40" s="230">
        <f>SUM(B37:B39)</f>
        <v>148475.65</v>
      </c>
      <c r="C40" s="230">
        <f>SUM(C37:C39)</f>
        <v>77646</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Sunapee</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6819927.4449939206</v>
      </c>
      <c r="D5" s="20">
        <f>SUM('DOE25'!L198:L201)+SUM('DOE25'!L216:L219)+SUM('DOE25'!L234:L237)-F5-G5-H5</f>
        <v>6785802.1699999999</v>
      </c>
      <c r="E5" s="242"/>
      <c r="F5" s="243"/>
      <c r="G5" s="53">
        <f>SUM('DOE25'!J198:J201)+SUM('DOE25'!J216:J219)+SUM('DOE25'!J234:J237)</f>
        <v>23599.19</v>
      </c>
      <c r="H5" s="53">
        <f>SUM('DOE25'!K198:K201)+SUM('DOE25'!K216:K219)+SUM('DOE25'!K234:K237)</f>
        <v>10526.08499392</v>
      </c>
      <c r="I5" s="255"/>
    </row>
    <row r="6" spans="1:9" x14ac:dyDescent="0.2">
      <c r="A6" s="32">
        <v>2100</v>
      </c>
      <c r="B6" t="s">
        <v>796</v>
      </c>
      <c r="C6" s="274">
        <f t="shared" si="0"/>
        <v>1221823.1233333333</v>
      </c>
      <c r="D6" s="20">
        <f>'DOE25'!L203+'DOE25'!L221+'DOE25'!L239-F6-G6-H6</f>
        <v>1221823.1233333333</v>
      </c>
      <c r="E6" s="242"/>
      <c r="F6" s="243"/>
      <c r="G6" s="53">
        <f>'DOE25'!J203+'DOE25'!J221+'DOE25'!J239</f>
        <v>0</v>
      </c>
      <c r="H6" s="53">
        <f>'DOE25'!K203+'DOE25'!K221+'DOE25'!K239</f>
        <v>0</v>
      </c>
      <c r="I6" s="255"/>
    </row>
    <row r="7" spans="1:9" x14ac:dyDescent="0.2">
      <c r="A7" s="32">
        <v>2200</v>
      </c>
      <c r="B7" t="s">
        <v>821</v>
      </c>
      <c r="C7" s="274">
        <f t="shared" si="0"/>
        <v>964612.03666666662</v>
      </c>
      <c r="D7" s="20">
        <f>'DOE25'!L204+'DOE25'!L222+'DOE25'!L240-F7-G7-H7</f>
        <v>795510.58666666667</v>
      </c>
      <c r="E7" s="242"/>
      <c r="F7" s="243"/>
      <c r="G7" s="53">
        <f>'DOE25'!J204+'DOE25'!J222+'DOE25'!J240</f>
        <v>169101.45</v>
      </c>
      <c r="H7" s="53">
        <f>'DOE25'!K204+'DOE25'!K222+'DOE25'!K240</f>
        <v>0</v>
      </c>
      <c r="I7" s="255"/>
    </row>
    <row r="8" spans="1:9" x14ac:dyDescent="0.2">
      <c r="A8" s="32">
        <v>2300</v>
      </c>
      <c r="B8" t="s">
        <v>797</v>
      </c>
      <c r="C8" s="274">
        <f t="shared" si="0"/>
        <v>266768.74000000017</v>
      </c>
      <c r="D8" s="242"/>
      <c r="E8" s="20">
        <f>'DOE25'!L205+'DOE25'!L223+'DOE25'!L241-F8-G8-H8-D9-D11</f>
        <v>258448.53000000014</v>
      </c>
      <c r="F8" s="243"/>
      <c r="G8" s="53">
        <f>'DOE25'!J205+'DOE25'!J223+'DOE25'!J241</f>
        <v>0</v>
      </c>
      <c r="H8" s="53">
        <f>'DOE25'!K205+'DOE25'!K223+'DOE25'!K241</f>
        <v>8320.2100000000009</v>
      </c>
      <c r="I8" s="255"/>
    </row>
    <row r="9" spans="1:9" ht="14.25" x14ac:dyDescent="0.2">
      <c r="A9" s="32">
        <v>2310</v>
      </c>
      <c r="B9" s="184" t="s">
        <v>888</v>
      </c>
      <c r="C9" s="274">
        <f t="shared" si="0"/>
        <v>60308.59</v>
      </c>
      <c r="D9" s="243">
        <f>66308.59-6000</f>
        <v>60308.59</v>
      </c>
      <c r="E9" s="242"/>
      <c r="F9" s="252"/>
      <c r="G9" s="252"/>
      <c r="H9" s="252"/>
      <c r="I9" s="255"/>
    </row>
    <row r="10" spans="1:9" ht="14.25" x14ac:dyDescent="0.2">
      <c r="A10" s="32">
        <v>2317</v>
      </c>
      <c r="B10" s="184" t="s">
        <v>889</v>
      </c>
      <c r="C10" s="274">
        <f t="shared" si="0"/>
        <v>6000</v>
      </c>
      <c r="D10" s="242"/>
      <c r="E10" s="243">
        <v>6000</v>
      </c>
      <c r="F10" s="252"/>
      <c r="G10" s="252"/>
      <c r="H10" s="252"/>
      <c r="I10" s="255"/>
    </row>
    <row r="11" spans="1:9" ht="14.25" x14ac:dyDescent="0.2">
      <c r="A11" s="32">
        <v>2321</v>
      </c>
      <c r="B11" s="184" t="s">
        <v>890</v>
      </c>
      <c r="C11" s="274">
        <f t="shared" si="0"/>
        <v>286462.5</v>
      </c>
      <c r="D11" s="243">
        <v>286462.5</v>
      </c>
      <c r="E11" s="242"/>
      <c r="F11" s="252"/>
      <c r="G11" s="252"/>
      <c r="H11" s="252"/>
      <c r="I11" s="255"/>
    </row>
    <row r="12" spans="1:9" x14ac:dyDescent="0.2">
      <c r="A12" s="32">
        <v>2400</v>
      </c>
      <c r="B12" t="s">
        <v>711</v>
      </c>
      <c r="C12" s="274">
        <f t="shared" si="0"/>
        <v>605244.36</v>
      </c>
      <c r="D12" s="20">
        <f>'DOE25'!L206+'DOE25'!L224+'DOE25'!L242-F12-G12-H12</f>
        <v>595172.36</v>
      </c>
      <c r="E12" s="242"/>
      <c r="F12" s="243"/>
      <c r="G12" s="53">
        <f>'DOE25'!J206+'DOE25'!J224+'DOE25'!J242</f>
        <v>0</v>
      </c>
      <c r="H12" s="53">
        <f>'DOE25'!K206+'DOE25'!K224+'DOE25'!K242</f>
        <v>10072</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1208441.831</v>
      </c>
      <c r="D14" s="20">
        <f>'DOE25'!L208+'DOE25'!L226+'DOE25'!L244-F14-G14-H14</f>
        <v>1203064.2010000001</v>
      </c>
      <c r="E14" s="242"/>
      <c r="F14" s="243"/>
      <c r="G14" s="53">
        <f>'DOE25'!J208+'DOE25'!J226+'DOE25'!J244</f>
        <v>5377.63</v>
      </c>
      <c r="H14" s="53">
        <f>'DOE25'!K208+'DOE25'!K226+'DOE25'!K244</f>
        <v>0</v>
      </c>
      <c r="I14" s="255"/>
    </row>
    <row r="15" spans="1:9" x14ac:dyDescent="0.2">
      <c r="A15" s="32">
        <v>2700</v>
      </c>
      <c r="B15" t="s">
        <v>799</v>
      </c>
      <c r="C15" s="274">
        <f t="shared" si="0"/>
        <v>565239.72333333315</v>
      </c>
      <c r="D15" s="20">
        <f>'DOE25'!L209+'DOE25'!L227+'DOE25'!L245-F15-G15-H15</f>
        <v>455748.54999999987</v>
      </c>
      <c r="E15" s="242"/>
      <c r="F15" s="243"/>
      <c r="G15" s="53">
        <f>'DOE25'!J209+'DOE25'!J227+'DOE25'!J245</f>
        <v>108872.17000000001</v>
      </c>
      <c r="H15" s="53">
        <f>'DOE25'!K209+'DOE25'!K227+'DOE25'!K245</f>
        <v>619.00333333333333</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88932.590000000011</v>
      </c>
      <c r="D29" s="282">
        <f>'DOE25'!L359+'DOE25'!L360+'DOE25'!L361-'DOE25'!I368-F29-G29-H29</f>
        <v>34370.170000000013</v>
      </c>
      <c r="E29" s="242"/>
      <c r="F29" s="243">
        <v>54562.42</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364282.5</v>
      </c>
      <c r="D31" s="20">
        <f>'DOE25'!L291+'DOE25'!L310+'DOE25'!L329+'DOE25'!L334+'DOE25'!L335+'DOE25'!L336-F31-G31-H31</f>
        <v>-120718.06</v>
      </c>
      <c r="E31" s="242"/>
      <c r="F31" s="243">
        <v>362777.5</v>
      </c>
      <c r="G31" s="53">
        <f>'DOE25'!J291+'DOE25'!J310+'DOE25'!J329+'DOE25'!J334+'DOE25'!J335+'DOE25'!J336</f>
        <v>121823.06</v>
      </c>
      <c r="H31" s="53">
        <f>'DOE25'!K291+'DOE25'!K310+'DOE25'!K329+'DOE25'!K334+'DOE25'!K335+'DOE25'!K336</f>
        <v>400</v>
      </c>
      <c r="I31" s="255"/>
    </row>
    <row r="32" spans="1:9" ht="12" thickBot="1" x14ac:dyDescent="0.25">
      <c r="C32" s="275"/>
      <c r="G32" s="250"/>
      <c r="H32" s="250"/>
      <c r="I32" s="257"/>
    </row>
    <row r="33" spans="1:9" ht="12" thickTop="1" x14ac:dyDescent="0.2">
      <c r="B33" t="s">
        <v>809</v>
      </c>
      <c r="D33" s="244">
        <f t="shared" ref="D33:I33" si="1">SUM(D5:D31)</f>
        <v>11317544.190999998</v>
      </c>
      <c r="E33" s="244">
        <f t="shared" si="1"/>
        <v>264448.53000000014</v>
      </c>
      <c r="F33" s="244">
        <f t="shared" si="1"/>
        <v>417339.92</v>
      </c>
      <c r="G33" s="244">
        <f t="shared" si="1"/>
        <v>428773.50000000006</v>
      </c>
      <c r="H33" s="244">
        <f t="shared" si="1"/>
        <v>29937.298327253335</v>
      </c>
      <c r="I33" s="244">
        <f t="shared" si="1"/>
        <v>0</v>
      </c>
    </row>
    <row r="35" spans="1:9" ht="12" thickBot="1" x14ac:dyDescent="0.25">
      <c r="B35" s="250" t="s">
        <v>831</v>
      </c>
      <c r="D35" s="251">
        <f>E33</f>
        <v>264448.53000000014</v>
      </c>
      <c r="E35" s="247"/>
      <c r="F35" s="328" t="s">
        <v>1617</v>
      </c>
      <c r="G35" s="329"/>
      <c r="H35" s="329"/>
      <c r="I35" s="329"/>
    </row>
    <row r="36" spans="1:9" ht="12" thickTop="1" x14ac:dyDescent="0.2">
      <c r="B36" t="s">
        <v>810</v>
      </c>
      <c r="D36" s="20">
        <f>D33</f>
        <v>11317544.190999998</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37" sqref="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Sunapee</v>
      </c>
      <c r="B2" s="126">
        <f>'DOE25'!B2</f>
        <v>515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4257445.9400000004</v>
      </c>
      <c r="G4" s="299">
        <f>'DOE25'!L212+'DOE25'!L291</f>
        <v>4257445.9393313071</v>
      </c>
      <c r="H4" s="340">
        <f>F4-G4</f>
        <v>6.6869333386421204E-4</v>
      </c>
      <c r="I4" s="383" t="str">
        <f>IF(H4=0,"","ISSUES!! Please review page 7 and 11 totals in comparison with total on this page")</f>
        <v>ISSUES!! Please review page 7 and 11 totals in comparison with total on this page</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Sunapee Central School</v>
      </c>
      <c r="B6" s="300">
        <f>IFERROR(VLOOKUP(A6,'School Tables'!$C$3:$D$365,2,FALSE),"")</f>
        <v>22005</v>
      </c>
      <c r="C6" s="293" t="str">
        <f>IFERROR(INDEX('School Tables'!$B$3:$B$365,MATCH('School Level Expenditures'!B6,'School Tables'!$D$3:$D$365,0)),"")</f>
        <v>Sunapee</v>
      </c>
      <c r="D6" s="290">
        <f>4097842.64+5614</f>
        <v>4103456.64</v>
      </c>
      <c r="E6" s="290">
        <v>153989.29999999999</v>
      </c>
      <c r="F6" s="303">
        <f t="shared" ref="F6:F20" si="0">D6+E6</f>
        <v>4257445.9400000004</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4103456.64</v>
      </c>
      <c r="E21" s="338">
        <f>SUM(E5:E20)</f>
        <v>153989.29999999999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3624918.14</v>
      </c>
      <c r="G24" s="299">
        <f>'DOE25'!L230+'DOE25'!L310</f>
        <v>3624918.1396646402</v>
      </c>
      <c r="H24" s="340">
        <f>F24-G24</f>
        <v>3.3535994589328766E-4</v>
      </c>
      <c r="I24" s="383" t="str">
        <f>IF(H24=0,"","ISSUES!! Please review page 8 and 12 totals in comparison with total on this page")</f>
        <v>ISSUES!! Please review page 8 and 12 totals in comparison with total on this page</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xml:space="preserve">Sunapee Middle High School </v>
      </c>
      <c r="B26" s="300">
        <f>IFERROR(VLOOKUP(A26,'School Tables'!$N$4:$O$75,2,FALSE),"")</f>
        <v>26965</v>
      </c>
      <c r="C26" s="293" t="str">
        <f>IFERROR(INDEX('School Tables'!$M$4:$M$75,MATCH('School Level Expenditures'!A26,'School Tables'!$N$4:$N$75,0)),"")</f>
        <v>Sunapee</v>
      </c>
      <c r="D26" s="290">
        <f>3499771.54+20000</f>
        <v>3519771.54</v>
      </c>
      <c r="E26" s="290">
        <v>105146.6</v>
      </c>
      <c r="F26" s="303">
        <f t="shared" ref="F26:F32" si="1">D26+E26</f>
        <v>3624918.14</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3519771.54</v>
      </c>
      <c r="E33" s="338">
        <f>SUM(E25:E32)</f>
        <v>105146.6</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4480746.7699999996</v>
      </c>
      <c r="G36" s="299">
        <f>'DOE25'!L248+'DOE25'!L329</f>
        <v>4480746.7703313064</v>
      </c>
      <c r="H36" s="340">
        <f>F36-G36</f>
        <v>-3.313068300485611E-4</v>
      </c>
      <c r="I36" s="383" t="str">
        <f>IF(H36=0,"","ISSUES!! Please review page 9 and 13 totals in comparison with total on this page")</f>
        <v>ISSUES!! Please review page 9 and 13 totals in comparison with total on this page</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Sunapee Sr. High School</v>
      </c>
      <c r="B38" s="300">
        <f>IFERROR(VLOOKUP(A38,'School Tables'!$Y$4:$Z$100,2,FALSE),"")</f>
        <v>22000</v>
      </c>
      <c r="C38" s="293" t="str">
        <f>IFERROR(INDEX('School Tables'!$X$4:$X$100,MATCH('School Level Expenditures'!A38,'School Tables'!$Y$4:$Y$100,0)),"")</f>
        <v>Sunapee</v>
      </c>
      <c r="D38" s="290">
        <f>4326272.4+49327.77</f>
        <v>4375600.17</v>
      </c>
      <c r="E38" s="290">
        <v>105146.6</v>
      </c>
      <c r="F38" s="303">
        <f t="shared" si="2"/>
        <v>4480746.7699999996</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4375600.17</v>
      </c>
      <c r="E43" s="339">
        <f>SUM(E37:E42)</f>
        <v>105146.6</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205"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Sunapee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1339122.48</v>
      </c>
      <c r="D8" s="95">
        <f>'DOE25'!G9</f>
        <v>0</v>
      </c>
      <c r="E8" s="95">
        <f>'DOE25'!H9</f>
        <v>0</v>
      </c>
      <c r="F8" s="95">
        <f>'DOE25'!I9</f>
        <v>0</v>
      </c>
      <c r="G8" s="95">
        <f>'DOE25'!J9</f>
        <v>0</v>
      </c>
      <c r="H8" s="124">
        <f>SUM(C8:G8)</f>
        <v>1339122.48</v>
      </c>
      <c r="I8" s="124"/>
    </row>
    <row r="9" spans="1:9" x14ac:dyDescent="0.2">
      <c r="A9" s="1" t="s">
        <v>140</v>
      </c>
      <c r="B9" s="6">
        <v>110</v>
      </c>
      <c r="C9" s="95">
        <f>'DOE25'!F10</f>
        <v>0</v>
      </c>
      <c r="D9" s="95">
        <f>'DOE25'!G10</f>
        <v>0</v>
      </c>
      <c r="E9" s="95">
        <f>'DOE25'!H10</f>
        <v>0</v>
      </c>
      <c r="F9" s="95">
        <f>'DOE25'!I10</f>
        <v>0</v>
      </c>
      <c r="G9" s="95">
        <f>'DOE25'!J10</f>
        <v>954455.15</v>
      </c>
      <c r="H9" s="124">
        <f t="shared" ref="H9:H18" si="0">SUM(C9:G9)</f>
        <v>954455.15</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137886.19</v>
      </c>
      <c r="D11" s="95">
        <f>'DOE25'!G12</f>
        <v>31868.62</v>
      </c>
      <c r="E11" s="95">
        <f>'DOE25'!H12</f>
        <v>0</v>
      </c>
      <c r="F11" s="95">
        <f>'DOE25'!I12</f>
        <v>0</v>
      </c>
      <c r="G11" s="95">
        <f>'DOE25'!J12</f>
        <v>0</v>
      </c>
      <c r="H11" s="124">
        <f t="shared" si="0"/>
        <v>169754.81</v>
      </c>
      <c r="I11" s="124"/>
    </row>
    <row r="12" spans="1:9" x14ac:dyDescent="0.2">
      <c r="A12" s="1" t="s">
        <v>143</v>
      </c>
      <c r="B12" s="6">
        <v>140</v>
      </c>
      <c r="C12" s="95">
        <f>'DOE25'!F13</f>
        <v>23268.13</v>
      </c>
      <c r="D12" s="95">
        <f>'DOE25'!G13</f>
        <v>9045.9</v>
      </c>
      <c r="E12" s="95">
        <f>'DOE25'!H13</f>
        <v>169754.81</v>
      </c>
      <c r="F12" s="95">
        <f>'DOE25'!I13</f>
        <v>0</v>
      </c>
      <c r="G12" s="95">
        <f>'DOE25'!J13</f>
        <v>0</v>
      </c>
      <c r="H12" s="124">
        <f t="shared" si="0"/>
        <v>202068.84</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689.86</v>
      </c>
      <c r="D16" s="95">
        <f>'DOE25'!G17</f>
        <v>0</v>
      </c>
      <c r="E16" s="95">
        <f>'DOE25'!H17</f>
        <v>0</v>
      </c>
      <c r="F16" s="95">
        <f>'DOE25'!I17</f>
        <v>0</v>
      </c>
      <c r="G16" s="95">
        <f>'DOE25'!J17</f>
        <v>0</v>
      </c>
      <c r="H16" s="124">
        <f t="shared" si="0"/>
        <v>689.86</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1500966.66</v>
      </c>
      <c r="D18" s="41">
        <f>SUM(D8:D17)</f>
        <v>40914.519999999997</v>
      </c>
      <c r="E18" s="41">
        <f>SUM(E8:E17)</f>
        <v>169754.81</v>
      </c>
      <c r="F18" s="41">
        <f>SUM(F8:F17)</f>
        <v>0</v>
      </c>
      <c r="G18" s="41">
        <f>SUM(G8:G17)</f>
        <v>954455.15</v>
      </c>
      <c r="H18" s="41">
        <f t="shared" si="0"/>
        <v>2666091.14</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169754.81</v>
      </c>
      <c r="F21" s="95">
        <f>'DOE25'!I22</f>
        <v>0</v>
      </c>
      <c r="G21" s="95">
        <f>'DOE25'!J22</f>
        <v>0</v>
      </c>
      <c r="H21" s="124">
        <f t="shared" ref="H21:H31" si="1">SUM(C21:G21)</f>
        <v>169754.81</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7732.86</v>
      </c>
      <c r="D23" s="95">
        <f>'DOE25'!G24</f>
        <v>0</v>
      </c>
      <c r="E23" s="95">
        <f>'DOE25'!H24</f>
        <v>0</v>
      </c>
      <c r="F23" s="95">
        <f>'DOE25'!I24</f>
        <v>0</v>
      </c>
      <c r="G23" s="95">
        <f>'DOE25'!J24</f>
        <v>0</v>
      </c>
      <c r="H23" s="124">
        <f t="shared" si="1"/>
        <v>7732.86</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-1183.45</v>
      </c>
      <c r="D27" s="95">
        <f>'DOE25'!G28</f>
        <v>0</v>
      </c>
      <c r="E27" s="95">
        <f>'DOE25'!H28</f>
        <v>0</v>
      </c>
      <c r="F27" s="95">
        <f>'DOE25'!I28</f>
        <v>0</v>
      </c>
      <c r="G27" s="24" t="s">
        <v>288</v>
      </c>
      <c r="H27" s="124">
        <f t="shared" si="1"/>
        <v>-1183.45</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6549.41</v>
      </c>
      <c r="D31" s="41">
        <f>SUM(D21:D30)</f>
        <v>0</v>
      </c>
      <c r="E31" s="41">
        <f>SUM(E21:E30)</f>
        <v>169754.81</v>
      </c>
      <c r="F31" s="41">
        <f>SUM(F21:F30)</f>
        <v>0</v>
      </c>
      <c r="G31" s="41">
        <f>SUM(G21:G30)</f>
        <v>0</v>
      </c>
      <c r="H31" s="41">
        <f t="shared" si="1"/>
        <v>176304.22</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29063.69</v>
      </c>
      <c r="E39" s="24" t="s">
        <v>288</v>
      </c>
      <c r="F39" s="24" t="s">
        <v>288</v>
      </c>
      <c r="G39" s="24" t="s">
        <v>288</v>
      </c>
      <c r="H39" s="124">
        <f t="shared" si="2"/>
        <v>29063.69</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100000</v>
      </c>
      <c r="D43" s="95">
        <f>'DOE25'!G44</f>
        <v>0</v>
      </c>
      <c r="E43" s="95">
        <f>'DOE25'!H44</f>
        <v>0</v>
      </c>
      <c r="F43" s="95">
        <f>'DOE25'!I44</f>
        <v>0</v>
      </c>
      <c r="G43" s="24" t="s">
        <v>288</v>
      </c>
      <c r="H43" s="124">
        <f t="shared" si="2"/>
        <v>100000</v>
      </c>
      <c r="I43" s="124"/>
    </row>
    <row r="44" spans="1:9" x14ac:dyDescent="0.2">
      <c r="A44" s="1" t="s">
        <v>864</v>
      </c>
      <c r="B44" s="6">
        <v>753</v>
      </c>
      <c r="C44" s="95">
        <f>'DOE25'!F45</f>
        <v>337897.7</v>
      </c>
      <c r="D44" s="95">
        <f>'DOE25'!G45</f>
        <v>0</v>
      </c>
      <c r="E44" s="95">
        <f>'DOE25'!H45</f>
        <v>0</v>
      </c>
      <c r="F44" s="95">
        <f>'DOE25'!I45</f>
        <v>0</v>
      </c>
      <c r="G44" s="95">
        <f>'DOE25'!J45</f>
        <v>0</v>
      </c>
      <c r="H44" s="124">
        <f t="shared" si="2"/>
        <v>337897.7</v>
      </c>
      <c r="I44" s="124"/>
    </row>
    <row r="45" spans="1:9" x14ac:dyDescent="0.2">
      <c r="A45" s="1" t="s">
        <v>880</v>
      </c>
      <c r="B45" s="6"/>
      <c r="C45" s="95">
        <f>'DOE25'!F46</f>
        <v>425000</v>
      </c>
      <c r="D45" s="24" t="s">
        <v>288</v>
      </c>
      <c r="E45" s="24" t="s">
        <v>288</v>
      </c>
      <c r="F45" s="24" t="s">
        <v>288</v>
      </c>
      <c r="G45" s="24" t="s">
        <v>288</v>
      </c>
      <c r="H45" s="124">
        <f t="shared" si="2"/>
        <v>425000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11850.83</v>
      </c>
      <c r="E47" s="95">
        <f>'DOE25'!H48</f>
        <v>0</v>
      </c>
      <c r="F47" s="95">
        <f>'DOE25'!I48</f>
        <v>0</v>
      </c>
      <c r="G47" s="95">
        <f>'DOE25'!J48</f>
        <v>954455.15</v>
      </c>
      <c r="H47" s="124">
        <f t="shared" si="2"/>
        <v>966305.98</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631519.55000000005</v>
      </c>
      <c r="D49" s="24" t="s">
        <v>288</v>
      </c>
      <c r="E49" s="24" t="s">
        <v>288</v>
      </c>
      <c r="F49" s="24" t="s">
        <v>288</v>
      </c>
      <c r="G49" s="24" t="s">
        <v>288</v>
      </c>
      <c r="H49" s="124">
        <f t="shared" si="2"/>
        <v>631519.55000000005</v>
      </c>
      <c r="I49" s="124"/>
    </row>
    <row r="50" spans="1:9" ht="12.75" thickTop="1" thickBot="1" x14ac:dyDescent="0.25">
      <c r="A50" s="38" t="s">
        <v>884</v>
      </c>
      <c r="B50" s="48"/>
      <c r="C50" s="41">
        <f>SUM(C34:C49)</f>
        <v>1494417.25</v>
      </c>
      <c r="D50" s="41">
        <f>SUM(D34:D49)</f>
        <v>40914.519999999997</v>
      </c>
      <c r="E50" s="41">
        <f>SUM(E34:E49)</f>
        <v>0</v>
      </c>
      <c r="F50" s="41">
        <f>SUM(F34:F49)</f>
        <v>0</v>
      </c>
      <c r="G50" s="41">
        <f>SUM(G34:G49)</f>
        <v>954455.15</v>
      </c>
      <c r="H50" s="41">
        <f t="shared" si="2"/>
        <v>2489786.92</v>
      </c>
      <c r="I50" s="124"/>
    </row>
    <row r="51" spans="1:9" ht="12" thickTop="1" x14ac:dyDescent="0.2">
      <c r="A51" s="38" t="s">
        <v>885</v>
      </c>
      <c r="B51" s="2"/>
      <c r="C51" s="41">
        <f>C50+C31</f>
        <v>1500966.66</v>
      </c>
      <c r="D51" s="41">
        <f>D50+D31</f>
        <v>40914.519999999997</v>
      </c>
      <c r="E51" s="41">
        <f>E50+E31</f>
        <v>169754.81</v>
      </c>
      <c r="F51" s="41">
        <f>F50+F31</f>
        <v>0</v>
      </c>
      <c r="G51" s="41">
        <f>G50+G31</f>
        <v>954455.15</v>
      </c>
      <c r="H51" s="41">
        <f t="shared" si="2"/>
        <v>2666091.14</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8830535</v>
      </c>
      <c r="D56" s="95">
        <f>'DOE25'!G60</f>
        <v>0</v>
      </c>
      <c r="E56" s="95">
        <f>'DOE25'!H60</f>
        <v>0</v>
      </c>
      <c r="F56" s="95">
        <f>'DOE25'!I60</f>
        <v>0</v>
      </c>
      <c r="G56" s="95">
        <f>'DOE25'!J60</f>
        <v>0</v>
      </c>
      <c r="H56" s="124">
        <f t="shared" ref="H56:H63" si="3">SUM(C56:G56)</f>
        <v>8830535</v>
      </c>
      <c r="I56"/>
    </row>
    <row r="57" spans="1:9" x14ac:dyDescent="0.2">
      <c r="A57" s="1" t="s">
        <v>164</v>
      </c>
      <c r="B57" s="6" t="s">
        <v>165</v>
      </c>
      <c r="C57" s="95">
        <f>'DOE25'!F79</f>
        <v>477022.71</v>
      </c>
      <c r="D57" s="24" t="s">
        <v>288</v>
      </c>
      <c r="E57" s="95">
        <f>'DOE25'!H79</f>
        <v>0</v>
      </c>
      <c r="F57" s="24" t="s">
        <v>288</v>
      </c>
      <c r="G57" s="24" t="s">
        <v>288</v>
      </c>
      <c r="H57" s="124">
        <f t="shared" si="3"/>
        <v>477022.71</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1493.11</v>
      </c>
      <c r="D59" s="95">
        <f>'DOE25'!G96</f>
        <v>0</v>
      </c>
      <c r="E59" s="95">
        <f>'DOE25'!H96</f>
        <v>0</v>
      </c>
      <c r="F59" s="95">
        <f>'DOE25'!I96</f>
        <v>0</v>
      </c>
      <c r="G59" s="95">
        <f>'DOE25'!J96</f>
        <v>998.72</v>
      </c>
      <c r="H59" s="124">
        <f t="shared" si="3"/>
        <v>2491.83</v>
      </c>
      <c r="I59"/>
    </row>
    <row r="60" spans="1:9" x14ac:dyDescent="0.2">
      <c r="A60" s="1" t="s">
        <v>170</v>
      </c>
      <c r="B60" s="118" t="s">
        <v>171</v>
      </c>
      <c r="C60" s="24" t="s">
        <v>288</v>
      </c>
      <c r="D60" s="95">
        <f>'DOE25'!G97</f>
        <v>74081.429999999993</v>
      </c>
      <c r="E60" s="24" t="s">
        <v>288</v>
      </c>
      <c r="F60" s="24" t="s">
        <v>288</v>
      </c>
      <c r="G60" s="24" t="s">
        <v>288</v>
      </c>
      <c r="H60" s="124">
        <f t="shared" si="3"/>
        <v>74081.429999999993</v>
      </c>
      <c r="I60"/>
    </row>
    <row r="61" spans="1:9" ht="12" thickBot="1" x14ac:dyDescent="0.25">
      <c r="A61" s="1" t="s">
        <v>172</v>
      </c>
      <c r="B61" s="118" t="s">
        <v>173</v>
      </c>
      <c r="C61" s="95">
        <f>SUM('DOE25'!F98:F110)</f>
        <v>33386.909999999996</v>
      </c>
      <c r="D61" s="95">
        <f>SUM('DOE25'!G98:G110)</f>
        <v>935.59</v>
      </c>
      <c r="E61" s="95">
        <f>SUM('DOE25'!H98:H110)</f>
        <v>0</v>
      </c>
      <c r="F61" s="95">
        <f>SUM('DOE25'!I98:I110)</f>
        <v>0</v>
      </c>
      <c r="G61" s="95">
        <f>SUM('DOE25'!J98:J110)</f>
        <v>0</v>
      </c>
      <c r="H61" s="124">
        <f t="shared" si="3"/>
        <v>34322.499999999993</v>
      </c>
      <c r="I61"/>
    </row>
    <row r="62" spans="1:9" ht="12.75" thickTop="1" thickBot="1" x14ac:dyDescent="0.25">
      <c r="A62" s="29" t="s">
        <v>174</v>
      </c>
      <c r="B62" s="6"/>
      <c r="C62" s="130">
        <f>SUM(C57:C61)</f>
        <v>511902.73</v>
      </c>
      <c r="D62" s="130">
        <f>SUM(D57:D61)</f>
        <v>75017.01999999999</v>
      </c>
      <c r="E62" s="130">
        <f>SUM(E57:E61)</f>
        <v>0</v>
      </c>
      <c r="F62" s="130">
        <f>SUM(F57:F61)</f>
        <v>0</v>
      </c>
      <c r="G62" s="130">
        <f>SUM(G57:G61)</f>
        <v>998.72</v>
      </c>
      <c r="H62" s="124">
        <f t="shared" si="3"/>
        <v>587918.47</v>
      </c>
      <c r="I62"/>
    </row>
    <row r="63" spans="1:9" ht="12" thickTop="1" x14ac:dyDescent="0.2">
      <c r="A63" s="29" t="s">
        <v>175</v>
      </c>
      <c r="B63" s="6"/>
      <c r="C63" s="22">
        <f>C56+C62</f>
        <v>9342437.7300000004</v>
      </c>
      <c r="D63" s="22">
        <f>D56+D62</f>
        <v>75017.01999999999</v>
      </c>
      <c r="E63" s="22">
        <f>E56+E62</f>
        <v>0</v>
      </c>
      <c r="F63" s="22">
        <f>F56+F62</f>
        <v>0</v>
      </c>
      <c r="G63" s="22">
        <f>G56+G62</f>
        <v>998.72</v>
      </c>
      <c r="H63" s="124">
        <f t="shared" si="3"/>
        <v>9418453.4700000007</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2688500</v>
      </c>
      <c r="D67" s="24"/>
      <c r="E67" s="24"/>
      <c r="F67" s="24"/>
      <c r="G67" s="24"/>
      <c r="H67" s="124">
        <f t="shared" si="4"/>
        <v>2688500</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2688500</v>
      </c>
      <c r="D70" s="139">
        <f>D69</f>
        <v>0</v>
      </c>
      <c r="E70" s="139">
        <f>E69</f>
        <v>0</v>
      </c>
      <c r="F70" s="139">
        <f>F69</f>
        <v>0</v>
      </c>
      <c r="G70" s="139">
        <f>G69</f>
        <v>0</v>
      </c>
      <c r="H70" s="124">
        <f t="shared" si="4"/>
        <v>2688500</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372178.39</v>
      </c>
      <c r="D75" s="24" t="s">
        <v>288</v>
      </c>
      <c r="E75" s="24" t="s">
        <v>288</v>
      </c>
      <c r="F75" s="24" t="s">
        <v>288</v>
      </c>
      <c r="G75" s="24" t="s">
        <v>288</v>
      </c>
      <c r="H75" s="124">
        <f t="shared" si="4"/>
        <v>372178.39</v>
      </c>
      <c r="I75"/>
    </row>
    <row r="76" spans="1:9" x14ac:dyDescent="0.2">
      <c r="A76" s="1" t="s">
        <v>257</v>
      </c>
      <c r="B76" s="6" t="s">
        <v>179</v>
      </c>
      <c r="C76" s="95">
        <f>SUM('DOE25'!F127:F130)</f>
        <v>1153.2</v>
      </c>
      <c r="D76" s="24" t="s">
        <v>288</v>
      </c>
      <c r="E76" s="95">
        <f>SUM('DOE25'!H127:H130)</f>
        <v>0</v>
      </c>
      <c r="F76" s="95">
        <f>SUM('DOE25'!I127:I130)</f>
        <v>0</v>
      </c>
      <c r="G76" s="24" t="s">
        <v>288</v>
      </c>
      <c r="H76" s="124">
        <f t="shared" si="4"/>
        <v>1153.2</v>
      </c>
      <c r="I76"/>
    </row>
    <row r="77" spans="1:9" ht="12" thickBot="1" x14ac:dyDescent="0.25">
      <c r="A77" s="1" t="s">
        <v>258</v>
      </c>
      <c r="B77" s="6" t="s">
        <v>180</v>
      </c>
      <c r="C77" s="95">
        <f>SUM('DOE25'!F131:F135)</f>
        <v>0</v>
      </c>
      <c r="D77" s="95">
        <f>SUM('DOE25'!G131:G135)</f>
        <v>239.49</v>
      </c>
      <c r="E77" s="95">
        <f>SUM('DOE25'!H131:H135)</f>
        <v>0</v>
      </c>
      <c r="F77" s="95">
        <f>SUM('DOE25'!I131:I135)</f>
        <v>0</v>
      </c>
      <c r="G77" s="95">
        <f>SUM('DOE25'!J131:J135)</f>
        <v>0</v>
      </c>
      <c r="H77" s="124">
        <f t="shared" si="4"/>
        <v>239.49</v>
      </c>
      <c r="I77"/>
    </row>
    <row r="78" spans="1:9" ht="12.75" thickTop="1" thickBot="1" x14ac:dyDescent="0.25">
      <c r="A78" s="29" t="s">
        <v>259</v>
      </c>
      <c r="B78" s="6"/>
      <c r="C78" s="130">
        <f>SUM(C72:C77)</f>
        <v>373331.59</v>
      </c>
      <c r="D78" s="130">
        <f>SUM(D72:D77)</f>
        <v>239.49</v>
      </c>
      <c r="E78" s="130">
        <f>SUM(E72:E77)</f>
        <v>0</v>
      </c>
      <c r="F78" s="130">
        <f>SUM(F72:F77)</f>
        <v>0</v>
      </c>
      <c r="G78" s="130">
        <f>SUM(G72:G77)</f>
        <v>0</v>
      </c>
      <c r="H78" s="124">
        <f t="shared" si="4"/>
        <v>373571.08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3061831.59</v>
      </c>
      <c r="D81" s="130">
        <f>SUM(D79:D80)+D78+D70</f>
        <v>239.49</v>
      </c>
      <c r="E81" s="130">
        <f>SUM(E79:E80)+E78+E70</f>
        <v>0</v>
      </c>
      <c r="F81" s="130">
        <f>SUM(F79:F80)+F78+F70</f>
        <v>0</v>
      </c>
      <c r="G81" s="130">
        <f>SUM(G79:G80)+G78+G70</f>
        <v>0</v>
      </c>
      <c r="H81" s="130">
        <f t="shared" si="4"/>
        <v>3062071.08</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11850.83</v>
      </c>
      <c r="E85" s="95">
        <f>'DOE25'!H147</f>
        <v>0</v>
      </c>
      <c r="F85" s="95">
        <f>'DOE25'!I147</f>
        <v>0</v>
      </c>
      <c r="G85" s="24" t="s">
        <v>288</v>
      </c>
      <c r="H85" s="124">
        <f t="shared" ref="H85:H104" si="5">SUM(C85:G85)</f>
        <v>11850.83</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16291.25</v>
      </c>
      <c r="D88" s="326">
        <f>SUM('DOE25'!G153:G162)</f>
        <v>48836.66</v>
      </c>
      <c r="E88" s="326">
        <f>SUM('DOE25'!H153:H162)</f>
        <v>364282.5</v>
      </c>
      <c r="F88" s="326">
        <f>SUM('DOE25'!I153:I162)</f>
        <v>0</v>
      </c>
      <c r="G88" s="24" t="s">
        <v>288</v>
      </c>
      <c r="H88" s="124">
        <f t="shared" si="5"/>
        <v>429410.41000000003</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16291.25</v>
      </c>
      <c r="D91" s="131">
        <f>SUM(D85:D90)</f>
        <v>60687.490000000005</v>
      </c>
      <c r="E91" s="131">
        <f>SUM(E85:E90)</f>
        <v>364282.5</v>
      </c>
      <c r="F91" s="131">
        <f>SUM(F85:F90)</f>
        <v>0</v>
      </c>
      <c r="G91" s="24" t="s">
        <v>288</v>
      </c>
      <c r="H91" s="124">
        <f t="shared" si="5"/>
        <v>441261.24</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12420560.57</v>
      </c>
      <c r="D104" s="86">
        <f>D63+D81+D91+D103</f>
        <v>135944</v>
      </c>
      <c r="E104" s="86">
        <f>E63+E81+E91+E103</f>
        <v>364282.5</v>
      </c>
      <c r="F104" s="86">
        <f>F63+F81+F91+F103</f>
        <v>0</v>
      </c>
      <c r="G104" s="86">
        <f>G63+G81+G103</f>
        <v>998.72</v>
      </c>
      <c r="H104" s="86">
        <f t="shared" si="5"/>
        <v>12921785.790000001</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4752331.1100000003</v>
      </c>
      <c r="D109" s="24" t="s">
        <v>288</v>
      </c>
      <c r="E109" s="95">
        <f>('DOE25'!L277)+('DOE25'!L296)+('DOE25'!L315)</f>
        <v>83365.45</v>
      </c>
      <c r="F109" s="24" t="s">
        <v>288</v>
      </c>
      <c r="G109" s="24" t="s">
        <v>288</v>
      </c>
      <c r="H109" s="124">
        <f t="shared" ref="H109:H115" si="6">SUM(C109:G109)</f>
        <v>4835696.5600000005</v>
      </c>
    </row>
    <row r="110" spans="1:8" x14ac:dyDescent="0.2">
      <c r="A110" t="s">
        <v>198</v>
      </c>
      <c r="B110" s="32" t="s">
        <v>199</v>
      </c>
      <c r="C110" s="95">
        <f>('DOE25'!L199)+('DOE25'!L217)+('DOE25'!L235)</f>
        <v>1738880.48499392</v>
      </c>
      <c r="D110" s="24" t="s">
        <v>288</v>
      </c>
      <c r="E110" s="95">
        <f>('DOE25'!L278)+('DOE25'!L297)+('DOE25'!L316)</f>
        <v>142865.27000000002</v>
      </c>
      <c r="F110" s="24" t="s">
        <v>288</v>
      </c>
      <c r="G110" s="24" t="s">
        <v>288</v>
      </c>
      <c r="H110" s="124">
        <f t="shared" si="6"/>
        <v>1881745.75499392</v>
      </c>
    </row>
    <row r="111" spans="1:8" x14ac:dyDescent="0.2">
      <c r="A111" t="s">
        <v>200</v>
      </c>
      <c r="B111" s="32" t="s">
        <v>165</v>
      </c>
      <c r="C111" s="95">
        <f>('DOE25'!L200)+('DOE25'!L218)+('DOE25'!L236)</f>
        <v>16496.87</v>
      </c>
      <c r="D111" s="24" t="s">
        <v>288</v>
      </c>
      <c r="E111" s="95">
        <f>('DOE25'!L279)+('DOE25'!L298)+('DOE25'!L317)</f>
        <v>0</v>
      </c>
      <c r="F111" s="24" t="s">
        <v>288</v>
      </c>
      <c r="G111" s="24" t="s">
        <v>288</v>
      </c>
      <c r="H111" s="124">
        <f t="shared" si="6"/>
        <v>16496.87</v>
      </c>
    </row>
    <row r="112" spans="1:8" x14ac:dyDescent="0.2">
      <c r="A112" t="s">
        <v>201</v>
      </c>
      <c r="B112" s="32" t="s">
        <v>167</v>
      </c>
      <c r="C112" s="95">
        <f>('DOE25'!L201)+('DOE25'!L219)+('DOE25'!L237)</f>
        <v>312218.98</v>
      </c>
      <c r="D112" s="24" t="s">
        <v>288</v>
      </c>
      <c r="E112" s="95">
        <f>+('DOE25'!L280)+('DOE25'!L299)+('DOE25'!L318)</f>
        <v>0</v>
      </c>
      <c r="F112" s="24" t="s">
        <v>288</v>
      </c>
      <c r="G112" s="24" t="s">
        <v>288</v>
      </c>
      <c r="H112" s="124">
        <f t="shared" si="6"/>
        <v>312218.98</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6819927.4449939206</v>
      </c>
      <c r="D115" s="86">
        <f>SUM(D109:D114)</f>
        <v>0</v>
      </c>
      <c r="E115" s="86">
        <f>SUM(E109:E114)</f>
        <v>226230.72000000003</v>
      </c>
      <c r="F115" s="86">
        <f>SUM(F109:F114)</f>
        <v>0</v>
      </c>
      <c r="G115" s="86">
        <f>SUM(G109:G114)</f>
        <v>0</v>
      </c>
      <c r="H115" s="86">
        <f t="shared" si="6"/>
        <v>7046158.1649939204</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1221823.1233333333</v>
      </c>
      <c r="D118" s="24" t="s">
        <v>288</v>
      </c>
      <c r="E118" s="95">
        <f>+('DOE25'!L282)+('DOE25'!L301)+('DOE25'!L320)</f>
        <v>0</v>
      </c>
      <c r="F118" s="24" t="s">
        <v>288</v>
      </c>
      <c r="G118" s="24" t="s">
        <v>288</v>
      </c>
      <c r="H118" s="124">
        <f t="shared" ref="H118:H145" si="7">SUM(C118:G118)</f>
        <v>1221823.1233333333</v>
      </c>
    </row>
    <row r="119" spans="1:8" x14ac:dyDescent="0.2">
      <c r="A119" t="s">
        <v>208</v>
      </c>
      <c r="B119" s="32" t="s">
        <v>209</v>
      </c>
      <c r="C119" s="95">
        <f>('DOE25'!L204)+('DOE25'!L222)+('DOE25'!L240)</f>
        <v>964612.03666666662</v>
      </c>
      <c r="D119" s="24" t="s">
        <v>288</v>
      </c>
      <c r="E119" s="95">
        <f>+('DOE25'!L283)+('DOE25'!L302)+('DOE25'!L321)</f>
        <v>61807.51999999999</v>
      </c>
      <c r="F119" s="24" t="s">
        <v>288</v>
      </c>
      <c r="G119" s="24" t="s">
        <v>288</v>
      </c>
      <c r="H119" s="124">
        <f t="shared" si="7"/>
        <v>1026419.5566666666</v>
      </c>
    </row>
    <row r="120" spans="1:8" x14ac:dyDescent="0.2">
      <c r="A120" t="s">
        <v>210</v>
      </c>
      <c r="B120" s="32" t="s">
        <v>211</v>
      </c>
      <c r="C120" s="95">
        <f>('DOE25'!L205)+('DOE25'!L223)+('DOE25'!L241)</f>
        <v>613539.83000000007</v>
      </c>
      <c r="D120" s="24" t="s">
        <v>288</v>
      </c>
      <c r="E120" s="95">
        <f>+('DOE25'!L284)+('DOE25'!L303)+('DOE25'!L322)</f>
        <v>0</v>
      </c>
      <c r="F120" s="24" t="s">
        <v>288</v>
      </c>
      <c r="G120" s="24" t="s">
        <v>288</v>
      </c>
      <c r="H120" s="124">
        <f t="shared" si="7"/>
        <v>613539.83000000007</v>
      </c>
    </row>
    <row r="121" spans="1:8" x14ac:dyDescent="0.2">
      <c r="A121" t="s">
        <v>212</v>
      </c>
      <c r="B121" s="32" t="s">
        <v>213</v>
      </c>
      <c r="C121" s="95">
        <f>('DOE25'!L206)+('DOE25'!L224)+('DOE25'!L242)</f>
        <v>605244.36</v>
      </c>
      <c r="D121" s="24" t="s">
        <v>288</v>
      </c>
      <c r="E121" s="95">
        <f>+('DOE25'!L285)+('DOE25'!L304)+('DOE25'!L323)</f>
        <v>0</v>
      </c>
      <c r="F121" s="24" t="s">
        <v>288</v>
      </c>
      <c r="G121" s="24" t="s">
        <v>288</v>
      </c>
      <c r="H121" s="124">
        <f t="shared" si="7"/>
        <v>605244.36</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1208441.831</v>
      </c>
      <c r="D123" s="24" t="s">
        <v>288</v>
      </c>
      <c r="E123" s="95">
        <f>+('DOE25'!L287)+('DOE25'!L306)+('DOE25'!L325)</f>
        <v>76244.260000000009</v>
      </c>
      <c r="F123" s="24" t="s">
        <v>288</v>
      </c>
      <c r="G123" s="24" t="s">
        <v>288</v>
      </c>
      <c r="H123" s="124">
        <f t="shared" si="7"/>
        <v>1284686.091</v>
      </c>
    </row>
    <row r="124" spans="1:8" x14ac:dyDescent="0.2">
      <c r="A124" t="s">
        <v>218</v>
      </c>
      <c r="B124" s="32" t="s">
        <v>219</v>
      </c>
      <c r="C124" s="95">
        <f>('DOE25'!L209)+('DOE25'!L227)+('DOE25'!L245+'DOE25'!L255)</f>
        <v>565239.72333333327</v>
      </c>
      <c r="D124" s="24" t="s">
        <v>288</v>
      </c>
      <c r="E124" s="95">
        <f>+('DOE25'!L288)+('DOE25'!L307)+('DOE25'!L326)</f>
        <v>0</v>
      </c>
      <c r="F124" s="24" t="s">
        <v>288</v>
      </c>
      <c r="G124" s="24" t="s">
        <v>288</v>
      </c>
      <c r="H124" s="124">
        <f t="shared" si="7"/>
        <v>565239.72333333327</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143418.26</v>
      </c>
      <c r="E127" s="24" t="s">
        <v>288</v>
      </c>
      <c r="F127" s="24" t="s">
        <v>288</v>
      </c>
      <c r="G127" s="24" t="s">
        <v>288</v>
      </c>
      <c r="H127" s="124">
        <f t="shared" si="7"/>
        <v>143418.26</v>
      </c>
    </row>
    <row r="128" spans="1:8" ht="12.75" thickTop="1" thickBot="1" x14ac:dyDescent="0.25">
      <c r="A128" s="33" t="s">
        <v>226</v>
      </c>
      <c r="C128" s="86">
        <f>SUM(C118:C127)</f>
        <v>5178900.9043333335</v>
      </c>
      <c r="D128" s="86">
        <f>SUM(D118:D127)</f>
        <v>143418.26</v>
      </c>
      <c r="E128" s="86">
        <f>SUM(E118:E127)</f>
        <v>138051.78</v>
      </c>
      <c r="F128" s="86">
        <f>SUM(F118:F127)</f>
        <v>0</v>
      </c>
      <c r="G128" s="86">
        <f>SUM(G118:G127)</f>
        <v>0</v>
      </c>
      <c r="H128" s="86">
        <f t="shared" si="7"/>
        <v>5460370.9443333335</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419.45000000000005</v>
      </c>
      <c r="D138" s="24" t="s">
        <v>288</v>
      </c>
      <c r="E138" s="24" t="s">
        <v>288</v>
      </c>
      <c r="F138" s="24" t="s">
        <v>288</v>
      </c>
      <c r="G138" s="24" t="s">
        <v>288</v>
      </c>
      <c r="H138" s="124">
        <f t="shared" si="7"/>
        <v>419.45000000000005</v>
      </c>
    </row>
    <row r="139" spans="1:8" x14ac:dyDescent="0.2">
      <c r="A139" t="s">
        <v>239</v>
      </c>
      <c r="B139" s="32">
        <v>5252</v>
      </c>
      <c r="C139" s="95">
        <f>'DOE25'!L402</f>
        <v>579.27</v>
      </c>
      <c r="D139" s="24" t="s">
        <v>288</v>
      </c>
      <c r="E139" s="24" t="s">
        <v>288</v>
      </c>
      <c r="F139" s="24" t="s">
        <v>288</v>
      </c>
      <c r="G139" s="24" t="s">
        <v>288</v>
      </c>
      <c r="H139" s="124">
        <f t="shared" si="7"/>
        <v>579.27</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-998.72</v>
      </c>
      <c r="D141" s="24" t="s">
        <v>288</v>
      </c>
      <c r="E141" s="24" t="s">
        <v>288</v>
      </c>
      <c r="F141" s="24" t="s">
        <v>288</v>
      </c>
      <c r="G141" s="24" t="s">
        <v>288</v>
      </c>
      <c r="H141" s="124">
        <f t="shared" si="7"/>
        <v>-998.72</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0</v>
      </c>
      <c r="D144" s="141">
        <f>SUM(D130:D143)</f>
        <v>0</v>
      </c>
      <c r="E144" s="141">
        <f>SUM(E130:E143)</f>
        <v>0</v>
      </c>
      <c r="F144" s="141">
        <f>SUM(F130:F143)</f>
        <v>0</v>
      </c>
      <c r="G144" s="141">
        <f>SUM(G130:G143)</f>
        <v>0</v>
      </c>
      <c r="H144" s="141">
        <f t="shared" si="7"/>
        <v>0</v>
      </c>
    </row>
    <row r="145" spans="1:9" ht="12.75" thickTop="1" thickBot="1" x14ac:dyDescent="0.25">
      <c r="A145" s="33" t="s">
        <v>244</v>
      </c>
      <c r="C145" s="86">
        <f>(C115+C128+C144)</f>
        <v>11998828.349327255</v>
      </c>
      <c r="D145" s="86">
        <f>(D115+D128+D144)</f>
        <v>143418.26</v>
      </c>
      <c r="E145" s="86">
        <f>(E115+E128+E144)</f>
        <v>364282.5</v>
      </c>
      <c r="F145" s="86">
        <f>(F115+F128+F144)</f>
        <v>0</v>
      </c>
      <c r="G145" s="86">
        <f>(G115+G128+G144)</f>
        <v>0</v>
      </c>
      <c r="H145" s="86">
        <f t="shared" si="7"/>
        <v>12506529.109327255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Sunapee</v>
      </c>
    </row>
    <row r="3" spans="1:4" x14ac:dyDescent="0.2">
      <c r="B3" s="187" t="s">
        <v>1799</v>
      </c>
    </row>
    <row r="4" spans="1:4" x14ac:dyDescent="0.2">
      <c r="B4" t="s">
        <v>61</v>
      </c>
      <c r="C4" s="178">
        <f>IF('DOE25'!F666+'DOE25'!F671=0,0,ROUND('DOE25'!F673,0))</f>
        <v>24363</v>
      </c>
    </row>
    <row r="5" spans="1:4" x14ac:dyDescent="0.2">
      <c r="B5" t="s">
        <v>700</v>
      </c>
      <c r="C5" s="178">
        <f>IF('DOE25'!G666+'DOE25'!G671=0,0,ROUND('DOE25'!G673,0))</f>
        <v>39671</v>
      </c>
    </row>
    <row r="6" spans="1:4" x14ac:dyDescent="0.2">
      <c r="B6" t="s">
        <v>62</v>
      </c>
      <c r="C6" s="178">
        <f>IF('DOE25'!H666+'DOE25'!H671=0,0,ROUND('DOE25'!H673,0))</f>
        <v>29579</v>
      </c>
    </row>
    <row r="7" spans="1:4" x14ac:dyDescent="0.2">
      <c r="B7" t="s">
        <v>701</v>
      </c>
      <c r="C7" s="178">
        <f>IF('DOE25'!I666+'DOE25'!I671=0,0,ROUND('DOE25'!I673,0))</f>
        <v>29545</v>
      </c>
    </row>
    <row r="9" spans="1:4" x14ac:dyDescent="0.2">
      <c r="A9" s="186" t="s">
        <v>94</v>
      </c>
      <c r="B9" s="187" t="s">
        <v>1800</v>
      </c>
      <c r="C9" s="180" t="s">
        <v>720</v>
      </c>
      <c r="D9" s="180" t="s">
        <v>721</v>
      </c>
    </row>
    <row r="10" spans="1:4" x14ac:dyDescent="0.2">
      <c r="A10">
        <v>1100</v>
      </c>
      <c r="B10" t="s">
        <v>702</v>
      </c>
      <c r="C10" s="178">
        <f>ROUND('DOE25'!L198+'DOE25'!L216+'DOE25'!L234+'DOE25'!L277+'DOE25'!L296+'DOE25'!L315,0)</f>
        <v>4835697</v>
      </c>
      <c r="D10" s="181">
        <f>ROUND((C10/$C$28)*100,1)</f>
        <v>38.9</v>
      </c>
    </row>
    <row r="11" spans="1:4" x14ac:dyDescent="0.2">
      <c r="A11">
        <v>1200</v>
      </c>
      <c r="B11" t="s">
        <v>703</v>
      </c>
      <c r="C11" s="178">
        <f>ROUND('DOE25'!L199+'DOE25'!L217+'DOE25'!L235+'DOE25'!L278+'DOE25'!L297+'DOE25'!L316,0)</f>
        <v>1881746</v>
      </c>
      <c r="D11" s="181">
        <f>ROUND((C11/$C$28)*100,1)</f>
        <v>15.1</v>
      </c>
    </row>
    <row r="12" spans="1:4" x14ac:dyDescent="0.2">
      <c r="A12">
        <v>1300</v>
      </c>
      <c r="B12" t="s">
        <v>704</v>
      </c>
      <c r="C12" s="178">
        <f>ROUND('DOE25'!L200+'DOE25'!L218+'DOE25'!L236+'DOE25'!L279+'DOE25'!L298+'DOE25'!L317,0)</f>
        <v>16497</v>
      </c>
      <c r="D12" s="181">
        <f>ROUND((C12/$C$28)*100,1)</f>
        <v>0.1</v>
      </c>
    </row>
    <row r="13" spans="1:4" x14ac:dyDescent="0.2">
      <c r="A13">
        <v>1400</v>
      </c>
      <c r="B13" t="s">
        <v>705</v>
      </c>
      <c r="C13" s="178">
        <f>ROUND('DOE25'!L201+'DOE25'!L219+'DOE25'!L237+'DOE25'!L280+'DOE25'!L299+'DOE25'!L318,0)</f>
        <v>312219</v>
      </c>
      <c r="D13" s="181">
        <f>ROUND((C13/$C$28)*100,1)</f>
        <v>2.5</v>
      </c>
    </row>
    <row r="14" spans="1:4" x14ac:dyDescent="0.2">
      <c r="D14" s="181"/>
    </row>
    <row r="15" spans="1:4" x14ac:dyDescent="0.2">
      <c r="A15">
        <v>2100</v>
      </c>
      <c r="B15" t="s">
        <v>706</v>
      </c>
      <c r="C15" s="178">
        <f>ROUND('DOE25'!L203+'DOE25'!L221+'DOE25'!L239+'DOE25'!L282+'DOE25'!L301+'DOE25'!L320,0)</f>
        <v>1221823</v>
      </c>
      <c r="D15" s="181">
        <f t="shared" ref="D15:D27" si="0">ROUND((C15/$C$28)*100,1)</f>
        <v>9.8000000000000007</v>
      </c>
    </row>
    <row r="16" spans="1:4" x14ac:dyDescent="0.2">
      <c r="A16">
        <v>2200</v>
      </c>
      <c r="B16" t="s">
        <v>707</v>
      </c>
      <c r="C16" s="178">
        <f>ROUND('DOE25'!L204+'DOE25'!L222+'DOE25'!L240+'DOE25'!L283+'DOE25'!L302+'DOE25'!L321,0)</f>
        <v>1026420</v>
      </c>
      <c r="D16" s="181">
        <f t="shared" si="0"/>
        <v>8.3000000000000007</v>
      </c>
    </row>
    <row r="17" spans="1:4" x14ac:dyDescent="0.2">
      <c r="A17" s="182" t="s">
        <v>723</v>
      </c>
      <c r="B17" t="s">
        <v>738</v>
      </c>
      <c r="C17" s="178">
        <f>ROUND('DOE25'!L205+'DOE25'!L210+'DOE25'!L223+'DOE25'!L228+'DOE25'!L241+'DOE25'!L246+'DOE25'!L284+'DOE25'!L289+'DOE25'!L303+'DOE25'!L308+'DOE25'!L322+'DOE25'!L327,0)</f>
        <v>613540</v>
      </c>
      <c r="D17" s="181">
        <f t="shared" si="0"/>
        <v>4.9000000000000004</v>
      </c>
    </row>
    <row r="18" spans="1:4" x14ac:dyDescent="0.2">
      <c r="A18">
        <v>2400</v>
      </c>
      <c r="B18" t="s">
        <v>711</v>
      </c>
      <c r="C18" s="178">
        <f>ROUND('DOE25'!L206+'DOE25'!L224+'DOE25'!L242+'DOE25'!L285+'DOE25'!L304+'DOE25'!L323,0)</f>
        <v>605244</v>
      </c>
      <c r="D18" s="181">
        <f t="shared" si="0"/>
        <v>4.9000000000000004</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1284686</v>
      </c>
      <c r="D20" s="181">
        <f t="shared" si="0"/>
        <v>10.3</v>
      </c>
    </row>
    <row r="21" spans="1:4" x14ac:dyDescent="0.2">
      <c r="A21">
        <v>2700</v>
      </c>
      <c r="B21" t="s">
        <v>710</v>
      </c>
      <c r="C21" s="178">
        <f>ROUND('DOE25'!L209+'DOE25'!L227+'DOE25'!L245+'DOE25'!L288+'DOE25'!L307+'DOE25'!L326,0)</f>
        <v>565240</v>
      </c>
      <c r="D21" s="181">
        <f t="shared" si="0"/>
        <v>4.5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68400.98000000001</v>
      </c>
      <c r="D27" s="181">
        <f t="shared" si="0"/>
        <v>0.6</v>
      </c>
    </row>
    <row r="28" spans="1:4" x14ac:dyDescent="0.2">
      <c r="B28" s="186" t="s">
        <v>719</v>
      </c>
      <c r="C28" s="179">
        <f>SUM(C10:C27)</f>
        <v>12431512.98</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12431512.98</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8830535</v>
      </c>
      <c r="D35" s="181">
        <f t="shared" ref="D35:D40" si="1">ROUND((C35/$C$41)*100,1)</f>
        <v>68.7</v>
      </c>
    </row>
    <row r="36" spans="1:4" x14ac:dyDescent="0.2">
      <c r="B36" s="184" t="s">
        <v>739</v>
      </c>
      <c r="C36" s="178">
        <f>SUM('DOE25'!F112:J112)-SUM('DOE25'!G97:G110)+('DOE25'!F175+'DOE25'!F176+'DOE25'!I175+'DOE25'!I176)-C35</f>
        <v>512901.45000000112</v>
      </c>
      <c r="D36" s="181">
        <f t="shared" si="1"/>
        <v>4</v>
      </c>
    </row>
    <row r="37" spans="1:4" x14ac:dyDescent="0.2">
      <c r="A37" s="182" t="s">
        <v>835</v>
      </c>
      <c r="B37" s="184" t="s">
        <v>728</v>
      </c>
      <c r="C37" s="178">
        <f>ROUND('DOE25'!F117+'DOE25'!F118,0)</f>
        <v>2688500</v>
      </c>
      <c r="D37" s="181">
        <f t="shared" si="1"/>
        <v>20.9</v>
      </c>
    </row>
    <row r="38" spans="1:4" x14ac:dyDescent="0.2">
      <c r="A38" s="182" t="s">
        <v>734</v>
      </c>
      <c r="B38" s="184" t="s">
        <v>729</v>
      </c>
      <c r="C38" s="178">
        <f>ROUND(SUM('DOE25'!F140:J140)-SUM('DOE25'!F117:F119),0)</f>
        <v>373571</v>
      </c>
      <c r="D38" s="181">
        <f t="shared" si="1"/>
        <v>2.9</v>
      </c>
    </row>
    <row r="39" spans="1:4" x14ac:dyDescent="0.2">
      <c r="A39">
        <v>4000</v>
      </c>
      <c r="B39" s="184" t="s">
        <v>730</v>
      </c>
      <c r="C39" s="178">
        <f>ROUND('DOE25'!F170+'DOE25'!G170+'DOE25'!H170+'DOE25'!I170,0)</f>
        <v>441261</v>
      </c>
      <c r="D39" s="181">
        <f t="shared" si="1"/>
        <v>3.4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12846768.450000001</v>
      </c>
      <c r="D41" s="183">
        <f>SUM(D35:D40)</f>
        <v>99.9</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Sunapee</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282</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65</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88</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f>IF('School Level Expenditures'!$B$2='School Tables'!L68,'School Tables'!S68,"")</f>
        <v>65</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f>IF('School Level Expenditures'!$B$2='School Tables'!W91,'School Tables'!AD91,"")</f>
        <v>88</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f>IF('School Level Expenditures'!$B$2=A285,'School Tables'!H285,"")</f>
        <v>282</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2022-10-11T16:59:23Z</cp:lastPrinted>
  <dcterms:created xsi:type="dcterms:W3CDTF">1997-12-04T19:04:30Z</dcterms:created>
  <dcterms:modified xsi:type="dcterms:W3CDTF">2022-12-20T16:59:16Z</dcterms:modified>
</cp:coreProperties>
</file>