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EA5DF1A-D348-44A5-93A0-B0C50221B07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2" i="1" l="1"/>
  <c r="F12" i="1"/>
  <c r="F49" i="1"/>
  <c r="F9" i="1"/>
  <c r="F469" i="1"/>
  <c r="H469" i="1"/>
  <c r="B39" i="12" l="1"/>
  <c r="B21" i="12"/>
  <c r="B12" i="12"/>
  <c r="H256" i="1" l="1"/>
  <c r="F473" i="1"/>
  <c r="G216" i="1"/>
  <c r="F216" i="1"/>
  <c r="G203" i="1"/>
  <c r="J246" i="1"/>
  <c r="K244" i="1"/>
  <c r="F242" i="1"/>
  <c r="F241" i="1"/>
  <c r="H216" i="1"/>
  <c r="J216" i="1"/>
  <c r="I223" i="1"/>
  <c r="H221" i="1"/>
  <c r="F217" i="1"/>
  <c r="J204" i="1"/>
  <c r="I203" i="1"/>
  <c r="F199" i="1"/>
  <c r="G359" i="1" l="1"/>
  <c r="H336" i="1"/>
  <c r="F336" i="1"/>
  <c r="H101" i="1"/>
  <c r="G97" i="1"/>
  <c r="I401" i="1"/>
  <c r="J469" i="1"/>
  <c r="G49" i="1"/>
  <c r="I427" i="1" l="1"/>
  <c r="J473" i="1"/>
  <c r="H30" i="1"/>
  <c r="G9" i="1" l="1"/>
  <c r="H135" i="2"/>
  <c r="H136" i="2"/>
  <c r="H137" i="2"/>
  <c r="H140" i="2"/>
  <c r="H142" i="2"/>
  <c r="H143" i="2"/>
  <c r="H134" i="2"/>
  <c r="H132" i="2"/>
  <c r="H131" i="2"/>
  <c r="H113" i="2"/>
  <c r="H97" i="2"/>
  <c r="H98" i="2"/>
  <c r="H99" i="2"/>
  <c r="H100" i="2"/>
  <c r="H101" i="2"/>
  <c r="H102" i="2"/>
  <c r="H94" i="2"/>
  <c r="H93" i="2"/>
  <c r="H89" i="2"/>
  <c r="H90" i="2"/>
  <c r="H87" i="2"/>
  <c r="H73" i="2"/>
  <c r="H74" i="2"/>
  <c r="H79" i="2"/>
  <c r="H80" i="2"/>
  <c r="H72" i="2"/>
  <c r="H58" i="2"/>
  <c r="H42" i="2"/>
  <c r="H40" i="2"/>
  <c r="H38" i="2"/>
  <c r="H36" i="2"/>
  <c r="H22" i="2"/>
  <c r="H24" i="2"/>
  <c r="H25" i="2"/>
  <c r="H26" i="2"/>
  <c r="H9" i="2"/>
  <c r="H10" i="2"/>
  <c r="H14"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H121" i="2" s="1"/>
  <c r="G14" i="13"/>
  <c r="H14" i="13"/>
  <c r="L208" i="1"/>
  <c r="L226" i="1"/>
  <c r="L244" i="1"/>
  <c r="G15" i="13"/>
  <c r="H15" i="13"/>
  <c r="L209" i="1"/>
  <c r="D15" i="13" s="1"/>
  <c r="C15" i="13" s="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H30" i="2" s="1"/>
  <c r="D30" i="2"/>
  <c r="E30" i="2"/>
  <c r="F30" i="2"/>
  <c r="I452" i="1"/>
  <c r="J31" i="1" s="1"/>
  <c r="G30" i="2" s="1"/>
  <c r="C34" i="2"/>
  <c r="D34" i="2"/>
  <c r="H34" i="2" s="1"/>
  <c r="E34" i="2"/>
  <c r="F34" i="2"/>
  <c r="C35" i="2"/>
  <c r="D35" i="2"/>
  <c r="H35" i="2" s="1"/>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F85" i="2"/>
  <c r="C87" i="2"/>
  <c r="E87" i="2"/>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477" i="1" l="1"/>
  <c r="H625" i="1" s="1"/>
  <c r="J652" i="1"/>
  <c r="C119" i="2"/>
  <c r="C112" i="2"/>
  <c r="C12" i="10"/>
  <c r="C125" i="2"/>
  <c r="H125" i="2" s="1"/>
  <c r="E13" i="13"/>
  <c r="C13" i="13" s="1"/>
  <c r="D6" i="13"/>
  <c r="C6" i="13" s="1"/>
  <c r="C13" i="10"/>
  <c r="C110" i="2"/>
  <c r="C120" i="2"/>
  <c r="H120" i="2" s="1"/>
  <c r="C85" i="2"/>
  <c r="H85" i="2" s="1"/>
  <c r="E112" i="2"/>
  <c r="A40" i="12"/>
  <c r="G477" i="1"/>
  <c r="H624" i="1" s="1"/>
  <c r="J624" i="1" s="1"/>
  <c r="G662" i="1"/>
  <c r="D78" i="2"/>
  <c r="H77" i="2"/>
  <c r="H43" i="2"/>
  <c r="H48" i="2"/>
  <c r="G62" i="2"/>
  <c r="H61" i="2"/>
  <c r="H29" i="2"/>
  <c r="H21" i="2"/>
  <c r="H11" i="2"/>
  <c r="H12" i="2"/>
  <c r="H8" i="2"/>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H103" i="2" s="1"/>
  <c r="I140" i="1"/>
  <c r="A22" i="12"/>
  <c r="J653" i="1"/>
  <c r="G572" i="1"/>
  <c r="I435" i="1"/>
  <c r="G435" i="1"/>
  <c r="I664" i="1"/>
  <c r="H119" i="2" l="1"/>
  <c r="H112" i="2"/>
  <c r="H114" i="2"/>
  <c r="I663" i="1"/>
  <c r="H110" i="2"/>
  <c r="H78" i="2"/>
  <c r="C81" i="2"/>
  <c r="H81" i="2" s="1"/>
  <c r="F194" i="1"/>
  <c r="G628" i="1" s="1"/>
  <c r="J628" i="1" s="1"/>
  <c r="G24" i="14"/>
  <c r="H24" i="14" s="1"/>
  <c r="I24" i="14" s="1"/>
  <c r="E128" i="2"/>
  <c r="F661" i="1"/>
  <c r="F665" i="1" s="1"/>
  <c r="F668" i="1" s="1"/>
  <c r="E115" i="2"/>
  <c r="H109" i="2"/>
  <c r="H91" i="2"/>
  <c r="D128" i="2"/>
  <c r="H127" i="2"/>
  <c r="H62" i="2"/>
  <c r="D51" i="2"/>
  <c r="H50" i="2"/>
  <c r="G63" i="2"/>
  <c r="E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C104" i="2"/>
  <c r="H104" i="2" s="1"/>
  <c r="H63" i="2"/>
  <c r="E145" i="2"/>
  <c r="H673" i="1"/>
  <c r="C6" i="10" s="1"/>
  <c r="D145" i="2"/>
  <c r="H128" i="2"/>
  <c r="C144" i="2"/>
  <c r="C145"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<sst xmlns="http://schemas.openxmlformats.org/spreadsheetml/2006/main" count="6530" uniqueCount="1802">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</sst>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2" zoomScale="110" zoomScaleNormal="110" workbookViewId="0">
      <pane xSplit="5" ySplit="2" topLeftCell="F650" activePane="bottomRight" state="frozen"/>
      <selection activeCell="A2" sqref="A2"/>
      <selection pane="topRight" activeCell="F2" sqref="F2"/>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1443</v>
      </c>
      <c r="B2" s="126">
        <f>INDEX('School Tables'!$AH$3:$AH$208,MATCH('DOE25'!A2,'School Tables'!$AJ$3:$AJ$208,0))</f>
        <v>534</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6829687.95+1831+15961.68</f>
        <v>6847480.6299999999</v>
      </c>
      <c r="G9" s="18">
        <f>6996.94+550</f>
        <v>7546.94</v>
      </c>
      <c r="H9" s="18">
        <v>38185.11</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991392.94-215006.51</f>
        <v>776386.42999999993</v>
      </c>
      <c r="G12" s="18"/>
      <c r="H12" s="18"/>
      <c r="I12" s="18"/>
      <c r="J12" s="67">
        <f>SUM(I442)</f>
        <v>80414.990000000005</v>
      </c>
      <c r="K12" s="24" t="s">
        <v>288</v>
      </c>
      <c r="L12" s="24" t="s">
        <v>288</v>
      </c>
      <c r="M12" s="8"/>
      <c r="N12" s="265"/>
    </row>
    <row r="13" spans="1:14" s="3" customFormat="1" ht="12.2" customHeight="1" x14ac:dyDescent="0.15">
      <c r="A13" s="1" t="s">
        <v>604</v>
      </c>
      <c r="B13" s="2" t="s">
        <v>289</v>
      </c>
      <c r="C13" s="6">
        <v>5</v>
      </c>
      <c r="D13" s="2" t="s">
        <v>428</v>
      </c>
      <c r="E13" s="6">
        <v>140</v>
      </c>
      <c r="F13" s="18">
        <v>12116.57</v>
      </c>
      <c r="G13" s="18">
        <v>483134.41</v>
      </c>
      <c r="H13" s="18">
        <v>748084.88</v>
      </c>
      <c r="I13" s="18"/>
      <c r="J13" s="67">
        <f>SUM(I443)</f>
        <v>1333455.81</v>
      </c>
      <c r="K13" s="24" t="s">
        <v>288</v>
      </c>
      <c r="L13" s="24" t="s">
        <v>288</v>
      </c>
      <c r="M13" s="8"/>
      <c r="N13" s="265"/>
    </row>
    <row r="14" spans="1:14" s="3" customFormat="1" ht="12.2" customHeight="1" x14ac:dyDescent="0.15">
      <c r="A14" s="1" t="s">
        <v>565</v>
      </c>
      <c r="B14" s="2" t="s">
        <v>289</v>
      </c>
      <c r="C14" s="6">
        <v>6</v>
      </c>
      <c r="D14" s="2" t="s">
        <v>428</v>
      </c>
      <c r="E14" s="6">
        <v>150</v>
      </c>
      <c r="F14" s="18">
        <v>5873.48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36733.230000000003</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7641857.1100000003</v>
      </c>
      <c r="G19" s="41">
        <f>SUM(G9:G18)</f>
        <v>527414.57999999996</v>
      </c>
      <c r="H19" s="41">
        <f>SUM(H9:H18)</f>
        <v>786269.99</v>
      </c>
      <c r="I19" s="41">
        <f>SUM(I9:I18)</f>
        <v>0</v>
      </c>
      <c r="J19" s="41">
        <f>SUM(J9:J18)</f>
        <v>1413870.8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102356.31</v>
      </c>
      <c r="H22" s="18">
        <f>728519.05+38185.11-12259.05</f>
        <v>754445.11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11422.92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130738.34</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167887.53</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5938</v>
      </c>
      <c r="G30" s="18">
        <v>45444.52</v>
      </c>
      <c r="H30" s="18">
        <f>19565.83+12259.05</f>
        <v>31824.880000000001</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69987.14</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385973.93000000005</v>
      </c>
      <c r="G32" s="41">
        <f>SUM(G22:G31)</f>
        <v>147800.82999999999</v>
      </c>
      <c r="H32" s="41">
        <f>SUM(H22:H31)</f>
        <v>786269.99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991392.94</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1413870.8</v>
      </c>
      <c r="K48" s="24" t="s">
        <v>288</v>
      </c>
      <c r="L48" s="24" t="s">
        <v>288</v>
      </c>
      <c r="M48" s="8"/>
      <c r="N48" s="265"/>
    </row>
    <row r="49" spans="1:14" s="3" customFormat="1" ht="12.2" customHeight="1" x14ac:dyDescent="0.15">
      <c r="A49" s="1" t="s">
        <v>859</v>
      </c>
      <c r="B49" s="2" t="s">
        <v>289</v>
      </c>
      <c r="C49" s="6">
        <v>34</v>
      </c>
      <c r="D49" s="2"/>
      <c r="E49" s="6">
        <v>753</v>
      </c>
      <c r="F49" s="18">
        <f>2123412.29+15961.68</f>
        <v>2139373.9700000002</v>
      </c>
      <c r="G49" s="18">
        <f>45753.72+333860.03</f>
        <v>379613.75</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3625116.27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7255883.1799999997</v>
      </c>
      <c r="G51" s="41">
        <f>SUM(G35:G50)</f>
        <v>379613.75</v>
      </c>
      <c r="H51" s="41">
        <f>SUM(H35:H50)</f>
        <v>0</v>
      </c>
      <c r="I51" s="41">
        <f>SUM(I35:I50)</f>
        <v>0</v>
      </c>
      <c r="J51" s="41">
        <f>SUM(J35:J50)</f>
        <v>1413870.8</v>
      </c>
      <c r="K51" s="45" t="s">
        <v>288</v>
      </c>
      <c r="L51" s="45" t="s">
        <v>288</v>
      </c>
      <c r="N51" s="263"/>
    </row>
    <row r="52" spans="1:14" s="3" customFormat="1" ht="12.2" customHeight="1" thickTop="1" x14ac:dyDescent="0.15">
      <c r="A52" s="38" t="s">
        <v>455</v>
      </c>
      <c r="B52" s="39" t="s">
        <v>289</v>
      </c>
      <c r="C52" s="6">
        <v>37</v>
      </c>
      <c r="D52" s="39" t="s">
        <v>653</v>
      </c>
      <c r="E52" s="39"/>
      <c r="F52" s="41">
        <f>F51+F32</f>
        <v>7641857.1099999994</v>
      </c>
      <c r="G52" s="41">
        <f>G51+G32</f>
        <v>527414.57999999996</v>
      </c>
      <c r="H52" s="41">
        <f>H51+H32</f>
        <v>786269.99</v>
      </c>
      <c r="I52" s="41">
        <f>I51+I32</f>
        <v>0</v>
      </c>
      <c r="J52" s="41">
        <f>J51+J32</f>
        <v>1413870.8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50619507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50619507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630876.68000000005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630876.68000000005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11489.84</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f>200590.47+28697.35+16616.76</f>
        <v>245904.58000000002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f>38465</f>
        <v>38465</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30</v>
      </c>
      <c r="I102" s="18"/>
      <c r="J102" s="18">
        <v>11015.18</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837166.03</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636018.32999999996</v>
      </c>
      <c r="G110" s="18"/>
      <c r="H110" s="18">
        <v>2036.22</v>
      </c>
      <c r="I110" s="18"/>
      <c r="J110" s="18">
        <v>13850.28</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1484674.2</v>
      </c>
      <c r="G111" s="41">
        <f>SUM(G96:G110)</f>
        <v>245904.58000000002</v>
      </c>
      <c r="H111" s="41">
        <f>SUM(H96:H110)</f>
        <v>40531.22</v>
      </c>
      <c r="I111" s="41">
        <f>SUM(I96:I110)</f>
        <v>0</v>
      </c>
      <c r="J111" s="41">
        <f>SUM(J96:J110)</f>
        <v>24865.46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52735057.880000003</v>
      </c>
      <c r="G112" s="41">
        <f>G60+G111</f>
        <v>245904.58000000002</v>
      </c>
      <c r="H112" s="41">
        <f>H60+H79+H94+H111</f>
        <v>40531.22</v>
      </c>
      <c r="I112" s="41">
        <f>I60+I111</f>
        <v>0</v>
      </c>
      <c r="J112" s="41">
        <f>J60+J111</f>
        <v>24865.46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10642987.439999999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6611730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15961.68</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17270679.119999997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438551.2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20433.599999999999</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102523.18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458984.8</v>
      </c>
      <c r="G136" s="41">
        <f>SUM(G123:G135)</f>
        <v>102523.18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17729663.919999998</v>
      </c>
      <c r="G140" s="41">
        <f>G121+SUM(G136:G137)</f>
        <v>102523.18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32007</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32007</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148114.17000000001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121418.65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1669596.8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708181.81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281787.42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258493.35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281787.42</v>
      </c>
      <c r="G163" s="41">
        <f>SUM(G150:G162)</f>
        <v>1669596.8</v>
      </c>
      <c r="H163" s="41">
        <f>SUM(H150:H162)</f>
        <v>1236207.9800000002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313794.42</v>
      </c>
      <c r="G170" s="41">
        <f>G147+G163+SUM(G164:G169)</f>
        <v>1669596.8</v>
      </c>
      <c r="H170" s="41">
        <f>H147+H163+SUM(H164:H169)</f>
        <v>1236207.9800000002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70778516.219999999</v>
      </c>
      <c r="G194" s="47">
        <f>G112+G140+G170+G193</f>
        <v>2018024.56</v>
      </c>
      <c r="H194" s="47">
        <f>H112+H140+H170+H193</f>
        <v>1276739.2000000002</v>
      </c>
      <c r="I194" s="47">
        <f>I112+I140+I170+I193</f>
        <v>0</v>
      </c>
      <c r="J194" s="47">
        <f>J112+J140+J193</f>
        <v>24865.46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8446593.0500000007</v>
      </c>
      <c r="G198" s="18">
        <v>4775704.8899999997</v>
      </c>
      <c r="H198" s="18">
        <v>23104.52</v>
      </c>
      <c r="I198" s="18">
        <v>413624.13</v>
      </c>
      <c r="J198" s="18">
        <v>178879.7</v>
      </c>
      <c r="K198" s="18">
        <v>0</v>
      </c>
      <c r="L198" s="19">
        <f>SUM(F198:K198)</f>
        <v>13837906.290000001</v>
      </c>
      <c r="M198" s="8"/>
      <c r="N198" s="265"/>
    </row>
    <row r="199" spans="1:14" s="3" customFormat="1" ht="12.2" customHeight="1" x14ac:dyDescent="0.15">
      <c r="A199" s="1" t="s">
        <v>439</v>
      </c>
      <c r="B199" s="2" t="s">
        <v>341</v>
      </c>
      <c r="C199" s="2" t="s">
        <v>291</v>
      </c>
      <c r="D199" s="2" t="s">
        <v>431</v>
      </c>
      <c r="E199" s="6">
        <v>1200</v>
      </c>
      <c r="F199" s="18">
        <f>2849593.85+0.01</f>
        <v>2849593.86</v>
      </c>
      <c r="G199" s="18">
        <v>1611160.76</v>
      </c>
      <c r="H199" s="18">
        <v>862158.38</v>
      </c>
      <c r="I199" s="18">
        <v>25023.87</v>
      </c>
      <c r="J199" s="18">
        <v>13872.85</v>
      </c>
      <c r="K199" s="18">
        <v>0</v>
      </c>
      <c r="L199" s="19">
        <f>SUM(F199:K199)</f>
        <v>5361809.72</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92420.74</v>
      </c>
      <c r="G201" s="18">
        <v>52254.7</v>
      </c>
      <c r="H201" s="18">
        <v>5303.68</v>
      </c>
      <c r="I201" s="18">
        <v>6184.64</v>
      </c>
      <c r="J201" s="18">
        <v>0</v>
      </c>
      <c r="K201" s="18">
        <v>1149.5</v>
      </c>
      <c r="L201" s="19">
        <f>SUM(F201:K201)</f>
        <v>157313.26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1253432.1100000001</v>
      </c>
      <c r="G203" s="18">
        <f>708690.69+0.01</f>
        <v>708690.7</v>
      </c>
      <c r="H203" s="18">
        <v>67840.960000000006</v>
      </c>
      <c r="I203" s="18">
        <f>17977.53-0.01</f>
        <v>17977.52</v>
      </c>
      <c r="J203" s="18">
        <v>1315.81</v>
      </c>
      <c r="K203" s="18">
        <v>0</v>
      </c>
      <c r="L203" s="19">
        <f t="shared" ref="L203:L209" si="0">SUM(F203:K203)</f>
        <v>2049257.1</v>
      </c>
      <c r="M203" s="8"/>
      <c r="N203" s="265"/>
    </row>
    <row r="204" spans="1:14" s="3" customFormat="1" ht="12.2" customHeight="1" x14ac:dyDescent="0.15">
      <c r="A204" s="1" t="s">
        <v>443</v>
      </c>
      <c r="B204" s="2" t="s">
        <v>341</v>
      </c>
      <c r="C204" s="2" t="s">
        <v>295</v>
      </c>
      <c r="D204" s="2" t="s">
        <v>431</v>
      </c>
      <c r="E204" s="6">
        <v>2200</v>
      </c>
      <c r="F204" s="18">
        <v>427509.65</v>
      </c>
      <c r="G204" s="18">
        <v>291432.65999999997</v>
      </c>
      <c r="H204" s="18">
        <v>28747.96</v>
      </c>
      <c r="I204" s="18">
        <v>59033.2</v>
      </c>
      <c r="J204" s="18">
        <f>511.5+0.01</f>
        <v>511.51</v>
      </c>
      <c r="K204" s="18">
        <v>0</v>
      </c>
      <c r="L204" s="19">
        <f t="shared" si="0"/>
        <v>807234.98</v>
      </c>
      <c r="M204" s="8"/>
      <c r="N204" s="265"/>
    </row>
    <row r="205" spans="1:14" s="3" customFormat="1" ht="12.2" customHeight="1" x14ac:dyDescent="0.15">
      <c r="A205" s="1" t="s">
        <v>444</v>
      </c>
      <c r="B205" s="2" t="s">
        <v>341</v>
      </c>
      <c r="C205" s="2" t="s">
        <v>296</v>
      </c>
      <c r="D205" s="2" t="s">
        <v>431</v>
      </c>
      <c r="E205" s="6">
        <v>2300</v>
      </c>
      <c r="F205" s="18">
        <v>351317.6</v>
      </c>
      <c r="G205" s="18">
        <v>200624.38</v>
      </c>
      <c r="H205" s="18">
        <v>143599.01999999999</v>
      </c>
      <c r="I205" s="18">
        <v>56512.58</v>
      </c>
      <c r="J205" s="18">
        <v>4585.22</v>
      </c>
      <c r="K205" s="18">
        <v>12511.8</v>
      </c>
      <c r="L205" s="19">
        <f t="shared" si="0"/>
        <v>769150.6</v>
      </c>
      <c r="M205" s="8"/>
      <c r="N205" s="265"/>
    </row>
    <row r="206" spans="1:14" s="3" customFormat="1" ht="12.2" customHeight="1" x14ac:dyDescent="0.15">
      <c r="A206" s="1" t="s">
        <v>445</v>
      </c>
      <c r="B206" s="2" t="s">
        <v>341</v>
      </c>
      <c r="C206" s="2" t="s">
        <v>297</v>
      </c>
      <c r="D206" s="2" t="s">
        <v>431</v>
      </c>
      <c r="E206" s="6">
        <v>2400</v>
      </c>
      <c r="F206" s="18">
        <v>1364669.85</v>
      </c>
      <c r="G206" s="18">
        <v>771584.52</v>
      </c>
      <c r="H206" s="18">
        <v>37133.550000000003</v>
      </c>
      <c r="I206" s="18">
        <v>36687.35</v>
      </c>
      <c r="J206" s="18">
        <v>6733.67</v>
      </c>
      <c r="K206" s="18">
        <v>10167.969999999999</v>
      </c>
      <c r="L206" s="19">
        <f t="shared" si="0"/>
        <v>2226976.91</v>
      </c>
      <c r="M206" s="8"/>
      <c r="N206" s="265"/>
    </row>
    <row r="207" spans="1:14" s="3" customFormat="1" ht="12.2" customHeight="1" x14ac:dyDescent="0.15">
      <c r="A207" s="1" t="s">
        <v>446</v>
      </c>
      <c r="B207" s="2" t="s">
        <v>341</v>
      </c>
      <c r="C207" s="2" t="s">
        <v>298</v>
      </c>
      <c r="D207" s="2" t="s">
        <v>431</v>
      </c>
      <c r="E207" s="6">
        <v>2500</v>
      </c>
      <c r="F207" s="18">
        <v>179734.97</v>
      </c>
      <c r="G207" s="18">
        <v>101622.18</v>
      </c>
      <c r="H207" s="18">
        <v>10725.46</v>
      </c>
      <c r="I207" s="18">
        <v>0</v>
      </c>
      <c r="J207" s="18">
        <v>0</v>
      </c>
      <c r="K207" s="18">
        <v>0</v>
      </c>
      <c r="L207" s="19">
        <f t="shared" si="0"/>
        <v>292082.61000000004</v>
      </c>
      <c r="M207" s="8"/>
      <c r="N207" s="265"/>
    </row>
    <row r="208" spans="1:14" s="3" customFormat="1" ht="12.2" customHeight="1" x14ac:dyDescent="0.15">
      <c r="A208" s="1" t="s">
        <v>447</v>
      </c>
      <c r="B208" s="2" t="s">
        <v>341</v>
      </c>
      <c r="C208" s="2" t="s">
        <v>299</v>
      </c>
      <c r="D208" s="2" t="s">
        <v>431</v>
      </c>
      <c r="E208" s="6">
        <v>2600</v>
      </c>
      <c r="F208" s="18">
        <v>964228.33</v>
      </c>
      <c r="G208" s="18">
        <v>556354.28</v>
      </c>
      <c r="H208" s="18">
        <v>422713.37</v>
      </c>
      <c r="I208" s="18">
        <v>627562.02</v>
      </c>
      <c r="J208" s="18">
        <v>25878.75</v>
      </c>
      <c r="K208" s="18">
        <v>45.54</v>
      </c>
      <c r="L208" s="19">
        <f t="shared" si="0"/>
        <v>2596782.29</v>
      </c>
      <c r="M208" s="8"/>
      <c r="N208" s="265"/>
    </row>
    <row r="209" spans="1:14" s="3" customFormat="1" ht="12.2" customHeight="1" x14ac:dyDescent="0.15">
      <c r="A209" s="1" t="s">
        <v>448</v>
      </c>
      <c r="B209" s="2" t="s">
        <v>341</v>
      </c>
      <c r="C209" s="2" t="s">
        <v>300</v>
      </c>
      <c r="D209" s="2" t="s">
        <v>431</v>
      </c>
      <c r="E209" s="6">
        <v>2700</v>
      </c>
      <c r="F209" s="18">
        <v>0</v>
      </c>
      <c r="G209" s="18">
        <v>0</v>
      </c>
      <c r="H209" s="18">
        <v>1585313.3565025986</v>
      </c>
      <c r="I209" s="18">
        <v>0</v>
      </c>
      <c r="J209" s="18">
        <v>0</v>
      </c>
      <c r="K209" s="18">
        <v>0</v>
      </c>
      <c r="L209" s="19">
        <f t="shared" si="0"/>
        <v>1585313.3565025986</v>
      </c>
      <c r="M209" s="8"/>
      <c r="N209" s="265"/>
    </row>
    <row r="210" spans="1:14" s="3" customFormat="1" ht="12.2" customHeight="1" x14ac:dyDescent="0.15">
      <c r="A210" s="1" t="s">
        <v>449</v>
      </c>
      <c r="B210" s="2" t="s">
        <v>341</v>
      </c>
      <c r="C210" s="2" t="s">
        <v>343</v>
      </c>
      <c r="D210" s="2" t="s">
        <v>431</v>
      </c>
      <c r="E210" s="6">
        <v>2800</v>
      </c>
      <c r="F210" s="18">
        <v>194535.92</v>
      </c>
      <c r="G210" s="18">
        <v>109990.64</v>
      </c>
      <c r="H210" s="18">
        <v>23660.45</v>
      </c>
      <c r="I210" s="18">
        <v>110704.79</v>
      </c>
      <c r="J210" s="18">
        <v>8503.5300000000007</v>
      </c>
      <c r="K210" s="18">
        <v>0</v>
      </c>
      <c r="L210" s="19">
        <f>SUM(F210:K210)</f>
        <v>447395.33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16124036.08</v>
      </c>
      <c r="G212" s="41">
        <f t="shared" si="1"/>
        <v>9179419.709999999</v>
      </c>
      <c r="H212" s="41">
        <f t="shared" si="1"/>
        <v>3210300.7065025987</v>
      </c>
      <c r="I212" s="41">
        <f t="shared" si="1"/>
        <v>1353310.1</v>
      </c>
      <c r="J212" s="41">
        <f t="shared" si="1"/>
        <v>240281.04000000004</v>
      </c>
      <c r="K212" s="41">
        <f t="shared" si="1"/>
        <v>23874.809999999998</v>
      </c>
      <c r="L212" s="41">
        <f t="shared" si="1"/>
        <v>30131222.446502604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4247323.22-0.02</f>
        <v>4247323.2</v>
      </c>
      <c r="G216" s="18">
        <f>2401437.14+0.02</f>
        <v>2401437.16</v>
      </c>
      <c r="H216" s="18">
        <f>15354.83</f>
        <v>15354.83</v>
      </c>
      <c r="I216" s="18">
        <v>200669.37</v>
      </c>
      <c r="J216" s="18">
        <f>122738.83-0.01</f>
        <v>122738.82</v>
      </c>
      <c r="K216" s="18">
        <v>1160</v>
      </c>
      <c r="L216" s="19">
        <f>SUM(F216:K216)</f>
        <v>6988683.3800000008</v>
      </c>
      <c r="M216" s="8"/>
      <c r="N216" s="265"/>
    </row>
    <row r="217" spans="1:14" s="3" customFormat="1" ht="12.2" customHeight="1" x14ac:dyDescent="0.15">
      <c r="A217" s="1" t="s">
        <v>439</v>
      </c>
      <c r="B217" s="2" t="s">
        <v>346</v>
      </c>
      <c r="C217" s="2" t="s">
        <v>291</v>
      </c>
      <c r="D217" s="2" t="s">
        <v>431</v>
      </c>
      <c r="E217" s="6">
        <v>1200</v>
      </c>
      <c r="F217" s="18">
        <f>1681178.68-0.01</f>
        <v>1681178.67</v>
      </c>
      <c r="G217" s="18">
        <v>950538.66</v>
      </c>
      <c r="H217" s="18">
        <v>890248.67</v>
      </c>
      <c r="I217" s="18">
        <v>11981.56</v>
      </c>
      <c r="J217" s="18">
        <v>6379.04</v>
      </c>
      <c r="K217" s="18">
        <v>0</v>
      </c>
      <c r="L217" s="19">
        <f>SUM(F217:K217)</f>
        <v>3540326.6</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115305.62</v>
      </c>
      <c r="G219" s="18">
        <v>65193.82</v>
      </c>
      <c r="H219" s="18">
        <v>16590.150000000001</v>
      </c>
      <c r="I219" s="18">
        <v>9110.9500000000007</v>
      </c>
      <c r="J219" s="18">
        <v>2971.59</v>
      </c>
      <c r="K219" s="18">
        <v>763.22</v>
      </c>
      <c r="L219" s="19">
        <f>SUM(F219:K219)</f>
        <v>209935.35</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737644.18</v>
      </c>
      <c r="G221" s="18">
        <v>417064.12</v>
      </c>
      <c r="H221" s="18">
        <f>31631.85-0.01</f>
        <v>31631.84</v>
      </c>
      <c r="I221" s="18">
        <v>9148.93</v>
      </c>
      <c r="J221" s="18">
        <v>605.04</v>
      </c>
      <c r="K221" s="18">
        <v>0</v>
      </c>
      <c r="L221" s="19">
        <f t="shared" ref="L221:L227" si="2">SUM(F221:K221)</f>
        <v>1196094.1100000001</v>
      </c>
      <c r="M221" s="8"/>
      <c r="N221" s="265"/>
    </row>
    <row r="222" spans="1:14" s="3" customFormat="1" ht="12.2" customHeight="1" x14ac:dyDescent="0.15">
      <c r="A222" s="1" t="s">
        <v>443</v>
      </c>
      <c r="B222" s="2" t="s">
        <v>346</v>
      </c>
      <c r="C222" s="2" t="s">
        <v>295</v>
      </c>
      <c r="D222" s="2" t="s">
        <v>431</v>
      </c>
      <c r="E222" s="6">
        <v>2200</v>
      </c>
      <c r="F222" s="18">
        <v>152823.98000000001</v>
      </c>
      <c r="G222" s="18">
        <v>109268.39</v>
      </c>
      <c r="H222" s="18">
        <v>13137.89</v>
      </c>
      <c r="I222" s="18">
        <v>35486.720000000001</v>
      </c>
      <c r="J222" s="18">
        <v>1007.46</v>
      </c>
      <c r="K222" s="18">
        <v>0</v>
      </c>
      <c r="L222" s="19">
        <f t="shared" si="2"/>
        <v>311724.44</v>
      </c>
      <c r="M222" s="8"/>
      <c r="N222" s="265"/>
    </row>
    <row r="223" spans="1:14" s="3" customFormat="1" ht="12.2" customHeight="1" x14ac:dyDescent="0.15">
      <c r="A223" s="1" t="s">
        <v>444</v>
      </c>
      <c r="B223" s="2" t="s">
        <v>346</v>
      </c>
      <c r="C223" s="2" t="s">
        <v>296</v>
      </c>
      <c r="D223" s="2" t="s">
        <v>431</v>
      </c>
      <c r="E223" s="6">
        <v>2300</v>
      </c>
      <c r="F223" s="18">
        <v>161543.35999999999</v>
      </c>
      <c r="G223" s="18">
        <v>92251.39</v>
      </c>
      <c r="H223" s="18">
        <v>66029.91</v>
      </c>
      <c r="I223" s="18">
        <f>25985.69+0.01</f>
        <v>25985.699999999997</v>
      </c>
      <c r="J223" s="18">
        <v>2108.38</v>
      </c>
      <c r="K223" s="18">
        <v>5753.19</v>
      </c>
      <c r="L223" s="19">
        <f t="shared" si="2"/>
        <v>353671.93000000005</v>
      </c>
      <c r="M223" s="8"/>
      <c r="N223" s="265"/>
    </row>
    <row r="224" spans="1:14" s="3" customFormat="1" ht="12.2" customHeight="1" x14ac:dyDescent="0.15">
      <c r="A224" s="1" t="s">
        <v>445</v>
      </c>
      <c r="B224" s="2" t="s">
        <v>346</v>
      </c>
      <c r="C224" s="2" t="s">
        <v>297</v>
      </c>
      <c r="D224" s="2" t="s">
        <v>431</v>
      </c>
      <c r="E224" s="6">
        <v>2400</v>
      </c>
      <c r="F224" s="18">
        <v>570147.73</v>
      </c>
      <c r="G224" s="18">
        <v>322361.59999999998</v>
      </c>
      <c r="H224" s="18">
        <v>7969.93</v>
      </c>
      <c r="I224" s="18">
        <v>44548.57</v>
      </c>
      <c r="J224" s="18">
        <v>5733.74</v>
      </c>
      <c r="K224" s="18">
        <v>4857.95</v>
      </c>
      <c r="L224" s="19">
        <f t="shared" si="2"/>
        <v>955619.5199999999</v>
      </c>
      <c r="M224" s="8"/>
      <c r="N224" s="265"/>
    </row>
    <row r="225" spans="1:14" s="3" customFormat="1" ht="12.2" customHeight="1" x14ac:dyDescent="0.15">
      <c r="A225" s="1" t="s">
        <v>446</v>
      </c>
      <c r="B225" s="2" t="s">
        <v>346</v>
      </c>
      <c r="C225" s="2" t="s">
        <v>298</v>
      </c>
      <c r="D225" s="2" t="s">
        <v>431</v>
      </c>
      <c r="E225" s="6">
        <v>2500</v>
      </c>
      <c r="F225" s="18">
        <v>82645.990000000005</v>
      </c>
      <c r="G225" s="18">
        <v>46728.05</v>
      </c>
      <c r="H225" s="18">
        <v>4931.8</v>
      </c>
      <c r="I225" s="18">
        <v>0</v>
      </c>
      <c r="J225" s="18">
        <v>0</v>
      </c>
      <c r="K225" s="18">
        <v>0</v>
      </c>
      <c r="L225" s="19">
        <f t="shared" si="2"/>
        <v>134305.84</v>
      </c>
      <c r="M225" s="8"/>
      <c r="N225" s="265"/>
    </row>
    <row r="226" spans="1:14" s="3" customFormat="1" ht="12.2" customHeight="1" x14ac:dyDescent="0.15">
      <c r="A226" s="1" t="s">
        <v>447</v>
      </c>
      <c r="B226" s="2" t="s">
        <v>346</v>
      </c>
      <c r="C226" s="2" t="s">
        <v>299</v>
      </c>
      <c r="D226" s="2" t="s">
        <v>431</v>
      </c>
      <c r="E226" s="6">
        <v>2600</v>
      </c>
      <c r="F226" s="18">
        <v>430118.67</v>
      </c>
      <c r="G226" s="18">
        <v>248329.7</v>
      </c>
      <c r="H226" s="18">
        <v>193465.44</v>
      </c>
      <c r="I226" s="18">
        <v>202827.82</v>
      </c>
      <c r="J226" s="18">
        <v>11899.61</v>
      </c>
      <c r="K226" s="18">
        <v>20.94</v>
      </c>
      <c r="L226" s="19">
        <f t="shared" si="2"/>
        <v>1086662.1800000002</v>
      </c>
      <c r="M226" s="8"/>
      <c r="N226" s="265"/>
    </row>
    <row r="227" spans="1:14" s="3" customFormat="1" ht="12.2" customHeight="1" x14ac:dyDescent="0.15">
      <c r="A227" s="1" t="s">
        <v>448</v>
      </c>
      <c r="B227" s="2" t="s">
        <v>346</v>
      </c>
      <c r="C227" s="2" t="s">
        <v>300</v>
      </c>
      <c r="D227" s="2" t="s">
        <v>431</v>
      </c>
      <c r="E227" s="6">
        <v>2700</v>
      </c>
      <c r="F227" s="18">
        <v>0</v>
      </c>
      <c r="G227" s="18">
        <v>0</v>
      </c>
      <c r="H227" s="18">
        <v>728961.05232039141</v>
      </c>
      <c r="I227" s="18">
        <v>0</v>
      </c>
      <c r="J227" s="18">
        <v>0</v>
      </c>
      <c r="K227" s="18">
        <v>0</v>
      </c>
      <c r="L227" s="19">
        <f t="shared" si="2"/>
        <v>728961.05232039141</v>
      </c>
      <c r="M227" s="8"/>
      <c r="N227" s="265"/>
    </row>
    <row r="228" spans="1:14" s="3" customFormat="1" ht="12.2" customHeight="1" x14ac:dyDescent="0.15">
      <c r="A228" s="1" t="s">
        <v>449</v>
      </c>
      <c r="B228" s="2" t="s">
        <v>346</v>
      </c>
      <c r="C228" s="2" t="s">
        <v>343</v>
      </c>
      <c r="D228" s="2" t="s">
        <v>431</v>
      </c>
      <c r="E228" s="6">
        <v>2800</v>
      </c>
      <c r="F228" s="18">
        <v>89451.79</v>
      </c>
      <c r="G228" s="18">
        <v>50576.05</v>
      </c>
      <c r="H228" s="18">
        <v>10879.58</v>
      </c>
      <c r="I228" s="18">
        <v>50904.43</v>
      </c>
      <c r="J228" s="18">
        <v>3910.11</v>
      </c>
      <c r="K228" s="18">
        <v>0</v>
      </c>
      <c r="L228" s="19">
        <f>SUM(F228:K228)</f>
        <v>205721.95999999996</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8268183.1900000004</v>
      </c>
      <c r="G230" s="41">
        <f>SUM(G216:G229)</f>
        <v>4703748.9400000004</v>
      </c>
      <c r="H230" s="41">
        <f>SUM(H216:H229)</f>
        <v>1979201.0923203917</v>
      </c>
      <c r="I230" s="41">
        <f>SUM(I216:I229)</f>
        <v>590664.05000000016</v>
      </c>
      <c r="J230" s="41">
        <f>SUM(J216:J229)</f>
        <v>157353.78999999998</v>
      </c>
      <c r="K230" s="41">
        <f t="shared" si="3"/>
        <v>12555.300000000001</v>
      </c>
      <c r="L230" s="41">
        <f t="shared" si="3"/>
        <v>15711706.36232039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5689721.0999999996</v>
      </c>
      <c r="G234" s="18">
        <v>3216969.1</v>
      </c>
      <c r="H234" s="18">
        <v>48985.58</v>
      </c>
      <c r="I234" s="18">
        <v>336726.22</v>
      </c>
      <c r="J234" s="18">
        <v>148355.24</v>
      </c>
      <c r="K234" s="18">
        <v>4210</v>
      </c>
      <c r="L234" s="19">
        <f>SUM(F234:K234)</f>
        <v>9444967.2400000002</v>
      </c>
      <c r="M234" s="8"/>
      <c r="N234" s="265"/>
    </row>
    <row r="235" spans="1:14" s="3" customFormat="1" ht="12.2" customHeight="1" x14ac:dyDescent="0.15">
      <c r="A235" s="1" t="s">
        <v>439</v>
      </c>
      <c r="B235" s="2" t="s">
        <v>350</v>
      </c>
      <c r="C235" s="2" t="s">
        <v>291</v>
      </c>
      <c r="D235" s="2" t="s">
        <v>431</v>
      </c>
      <c r="E235" s="6">
        <v>1200</v>
      </c>
      <c r="F235" s="18">
        <v>1980864.75</v>
      </c>
      <c r="G235" s="18">
        <v>1119981.21</v>
      </c>
      <c r="H235" s="18">
        <v>1455138.69</v>
      </c>
      <c r="I235" s="18">
        <v>17905.5</v>
      </c>
      <c r="J235" s="18">
        <v>8688.23</v>
      </c>
      <c r="K235" s="18">
        <v>0</v>
      </c>
      <c r="L235" s="19">
        <f>SUM(F235:K235)</f>
        <v>4582578.3800000008</v>
      </c>
      <c r="M235" s="8"/>
      <c r="N235" s="265"/>
    </row>
    <row r="236" spans="1:14" s="3" customFormat="1" ht="12.2" customHeight="1" x14ac:dyDescent="0.15">
      <c r="A236" s="1" t="s">
        <v>440</v>
      </c>
      <c r="B236" s="2" t="s">
        <v>350</v>
      </c>
      <c r="C236" s="2" t="s">
        <v>292</v>
      </c>
      <c r="D236" s="2" t="s">
        <v>431</v>
      </c>
      <c r="E236" s="6">
        <v>1300</v>
      </c>
      <c r="F236" s="18">
        <v>0</v>
      </c>
      <c r="G236" s="18">
        <v>0</v>
      </c>
      <c r="H236" s="18">
        <v>133335.23000000001</v>
      </c>
      <c r="I236" s="18">
        <v>0</v>
      </c>
      <c r="J236" s="18">
        <v>0</v>
      </c>
      <c r="K236" s="18">
        <v>0</v>
      </c>
      <c r="L236" s="19">
        <f>SUM(F236:K236)</f>
        <v>133335.23000000001</v>
      </c>
      <c r="M236" s="8"/>
      <c r="N236" s="265"/>
    </row>
    <row r="237" spans="1:14" s="3" customFormat="1" ht="12.2" customHeight="1" x14ac:dyDescent="0.15">
      <c r="A237" s="1" t="s">
        <v>441</v>
      </c>
      <c r="B237" s="2" t="s">
        <v>350</v>
      </c>
      <c r="C237" s="2" t="s">
        <v>293</v>
      </c>
      <c r="D237" s="2" t="s">
        <v>431</v>
      </c>
      <c r="E237" s="6">
        <v>1400</v>
      </c>
      <c r="F237" s="18">
        <v>326152.56</v>
      </c>
      <c r="G237" s="18">
        <v>184406.7</v>
      </c>
      <c r="H237" s="18">
        <v>70086.399999999994</v>
      </c>
      <c r="I237" s="18">
        <v>107176.31</v>
      </c>
      <c r="J237" s="18">
        <v>8749.9</v>
      </c>
      <c r="K237" s="18">
        <v>80931</v>
      </c>
      <c r="L237" s="19">
        <f>SUM(F237:K237)</f>
        <v>777502.87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1232343.69</v>
      </c>
      <c r="G239" s="18">
        <v>696767.29</v>
      </c>
      <c r="H239" s="18">
        <v>50568.98</v>
      </c>
      <c r="I239" s="18">
        <v>12767.59</v>
      </c>
      <c r="J239" s="18">
        <v>1142.06</v>
      </c>
      <c r="K239" s="18">
        <v>0</v>
      </c>
      <c r="L239" s="19">
        <f t="shared" ref="L239:L245" si="4">SUM(F239:K239)</f>
        <v>1993589.61</v>
      </c>
      <c r="M239" s="8"/>
      <c r="N239" s="265"/>
    </row>
    <row r="240" spans="1:14" s="3" customFormat="1" ht="12.2" customHeight="1" x14ac:dyDescent="0.15">
      <c r="A240" s="1" t="s">
        <v>443</v>
      </c>
      <c r="B240" s="2" t="s">
        <v>350</v>
      </c>
      <c r="C240" s="2" t="s">
        <v>295</v>
      </c>
      <c r="D240" s="2" t="s">
        <v>431</v>
      </c>
      <c r="E240" s="6">
        <v>2200</v>
      </c>
      <c r="F240" s="18">
        <v>144798.22</v>
      </c>
      <c r="G240" s="18">
        <v>113006.5</v>
      </c>
      <c r="H240" s="18">
        <v>19247.59</v>
      </c>
      <c r="I240" s="18">
        <v>40980.33</v>
      </c>
      <c r="J240" s="18">
        <v>5085.28</v>
      </c>
      <c r="K240" s="18">
        <v>0</v>
      </c>
      <c r="L240" s="19">
        <f t="shared" si="4"/>
        <v>323117.92000000004</v>
      </c>
      <c r="M240" s="8"/>
      <c r="N240" s="265"/>
    </row>
    <row r="241" spans="1:14" s="3" customFormat="1" ht="12.2" customHeight="1" x14ac:dyDescent="0.15">
      <c r="A241" s="1" t="s">
        <v>444</v>
      </c>
      <c r="B241" s="2" t="s">
        <v>350</v>
      </c>
      <c r="C241" s="2" t="s">
        <v>296</v>
      </c>
      <c r="D241" s="2" t="s">
        <v>431</v>
      </c>
      <c r="E241" s="6">
        <v>2300</v>
      </c>
      <c r="F241" s="18">
        <f>220021.61+0.01</f>
        <v>220021.62</v>
      </c>
      <c r="G241" s="18">
        <v>125646.14</v>
      </c>
      <c r="H241" s="18">
        <v>89932.55</v>
      </c>
      <c r="I241" s="18">
        <v>35392.44</v>
      </c>
      <c r="J241" s="18">
        <v>2871.61</v>
      </c>
      <c r="K241" s="18">
        <v>7835.83</v>
      </c>
      <c r="L241" s="19">
        <f t="shared" si="4"/>
        <v>481700.19</v>
      </c>
      <c r="M241" s="8"/>
      <c r="N241" s="265"/>
    </row>
    <row r="242" spans="1:14" s="3" customFormat="1" ht="12.2" customHeight="1" x14ac:dyDescent="0.15">
      <c r="A242" s="1" t="s">
        <v>445</v>
      </c>
      <c r="B242" s="2" t="s">
        <v>350</v>
      </c>
      <c r="C242" s="2" t="s">
        <v>297</v>
      </c>
      <c r="D242" s="2" t="s">
        <v>431</v>
      </c>
      <c r="E242" s="6">
        <v>2400</v>
      </c>
      <c r="F242" s="18">
        <f>806770.37+0.01</f>
        <v>806770.38</v>
      </c>
      <c r="G242" s="18">
        <v>456148.08</v>
      </c>
      <c r="H242" s="18">
        <v>74198.179999999993</v>
      </c>
      <c r="I242" s="18">
        <v>30576.9</v>
      </c>
      <c r="J242" s="18">
        <v>3895.72</v>
      </c>
      <c r="K242" s="18">
        <v>6367.95</v>
      </c>
      <c r="L242" s="19">
        <f t="shared" si="4"/>
        <v>1377957.2099999997</v>
      </c>
      <c r="M242" s="8"/>
      <c r="N242" s="265"/>
    </row>
    <row r="243" spans="1:14" s="3" customFormat="1" ht="12.2" customHeight="1" x14ac:dyDescent="0.15">
      <c r="A243" s="1" t="s">
        <v>446</v>
      </c>
      <c r="B243" s="2" t="s">
        <v>350</v>
      </c>
      <c r="C243" s="2" t="s">
        <v>298</v>
      </c>
      <c r="D243" s="2" t="s">
        <v>431</v>
      </c>
      <c r="E243" s="6">
        <v>2500</v>
      </c>
      <c r="F243" s="18">
        <v>112563.61</v>
      </c>
      <c r="G243" s="18">
        <v>63643.48</v>
      </c>
      <c r="H243" s="18">
        <v>6717.09</v>
      </c>
      <c r="I243" s="18">
        <v>0</v>
      </c>
      <c r="J243" s="18">
        <v>0</v>
      </c>
      <c r="K243" s="18">
        <v>0</v>
      </c>
      <c r="L243" s="19">
        <f t="shared" si="4"/>
        <v>182924.18</v>
      </c>
      <c r="M243" s="8"/>
      <c r="N243" s="265"/>
    </row>
    <row r="244" spans="1:14" s="3" customFormat="1" ht="12.2" customHeight="1" x14ac:dyDescent="0.15">
      <c r="A244" s="1" t="s">
        <v>447</v>
      </c>
      <c r="B244" s="2" t="s">
        <v>350</v>
      </c>
      <c r="C244" s="2" t="s">
        <v>299</v>
      </c>
      <c r="D244" s="2" t="s">
        <v>431</v>
      </c>
      <c r="E244" s="6">
        <v>2600</v>
      </c>
      <c r="F244" s="18">
        <v>411727.4</v>
      </c>
      <c r="G244" s="18">
        <v>239792.14</v>
      </c>
      <c r="H244" s="18">
        <v>357336.16</v>
      </c>
      <c r="I244" s="18">
        <v>354310.35</v>
      </c>
      <c r="J244" s="18">
        <v>16207.23</v>
      </c>
      <c r="K244" s="18">
        <f>28.52+0.01</f>
        <v>28.53</v>
      </c>
      <c r="L244" s="19">
        <f t="shared" si="4"/>
        <v>1379401.8099999998</v>
      </c>
      <c r="M244" s="8"/>
      <c r="N244" s="265"/>
    </row>
    <row r="245" spans="1:14" s="3" customFormat="1" ht="12.2" customHeight="1" x14ac:dyDescent="0.15">
      <c r="A245" s="1" t="s">
        <v>448</v>
      </c>
      <c r="B245" s="2" t="s">
        <v>350</v>
      </c>
      <c r="C245" s="2" t="s">
        <v>300</v>
      </c>
      <c r="D245" s="2" t="s">
        <v>431</v>
      </c>
      <c r="E245" s="6">
        <v>2700</v>
      </c>
      <c r="F245" s="18">
        <v>0</v>
      </c>
      <c r="G245" s="18">
        <v>0</v>
      </c>
      <c r="H245" s="18">
        <v>992842.93117701006</v>
      </c>
      <c r="I245" s="18">
        <v>0</v>
      </c>
      <c r="J245" s="18">
        <v>0</v>
      </c>
      <c r="K245" s="18">
        <v>0</v>
      </c>
      <c r="L245" s="19">
        <f t="shared" si="4"/>
        <v>992842.93117701006</v>
      </c>
      <c r="M245" s="8"/>
      <c r="N245" s="265"/>
    </row>
    <row r="246" spans="1:14" s="3" customFormat="1" ht="12.2" customHeight="1" x14ac:dyDescent="0.15">
      <c r="A246" s="1" t="s">
        <v>449</v>
      </c>
      <c r="B246" s="2" t="s">
        <v>350</v>
      </c>
      <c r="C246" s="2" t="s">
        <v>343</v>
      </c>
      <c r="D246" s="2" t="s">
        <v>431</v>
      </c>
      <c r="E246" s="6">
        <v>2800</v>
      </c>
      <c r="F246" s="18">
        <v>121833.08</v>
      </c>
      <c r="G246" s="18">
        <v>68884.44</v>
      </c>
      <c r="H246" s="18">
        <v>14817.96</v>
      </c>
      <c r="I246" s="18">
        <v>69331.7</v>
      </c>
      <c r="J246" s="18">
        <f>5325.55+0.01</f>
        <v>5325.56</v>
      </c>
      <c r="K246" s="18">
        <v>0</v>
      </c>
      <c r="L246" s="19">
        <f>SUM(F246:K246)</f>
        <v>280192.74</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11046796.41</v>
      </c>
      <c r="G248" s="41">
        <f t="shared" si="5"/>
        <v>6285245.080000001</v>
      </c>
      <c r="H248" s="41">
        <f t="shared" si="5"/>
        <v>3313207.34117701</v>
      </c>
      <c r="I248" s="41">
        <f t="shared" si="5"/>
        <v>1005167.34</v>
      </c>
      <c r="J248" s="41">
        <f t="shared" si="5"/>
        <v>200320.83</v>
      </c>
      <c r="K248" s="41">
        <f t="shared" si="5"/>
        <v>99373.31</v>
      </c>
      <c r="L248" s="41">
        <f t="shared" si="5"/>
        <v>21950110.311177012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97945.01</v>
      </c>
      <c r="G252" s="18">
        <v>55378.12</v>
      </c>
      <c r="H252" s="18"/>
      <c r="I252" s="18">
        <v>24251.86</v>
      </c>
      <c r="J252" s="18"/>
      <c r="K252" s="18"/>
      <c r="L252" s="19">
        <f t="shared" si="6"/>
        <v>177574.99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429267.64-124009.74</f>
        <v>305257.90000000002</v>
      </c>
      <c r="I256" s="18"/>
      <c r="J256" s="18"/>
      <c r="K256" s="18">
        <v>-20718.64</v>
      </c>
      <c r="L256" s="19">
        <f t="shared" si="6"/>
        <v>284539.26</v>
      </c>
      <c r="M256" s="8"/>
      <c r="N256" s="265"/>
    </row>
    <row r="257" spans="1:14" s="3" customFormat="1" ht="12.2" customHeight="1" thickTop="1" thickBot="1" x14ac:dyDescent="0.2">
      <c r="A257" s="38" t="s">
        <v>461</v>
      </c>
      <c r="B257" s="40">
        <v>10</v>
      </c>
      <c r="C257" s="40">
        <v>7</v>
      </c>
      <c r="D257" s="39" t="s">
        <v>431</v>
      </c>
      <c r="E257" s="40"/>
      <c r="F257" s="41">
        <f t="shared" ref="F257:K257" si="7">SUM(F251:F256)</f>
        <v>97945.01</v>
      </c>
      <c r="G257" s="41">
        <f t="shared" si="7"/>
        <v>55378.12</v>
      </c>
      <c r="H257" s="41">
        <f t="shared" si="7"/>
        <v>305257.90000000002</v>
      </c>
      <c r="I257" s="41">
        <f t="shared" si="7"/>
        <v>24251.86</v>
      </c>
      <c r="J257" s="41">
        <f t="shared" si="7"/>
        <v>0</v>
      </c>
      <c r="K257" s="41">
        <f t="shared" si="7"/>
        <v>-20718.64</v>
      </c>
      <c r="L257" s="41">
        <f>SUM(F257:K257)</f>
        <v>462114.25</v>
      </c>
      <c r="M257" s="8"/>
      <c r="N257" s="265"/>
    </row>
    <row r="258" spans="1:14" s="3" customFormat="1" ht="12.2" customHeight="1" thickTop="1" x14ac:dyDescent="0.15">
      <c r="A258" s="38" t="s">
        <v>462</v>
      </c>
      <c r="B258" s="40">
        <v>10</v>
      </c>
      <c r="C258" s="40">
        <v>8</v>
      </c>
      <c r="D258" s="39" t="s">
        <v>431</v>
      </c>
      <c r="E258" s="40"/>
      <c r="F258" s="41">
        <f t="shared" ref="F258:L258" si="8">F212+F230+F248+F257</f>
        <v>35536960.689999998</v>
      </c>
      <c r="G258" s="41">
        <f t="shared" si="8"/>
        <v>20223791.850000001</v>
      </c>
      <c r="H258" s="41">
        <f t="shared" si="8"/>
        <v>8807967.040000001</v>
      </c>
      <c r="I258" s="41">
        <f t="shared" si="8"/>
        <v>2973393.35</v>
      </c>
      <c r="J258" s="41">
        <f t="shared" si="8"/>
        <v>597955.66</v>
      </c>
      <c r="K258" s="41">
        <f t="shared" si="8"/>
        <v>115084.77999999998</v>
      </c>
      <c r="L258" s="41">
        <f t="shared" si="8"/>
        <v>68255153.370000005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35536960.689999998</v>
      </c>
      <c r="G272" s="42">
        <f t="shared" si="11"/>
        <v>20223791.850000001</v>
      </c>
      <c r="H272" s="42">
        <f t="shared" si="11"/>
        <v>8807967.040000001</v>
      </c>
      <c r="I272" s="42">
        <f t="shared" si="11"/>
        <v>2973393.35</v>
      </c>
      <c r="J272" s="42">
        <f t="shared" si="11"/>
        <v>597955.66</v>
      </c>
      <c r="K272" s="42">
        <f t="shared" si="11"/>
        <v>115084.77999999998</v>
      </c>
      <c r="L272" s="42">
        <f t="shared" si="11"/>
        <v>68255153.370000005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67149.490000000005</v>
      </c>
      <c r="G277" s="18">
        <v>5136.9399999999996</v>
      </c>
      <c r="H277" s="18">
        <v>1437.9</v>
      </c>
      <c r="I277" s="18">
        <v>116115.1</v>
      </c>
      <c r="J277" s="18">
        <v>2655.86</v>
      </c>
      <c r="K277" s="18"/>
      <c r="L277" s="19">
        <f>SUM(F277:K277)</f>
        <v>192495.28999999998</v>
      </c>
      <c r="M277" s="8"/>
      <c r="N277" s="265"/>
    </row>
    <row r="278" spans="1:14" s="3" customFormat="1" ht="12.2" customHeight="1" x14ac:dyDescent="0.15">
      <c r="A278" s="1" t="s">
        <v>439</v>
      </c>
      <c r="B278" s="2" t="s">
        <v>357</v>
      </c>
      <c r="C278" s="2" t="s">
        <v>291</v>
      </c>
      <c r="D278" s="2" t="s">
        <v>431</v>
      </c>
      <c r="E278" s="6">
        <v>1200</v>
      </c>
      <c r="F278" s="18">
        <v>257941.5</v>
      </c>
      <c r="G278" s="18"/>
      <c r="H278" s="18">
        <v>81535.42</v>
      </c>
      <c r="I278" s="18"/>
      <c r="J278" s="18"/>
      <c r="K278" s="18"/>
      <c r="L278" s="19">
        <f>SUM(F278:K278)</f>
        <v>339476.92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479.36</v>
      </c>
      <c r="G280" s="18"/>
      <c r="H280" s="18"/>
      <c r="I280" s="18">
        <v>4408.79</v>
      </c>
      <c r="J280" s="18">
        <v>766.02</v>
      </c>
      <c r="K280" s="18"/>
      <c r="L280" s="19">
        <f>SUM(F280:K280)</f>
        <v>5654.17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19210.52</v>
      </c>
      <c r="G283" s="18">
        <v>1469.61</v>
      </c>
      <c r="H283" s="18">
        <v>44064.59</v>
      </c>
      <c r="I283" s="18">
        <v>233.14</v>
      </c>
      <c r="J283" s="18"/>
      <c r="K283" s="18"/>
      <c r="L283" s="19">
        <f t="shared" si="12"/>
        <v>64977.86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344780.87</v>
      </c>
      <c r="G291" s="42">
        <f t="shared" si="13"/>
        <v>6606.5499999999993</v>
      </c>
      <c r="H291" s="42">
        <f t="shared" si="13"/>
        <v>127037.90999999999</v>
      </c>
      <c r="I291" s="42">
        <f t="shared" si="13"/>
        <v>120757.03</v>
      </c>
      <c r="J291" s="42">
        <f t="shared" si="13"/>
        <v>3421.88</v>
      </c>
      <c r="K291" s="42">
        <f t="shared" si="13"/>
        <v>0</v>
      </c>
      <c r="L291" s="41">
        <f t="shared" si="13"/>
        <v>602604.24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30876.78</v>
      </c>
      <c r="G296" s="18">
        <v>2362.08</v>
      </c>
      <c r="H296" s="18">
        <v>661.18</v>
      </c>
      <c r="I296" s="18">
        <v>53392.19</v>
      </c>
      <c r="J296" s="18">
        <v>1221.22</v>
      </c>
      <c r="K296" s="18"/>
      <c r="L296" s="19">
        <f>SUM(F296:K296)</f>
        <v>88513.450000000012</v>
      </c>
      <c r="M296" s="8"/>
      <c r="N296" s="265"/>
    </row>
    <row r="297" spans="1:14" s="3" customFormat="1" ht="12.2" customHeight="1" x14ac:dyDescent="0.15">
      <c r="A297" s="1" t="s">
        <v>439</v>
      </c>
      <c r="B297" s="2" t="s">
        <v>358</v>
      </c>
      <c r="C297" s="2" t="s">
        <v>291</v>
      </c>
      <c r="D297" s="2" t="s">
        <v>431</v>
      </c>
      <c r="E297" s="6">
        <v>1200</v>
      </c>
      <c r="F297" s="18">
        <v>118607</v>
      </c>
      <c r="G297" s="18"/>
      <c r="H297" s="18">
        <v>37491.730000000003</v>
      </c>
      <c r="I297" s="18"/>
      <c r="J297" s="18"/>
      <c r="K297" s="18"/>
      <c r="L297" s="19">
        <f>SUM(F297:K297)</f>
        <v>156098.73000000001</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220.42</v>
      </c>
      <c r="G299" s="18"/>
      <c r="H299" s="18"/>
      <c r="I299" s="18">
        <v>2027.26</v>
      </c>
      <c r="J299" s="18">
        <v>352.23</v>
      </c>
      <c r="K299" s="18"/>
      <c r="L299" s="19">
        <f>SUM(F299:K299)</f>
        <v>2599.91</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8833.41</v>
      </c>
      <c r="G302" s="18">
        <v>675.76</v>
      </c>
      <c r="H302" s="18">
        <v>20261.84</v>
      </c>
      <c r="I302" s="18">
        <v>107.2</v>
      </c>
      <c r="J302" s="18"/>
      <c r="K302" s="18"/>
      <c r="L302" s="19">
        <f t="shared" si="14"/>
        <v>29878.210000000003</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158537.61000000002</v>
      </c>
      <c r="G310" s="42">
        <f t="shared" si="15"/>
        <v>3037.84</v>
      </c>
      <c r="H310" s="42">
        <f t="shared" si="15"/>
        <v>58414.75</v>
      </c>
      <c r="I310" s="42">
        <f t="shared" si="15"/>
        <v>55526.65</v>
      </c>
      <c r="J310" s="42">
        <f t="shared" si="15"/>
        <v>1573.45</v>
      </c>
      <c r="K310" s="42">
        <f t="shared" si="15"/>
        <v>0</v>
      </c>
      <c r="L310" s="41">
        <f t="shared" si="15"/>
        <v>277090.30000000005</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42054.080000000002</v>
      </c>
      <c r="G315" s="18">
        <v>3217.14</v>
      </c>
      <c r="H315" s="18">
        <v>900.52</v>
      </c>
      <c r="I315" s="18">
        <v>72720.02</v>
      </c>
      <c r="J315" s="18">
        <v>1663.3</v>
      </c>
      <c r="K315" s="18"/>
      <c r="L315" s="19">
        <f>SUM(F315:K315)</f>
        <v>120555.06000000001</v>
      </c>
      <c r="M315" s="8"/>
      <c r="N315" s="265"/>
    </row>
    <row r="316" spans="1:14" s="3" customFormat="1" ht="12.2" customHeight="1" x14ac:dyDescent="0.15">
      <c r="A316" s="1" t="s">
        <v>439</v>
      </c>
      <c r="B316" s="2" t="s">
        <v>359</v>
      </c>
      <c r="C316" s="2" t="s">
        <v>291</v>
      </c>
      <c r="D316" s="2" t="s">
        <v>431</v>
      </c>
      <c r="E316" s="6">
        <v>1200</v>
      </c>
      <c r="F316" s="18">
        <v>161542.5</v>
      </c>
      <c r="G316" s="18"/>
      <c r="H316" s="18">
        <v>51063.63</v>
      </c>
      <c r="I316" s="18"/>
      <c r="J316" s="18"/>
      <c r="K316" s="18"/>
      <c r="L316" s="19">
        <f>SUM(F316:K316)</f>
        <v>212606.13</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300.20999999999998</v>
      </c>
      <c r="G318" s="18"/>
      <c r="H318" s="18"/>
      <c r="I318" s="18">
        <v>2761.12</v>
      </c>
      <c r="J318" s="18">
        <v>479.74</v>
      </c>
      <c r="K318" s="18"/>
      <c r="L318" s="19">
        <f>SUM(F318:K318)</f>
        <v>3541.0699999999997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12031.08</v>
      </c>
      <c r="G321" s="18">
        <v>920.38</v>
      </c>
      <c r="H321" s="18">
        <v>27596.57</v>
      </c>
      <c r="I321" s="18">
        <v>146.01</v>
      </c>
      <c r="J321" s="18"/>
      <c r="K321" s="18"/>
      <c r="L321" s="19">
        <f t="shared" si="16"/>
        <v>40694.04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215927.87</v>
      </c>
      <c r="G329" s="42">
        <f t="shared" si="17"/>
        <v>4137.5199999999995</v>
      </c>
      <c r="H329" s="42">
        <f t="shared" si="17"/>
        <v>79560.72</v>
      </c>
      <c r="I329" s="42">
        <f t="shared" si="17"/>
        <v>75627.149999999994</v>
      </c>
      <c r="J329" s="42">
        <f t="shared" si="17"/>
        <v>2143.04</v>
      </c>
      <c r="K329" s="42">
        <f t="shared" si="17"/>
        <v>0</v>
      </c>
      <c r="L329" s="41">
        <f t="shared" si="17"/>
        <v>377396.3</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f>1621.08+1141.25+4765.48</f>
        <v>7527.8099999999995</v>
      </c>
      <c r="G336" s="18"/>
      <c r="H336" s="18">
        <f>2777.05+1922.5+3631.5</f>
        <v>8331.0499999999993</v>
      </c>
      <c r="I336" s="18">
        <v>1532.32</v>
      </c>
      <c r="J336" s="18">
        <v>2257.1799999999998</v>
      </c>
      <c r="K336" s="18"/>
      <c r="L336" s="19">
        <f t="shared" si="18"/>
        <v>19648.36</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7527.8099999999995</v>
      </c>
      <c r="G338" s="41">
        <f t="shared" si="19"/>
        <v>0</v>
      </c>
      <c r="H338" s="41">
        <f t="shared" si="19"/>
        <v>8331.0499999999993</v>
      </c>
      <c r="I338" s="41">
        <f t="shared" si="19"/>
        <v>1532.32</v>
      </c>
      <c r="J338" s="41">
        <f t="shared" si="19"/>
        <v>2257.1799999999998</v>
      </c>
      <c r="K338" s="41">
        <f t="shared" si="19"/>
        <v>0</v>
      </c>
      <c r="L338" s="41">
        <f t="shared" si="18"/>
        <v>19648.36</v>
      </c>
      <c r="M338" s="8"/>
      <c r="N338" s="265"/>
    </row>
    <row r="339" spans="1:43" s="3" customFormat="1" ht="12.2" customHeight="1" thickTop="1" x14ac:dyDescent="0.15">
      <c r="A339" s="38" t="s">
        <v>468</v>
      </c>
      <c r="B339" s="40">
        <v>14</v>
      </c>
      <c r="C339" s="40">
        <v>7</v>
      </c>
      <c r="D339" s="39" t="s">
        <v>431</v>
      </c>
      <c r="E339" s="40"/>
      <c r="F339" s="41">
        <f t="shared" ref="F339:L339" si="20">F291+F310+F329+F338</f>
        <v>726774.16</v>
      </c>
      <c r="G339" s="41">
        <f t="shared" si="20"/>
        <v>13781.91</v>
      </c>
      <c r="H339" s="41">
        <f t="shared" si="20"/>
        <v>273344.43</v>
      </c>
      <c r="I339" s="41">
        <f t="shared" si="20"/>
        <v>253443.15</v>
      </c>
      <c r="J339" s="41">
        <f t="shared" si="20"/>
        <v>9395.5499999999993</v>
      </c>
      <c r="K339" s="41">
        <f t="shared" si="20"/>
        <v>0</v>
      </c>
      <c r="L339" s="41">
        <f t="shared" si="20"/>
        <v>1276739.2000000002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726774.16</v>
      </c>
      <c r="G353" s="41">
        <f>G339</f>
        <v>13781.91</v>
      </c>
      <c r="H353" s="41">
        <f>H339</f>
        <v>273344.43</v>
      </c>
      <c r="I353" s="41">
        <f>I339</f>
        <v>253443.15</v>
      </c>
      <c r="J353" s="41">
        <f>J339</f>
        <v>9395.5499999999993</v>
      </c>
      <c r="K353" s="47">
        <f>K339+K352</f>
        <v>0</v>
      </c>
      <c r="L353" s="41">
        <f>L339+L352</f>
        <v>1276739.2000000002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399814.11</v>
      </c>
      <c r="G359" s="18">
        <f>19253.14</f>
        <v>19253.14</v>
      </c>
      <c r="H359" s="18"/>
      <c r="I359" s="18">
        <v>350948.36</v>
      </c>
      <c r="J359" s="18"/>
      <c r="K359" s="18">
        <v>15379.25</v>
      </c>
      <c r="L359" s="13">
        <f>SUM(F359:K359)</f>
        <v>785394.86</v>
      </c>
      <c r="M359" s="8"/>
      <c r="N359" s="265"/>
    </row>
    <row r="360" spans="1:22" s="3" customFormat="1" ht="12.2" customHeight="1" x14ac:dyDescent="0.15">
      <c r="A360" s="1" t="s">
        <v>542</v>
      </c>
      <c r="B360" s="2" t="s">
        <v>366</v>
      </c>
      <c r="C360" s="6">
        <v>2</v>
      </c>
      <c r="D360" s="2" t="s">
        <v>431</v>
      </c>
      <c r="E360" s="6"/>
      <c r="F360" s="18">
        <v>183843.1</v>
      </c>
      <c r="G360" s="18">
        <v>8853</v>
      </c>
      <c r="H360" s="18"/>
      <c r="I360" s="18">
        <v>161373.57999999999</v>
      </c>
      <c r="J360" s="18"/>
      <c r="K360" s="18">
        <v>7071.7</v>
      </c>
      <c r="L360" s="19">
        <f>SUM(F360:K360)</f>
        <v>361141.38</v>
      </c>
      <c r="M360" s="8"/>
      <c r="N360" s="265"/>
    </row>
    <row r="361" spans="1:22" s="3" customFormat="1" ht="12.2" customHeight="1" x14ac:dyDescent="0.15">
      <c r="A361" s="3" t="s">
        <v>543</v>
      </c>
      <c r="B361" s="2" t="s">
        <v>366</v>
      </c>
      <c r="C361" s="6">
        <v>3</v>
      </c>
      <c r="D361" s="2" t="s">
        <v>431</v>
      </c>
      <c r="E361" s="6"/>
      <c r="F361" s="18">
        <v>250393.79</v>
      </c>
      <c r="G361" s="18">
        <v>12057.77</v>
      </c>
      <c r="H361" s="18"/>
      <c r="I361" s="18">
        <v>219790.36</v>
      </c>
      <c r="J361" s="18"/>
      <c r="K361" s="18">
        <v>9631.65</v>
      </c>
      <c r="L361" s="19">
        <f>SUM(F361:K361)</f>
        <v>491873.57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834051</v>
      </c>
      <c r="G363" s="47">
        <f t="shared" si="22"/>
        <v>40163.910000000003</v>
      </c>
      <c r="H363" s="47">
        <f t="shared" si="22"/>
        <v>0</v>
      </c>
      <c r="I363" s="47">
        <f t="shared" si="22"/>
        <v>732112.29999999993</v>
      </c>
      <c r="J363" s="47">
        <f t="shared" si="22"/>
        <v>0</v>
      </c>
      <c r="K363" s="47">
        <f t="shared" si="22"/>
        <v>32082.6</v>
      </c>
      <c r="L363" s="47">
        <f t="shared" si="22"/>
        <v>1638409.81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253169.05</v>
      </c>
      <c r="G368" s="18">
        <v>116412.55</v>
      </c>
      <c r="H368" s="18">
        <v>158553.57999999999</v>
      </c>
      <c r="I368" s="56">
        <f>SUM(F368:H368)</f>
        <v>528135.17999999993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97779.31</v>
      </c>
      <c r="G369" s="63">
        <v>44961.02</v>
      </c>
      <c r="H369" s="63">
        <v>61236.79</v>
      </c>
      <c r="I369" s="56">
        <f>SUM(F369:H369)</f>
        <v>203977.12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350948.36</v>
      </c>
      <c r="G370" s="47">
        <f>SUM(G368:G369)</f>
        <v>161373.57</v>
      </c>
      <c r="H370" s="47">
        <f>SUM(H368:H369)</f>
        <v>219790.37</v>
      </c>
      <c r="I370" s="47">
        <f>SUM(I368:I369)</f>
        <v>732112.29999999993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f>11015.18+13850.28</f>
        <v>24865.46</v>
      </c>
      <c r="J401" s="24" t="s">
        <v>288</v>
      </c>
      <c r="K401" s="24" t="s">
        <v>288</v>
      </c>
      <c r="L401" s="56">
        <f t="shared" si="26"/>
        <v>24865.46</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24865.46</v>
      </c>
      <c r="J402" s="45" t="s">
        <v>288</v>
      </c>
      <c r="K402" s="45" t="s">
        <v>288</v>
      </c>
      <c r="L402" s="47">
        <f>SUM(L396:L401)</f>
        <v>24865.46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24865.46</v>
      </c>
      <c r="J409" s="24" t="s">
        <v>288</v>
      </c>
      <c r="K409" s="24" t="s">
        <v>288</v>
      </c>
      <c r="L409" s="47">
        <f>L394+L402+L408</f>
        <v>24865.46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f>9665.36+70543.87+29699.46</f>
        <v>109908.69</v>
      </c>
      <c r="J427" s="18"/>
      <c r="K427" s="18"/>
      <c r="L427" s="56">
        <f t="shared" si="29"/>
        <v>109908.69</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109908.69</v>
      </c>
      <c r="J428" s="47">
        <f t="shared" si="30"/>
        <v>0</v>
      </c>
      <c r="K428" s="47">
        <f t="shared" si="30"/>
        <v>0</v>
      </c>
      <c r="L428" s="47">
        <f t="shared" si="30"/>
        <v>109908.69</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109908.69</v>
      </c>
      <c r="J435" s="47">
        <f t="shared" si="32"/>
        <v>0</v>
      </c>
      <c r="K435" s="47">
        <f t="shared" si="32"/>
        <v>0</v>
      </c>
      <c r="L435" s="47">
        <f t="shared" si="32"/>
        <v>109908.69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80414.990000000005</v>
      </c>
      <c r="H442" s="18"/>
      <c r="I442" s="56">
        <f t="shared" si="33"/>
        <v>80414.990000000005</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1017586.79</v>
      </c>
      <c r="G443" s="18"/>
      <c r="H443" s="18">
        <v>315869.02</v>
      </c>
      <c r="I443" s="56">
        <f t="shared" si="33"/>
        <v>1333455.81</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1017586.79</v>
      </c>
      <c r="G447" s="13">
        <f>SUM(G440:G446)</f>
        <v>80414.990000000005</v>
      </c>
      <c r="H447" s="13">
        <f>SUM(H440:H446)</f>
        <v>315869.02</v>
      </c>
      <c r="I447" s="13">
        <f>SUM(I440:I446)</f>
        <v>1413870.8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1017586.79</v>
      </c>
      <c r="G460" s="18">
        <v>80414.990000000005</v>
      </c>
      <c r="H460" s="18">
        <v>315869.02</v>
      </c>
      <c r="I460" s="56">
        <f t="shared" si="34"/>
        <v>1413870.8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1017586.79</v>
      </c>
      <c r="G461" s="83">
        <f>SUM(G455:G460)</f>
        <v>80414.990000000005</v>
      </c>
      <c r="H461" s="83">
        <f>SUM(H455:H460)</f>
        <v>315869.02</v>
      </c>
      <c r="I461" s="83">
        <f>SUM(I455:I460)</f>
        <v>1413870.8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1017586.79</v>
      </c>
      <c r="G462" s="42">
        <f>G453+G461</f>
        <v>80414.990000000005</v>
      </c>
      <c r="H462" s="42">
        <f>H453+H461</f>
        <v>315869.02</v>
      </c>
      <c r="I462" s="42">
        <f>I453+I461</f>
        <v>1413870.8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4732520.33</v>
      </c>
      <c r="G466" s="18">
        <v>-1</v>
      </c>
      <c r="H466" s="18">
        <v>0</v>
      </c>
      <c r="I466" s="18">
        <v>0</v>
      </c>
      <c r="J466" s="18">
        <v>1498914.03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70762554.54+15961.68</f>
        <v>70778516.220000014</v>
      </c>
      <c r="G469" s="18">
        <v>2018024.56</v>
      </c>
      <c r="H469" s="18">
        <f>1276739.2</f>
        <v>1276739.2</v>
      </c>
      <c r="I469" s="18"/>
      <c r="J469" s="18">
        <f>11015.18+13850.28</f>
        <v>24865.46</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4"/>
    </row>
    <row r="471" spans="1:14" s="52" customFormat="1" ht="12.2" customHeight="1" x14ac:dyDescent="0.2">
      <c r="A471" s="92" t="s">
        <v>425</v>
      </c>
      <c r="B471" s="75">
        <v>19</v>
      </c>
      <c r="C471" s="80">
        <v>4</v>
      </c>
      <c r="D471" s="2" t="s">
        <v>432</v>
      </c>
      <c r="E471" s="80"/>
      <c r="F471" s="53">
        <f>SUM(F469:F470)</f>
        <v>70778516.220000014</v>
      </c>
      <c r="G471" s="53">
        <f>SUM(G469:G470)</f>
        <v>2018024.56</v>
      </c>
      <c r="H471" s="53">
        <f>SUM(H469:H470)</f>
        <v>1276739.2</v>
      </c>
      <c r="I471" s="53">
        <f>SUM(I469:I470)</f>
        <v>0</v>
      </c>
      <c r="J471" s="53">
        <f>SUM(J469:J470)</f>
        <v>24865.46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68379163.11-124009.74</f>
        <v>68255153.370000005</v>
      </c>
      <c r="G473" s="18">
        <v>1638409.81</v>
      </c>
      <c r="H473" s="18">
        <v>1276739.2</v>
      </c>
      <c r="I473" s="18"/>
      <c r="J473" s="18">
        <f>9665.36+100243.33</f>
        <v>109908.69</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68255153.370000005</v>
      </c>
      <c r="G475" s="53">
        <f>SUM(G473:G474)</f>
        <v>1638409.81</v>
      </c>
      <c r="H475" s="53">
        <f>SUM(H473:H474)</f>
        <v>1276739.2</v>
      </c>
      <c r="I475" s="53">
        <f>SUM(I473:I474)</f>
        <v>0</v>
      </c>
      <c r="J475" s="53">
        <f>SUM(J473:J474)</f>
        <v>109908.69</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7255883.1800000072</v>
      </c>
      <c r="G477" s="53">
        <f>(G466+G471)- G475</f>
        <v>379613.75</v>
      </c>
      <c r="H477" s="53">
        <f>(H466+H471)- H475</f>
        <v>0</v>
      </c>
      <c r="I477" s="53">
        <f>(I466+I471)- I475</f>
        <v>0</v>
      </c>
      <c r="J477" s="53">
        <f>(J466+J471)- J475</f>
        <v>1413870.8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3025257.48</v>
      </c>
      <c r="G522" s="18">
        <v>1564640.83</v>
      </c>
      <c r="H522" s="18">
        <v>942018.31</v>
      </c>
      <c r="I522" s="18">
        <v>24917.48</v>
      </c>
      <c r="J522" s="18">
        <v>13872.85</v>
      </c>
      <c r="K522" s="18">
        <v>0</v>
      </c>
      <c r="L522" s="88">
        <f>SUM(F522:K522)</f>
        <v>5570706.9500000011</v>
      </c>
      <c r="N522" s="264"/>
    </row>
    <row r="523" spans="1:14" s="52" customFormat="1" ht="12.2" customHeight="1" x14ac:dyDescent="0.2">
      <c r="A523" s="22" t="s">
        <v>634</v>
      </c>
      <c r="B523" s="105">
        <v>21</v>
      </c>
      <c r="C523" s="115">
        <v>2</v>
      </c>
      <c r="D523" s="2" t="s">
        <v>432</v>
      </c>
      <c r="E523" s="115"/>
      <c r="F523" s="18">
        <v>1761952.54</v>
      </c>
      <c r="G523" s="18">
        <v>929147.8</v>
      </c>
      <c r="H523" s="18">
        <v>926969.97</v>
      </c>
      <c r="I523" s="18">
        <v>11932.64</v>
      </c>
      <c r="J523" s="18">
        <v>6379.04</v>
      </c>
      <c r="K523" s="18">
        <v>0</v>
      </c>
      <c r="L523" s="88">
        <f>SUM(F523:K523)</f>
        <v>3636381.9899999998</v>
      </c>
      <c r="N523" s="264"/>
    </row>
    <row r="524" spans="1:14" s="52" customFormat="1" ht="12.2" customHeight="1" thickBot="1" x14ac:dyDescent="0.25">
      <c r="A524" s="22" t="s">
        <v>635</v>
      </c>
      <c r="B524" s="105">
        <v>21</v>
      </c>
      <c r="C524" s="115">
        <v>3</v>
      </c>
      <c r="D524" s="2" t="s">
        <v>432</v>
      </c>
      <c r="E524" s="115"/>
      <c r="F524" s="18">
        <v>2090878.6199999999</v>
      </c>
      <c r="G524" s="18">
        <v>1090846.92</v>
      </c>
      <c r="H524" s="18">
        <v>1505153.0099999998</v>
      </c>
      <c r="I524" s="18">
        <v>17838.86</v>
      </c>
      <c r="J524" s="18">
        <v>8688.23</v>
      </c>
      <c r="K524" s="18">
        <v>0</v>
      </c>
      <c r="L524" s="88">
        <f>SUM(F524:K524)</f>
        <v>4713405.6400000006</v>
      </c>
      <c r="N524" s="264"/>
    </row>
    <row r="525" spans="1:14" s="52" customFormat="1" ht="12.2" customHeight="1" thickTop="1" x14ac:dyDescent="0.2">
      <c r="A525" s="139" t="s">
        <v>63</v>
      </c>
      <c r="B525" s="107">
        <v>21</v>
      </c>
      <c r="C525" s="194">
        <v>4</v>
      </c>
      <c r="D525" s="195" t="s">
        <v>432</v>
      </c>
      <c r="E525" s="194"/>
      <c r="F525" s="108">
        <f>SUM(F522:F524)</f>
        <v>6878088.6399999997</v>
      </c>
      <c r="G525" s="108">
        <f t="shared" ref="G525:L525" si="36">SUM(G522:G524)</f>
        <v>3584635.55</v>
      </c>
      <c r="H525" s="108">
        <f t="shared" si="36"/>
        <v>3374141.29</v>
      </c>
      <c r="I525" s="108">
        <f t="shared" si="36"/>
        <v>54688.979999999996</v>
      </c>
      <c r="J525" s="108">
        <f t="shared" si="36"/>
        <v>28940.12</v>
      </c>
      <c r="K525" s="108">
        <f t="shared" si="36"/>
        <v>0</v>
      </c>
      <c r="L525" s="89">
        <f t="shared" si="36"/>
        <v>13920494.580000002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532179.81358605938</v>
      </c>
      <c r="G527" s="18">
        <v>0</v>
      </c>
      <c r="H527" s="18">
        <v>63668.297254662175</v>
      </c>
      <c r="I527" s="18">
        <v>10275.001895444819</v>
      </c>
      <c r="J527" s="18">
        <v>335.53570162029962</v>
      </c>
      <c r="K527" s="18">
        <v>0</v>
      </c>
      <c r="L527" s="88">
        <f>SUM(F527:K527)</f>
        <v>606458.64843778661</v>
      </c>
      <c r="M527" s="8"/>
      <c r="N527" s="265"/>
    </row>
    <row r="528" spans="1:14" s="3" customFormat="1" ht="12.2" customHeight="1" x14ac:dyDescent="0.15">
      <c r="A528" s="22" t="s">
        <v>634</v>
      </c>
      <c r="B528" s="105">
        <v>21</v>
      </c>
      <c r="C528" s="115">
        <v>6</v>
      </c>
      <c r="D528" s="2" t="s">
        <v>432</v>
      </c>
      <c r="E528" s="115"/>
      <c r="F528" s="18">
        <v>244707.68214001838</v>
      </c>
      <c r="G528" s="18">
        <v>0</v>
      </c>
      <c r="H528" s="18">
        <v>29276.047398349128</v>
      </c>
      <c r="I528" s="18">
        <v>4724.6660501375727</v>
      </c>
      <c r="J528" s="18">
        <v>154.28650565576277</v>
      </c>
      <c r="K528" s="18">
        <v>0</v>
      </c>
      <c r="L528" s="88">
        <f>SUM(F528:K528)</f>
        <v>278862.68209416082</v>
      </c>
      <c r="M528" s="8"/>
      <c r="N528" s="265"/>
    </row>
    <row r="529" spans="1:14" s="3" customFormat="1" ht="12.2" customHeight="1" thickBot="1" x14ac:dyDescent="0.2">
      <c r="A529" s="22" t="s">
        <v>635</v>
      </c>
      <c r="B529" s="118">
        <v>21</v>
      </c>
      <c r="C529" s="118">
        <v>7</v>
      </c>
      <c r="D529" s="2" t="s">
        <v>432</v>
      </c>
      <c r="E529" s="118"/>
      <c r="F529" s="18">
        <v>333291.18427392241</v>
      </c>
      <c r="G529" s="18">
        <v>0</v>
      </c>
      <c r="H529" s="18">
        <v>39873.895346988691</v>
      </c>
      <c r="I529" s="18">
        <v>6434.98205441761</v>
      </c>
      <c r="J529" s="18">
        <v>210.13779272393765</v>
      </c>
      <c r="K529" s="18">
        <v>0</v>
      </c>
      <c r="L529" s="88">
        <f>SUM(F529:K529)</f>
        <v>379810.19946805265</v>
      </c>
      <c r="M529" s="8"/>
      <c r="N529" s="265"/>
    </row>
    <row r="530" spans="1:14" s="3" customFormat="1" ht="12.2" customHeight="1" thickTop="1" x14ac:dyDescent="0.15">
      <c r="A530" s="139" t="s">
        <v>65</v>
      </c>
      <c r="B530" s="107">
        <v>21</v>
      </c>
      <c r="C530" s="107">
        <v>8</v>
      </c>
      <c r="D530" s="158" t="s">
        <v>432</v>
      </c>
      <c r="E530" s="107"/>
      <c r="F530" s="89">
        <f>SUM(F527:F529)</f>
        <v>1110178.6800000002</v>
      </c>
      <c r="G530" s="89">
        <f t="shared" ref="G530:L530" si="37">SUM(G527:G529)</f>
        <v>0</v>
      </c>
      <c r="H530" s="89">
        <f t="shared" si="37"/>
        <v>132818.23999999999</v>
      </c>
      <c r="I530" s="89">
        <f t="shared" si="37"/>
        <v>21434.65</v>
      </c>
      <c r="J530" s="89">
        <f t="shared" si="37"/>
        <v>699.96</v>
      </c>
      <c r="K530" s="89">
        <f t="shared" si="37"/>
        <v>0</v>
      </c>
      <c r="L530" s="89">
        <f t="shared" si="37"/>
        <v>1265131.53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82277.88</v>
      </c>
      <c r="G532" s="18">
        <v>46519.93</v>
      </c>
      <c r="H532" s="18">
        <v>1675.49</v>
      </c>
      <c r="I532" s="18">
        <v>106.39</v>
      </c>
      <c r="J532" s="18">
        <v>0</v>
      </c>
      <c r="K532" s="18">
        <v>0</v>
      </c>
      <c r="L532" s="88">
        <f>SUM(F532:K532)</f>
        <v>130579.69</v>
      </c>
      <c r="M532" s="8"/>
      <c r="N532" s="265"/>
    </row>
    <row r="533" spans="1:14" s="3" customFormat="1" ht="12.2" customHeight="1" x14ac:dyDescent="0.15">
      <c r="A533" s="22" t="s">
        <v>634</v>
      </c>
      <c r="B533" s="105">
        <v>21</v>
      </c>
      <c r="C533" s="105">
        <v>10</v>
      </c>
      <c r="D533" s="2" t="s">
        <v>432</v>
      </c>
      <c r="E533" s="105"/>
      <c r="F533" s="18">
        <v>37833.129999999997</v>
      </c>
      <c r="G533" s="18">
        <v>21390.86</v>
      </c>
      <c r="H533" s="18">
        <v>770.43</v>
      </c>
      <c r="I533" s="18">
        <v>48.92</v>
      </c>
      <c r="J533" s="18">
        <v>0</v>
      </c>
      <c r="K533" s="18">
        <v>0</v>
      </c>
      <c r="L533" s="88">
        <f>SUM(F533:K533)</f>
        <v>60043.34</v>
      </c>
      <c r="M533" s="8"/>
      <c r="N533" s="265"/>
    </row>
    <row r="534" spans="1:14" s="3" customFormat="1" ht="12.2" customHeight="1" thickBot="1" x14ac:dyDescent="0.2">
      <c r="A534" s="22" t="s">
        <v>635</v>
      </c>
      <c r="B534" s="105">
        <v>21</v>
      </c>
      <c r="C534" s="105">
        <v>11</v>
      </c>
      <c r="D534" s="2" t="s">
        <v>432</v>
      </c>
      <c r="E534" s="105"/>
      <c r="F534" s="18">
        <v>51528.630000000012</v>
      </c>
      <c r="G534" s="18">
        <v>29134.29</v>
      </c>
      <c r="H534" s="18">
        <v>1049.31</v>
      </c>
      <c r="I534" s="18">
        <v>66.639999999999986</v>
      </c>
      <c r="J534" s="18">
        <v>0</v>
      </c>
      <c r="K534" s="18">
        <v>0</v>
      </c>
      <c r="L534" s="88">
        <f>SUM(F534:K534)</f>
        <v>81778.87000000001</v>
      </c>
      <c r="M534" s="8"/>
      <c r="N534" s="265"/>
    </row>
    <row r="535" spans="1:14" s="3" customFormat="1" ht="12.2" customHeight="1" thickTop="1" x14ac:dyDescent="0.15">
      <c r="A535" s="139" t="s">
        <v>67</v>
      </c>
      <c r="B535" s="107">
        <v>21</v>
      </c>
      <c r="C535" s="107">
        <v>12</v>
      </c>
      <c r="D535" s="158" t="s">
        <v>432</v>
      </c>
      <c r="E535" s="107"/>
      <c r="F535" s="89">
        <f>SUM(F532:F534)</f>
        <v>171639.64</v>
      </c>
      <c r="G535" s="89">
        <f t="shared" ref="G535:L535" si="38">SUM(G532:G534)</f>
        <v>97045.080000000016</v>
      </c>
      <c r="H535" s="89">
        <f t="shared" si="38"/>
        <v>3495.23</v>
      </c>
      <c r="I535" s="89">
        <f t="shared" si="38"/>
        <v>221.95</v>
      </c>
      <c r="J535" s="89">
        <f t="shared" si="38"/>
        <v>0</v>
      </c>
      <c r="K535" s="89">
        <f t="shared" si="38"/>
        <v>0</v>
      </c>
      <c r="L535" s="89">
        <f t="shared" si="38"/>
        <v>272401.90000000002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70636.070000000007</v>
      </c>
      <c r="I537" s="18"/>
      <c r="J537" s="18"/>
      <c r="K537" s="18"/>
      <c r="L537" s="88">
        <f>SUM(F537:K537)</f>
        <v>70636.070000000007</v>
      </c>
      <c r="M537" s="8"/>
      <c r="N537" s="265"/>
    </row>
    <row r="538" spans="1:14" s="3" customFormat="1" ht="12.2" customHeight="1" x14ac:dyDescent="0.15">
      <c r="A538" s="22" t="s">
        <v>634</v>
      </c>
      <c r="B538" s="105">
        <v>21</v>
      </c>
      <c r="C538" s="105">
        <v>14</v>
      </c>
      <c r="D538" s="2" t="s">
        <v>432</v>
      </c>
      <c r="E538" s="105"/>
      <c r="F538" s="18"/>
      <c r="G538" s="18"/>
      <c r="H538" s="18">
        <v>32479.98</v>
      </c>
      <c r="I538" s="18"/>
      <c r="J538" s="18"/>
      <c r="K538" s="18"/>
      <c r="L538" s="88">
        <f>SUM(F538:K538)</f>
        <v>32479.98</v>
      </c>
      <c r="M538" s="8"/>
      <c r="N538" s="265"/>
    </row>
    <row r="539" spans="1:14" s="3" customFormat="1" ht="12.2" customHeight="1" thickBot="1" x14ac:dyDescent="0.2">
      <c r="A539" s="22" t="s">
        <v>635</v>
      </c>
      <c r="B539" s="105">
        <v>21</v>
      </c>
      <c r="C539" s="105">
        <v>15</v>
      </c>
      <c r="D539" s="2" t="s">
        <v>432</v>
      </c>
      <c r="E539" s="105"/>
      <c r="F539" s="18"/>
      <c r="G539" s="18"/>
      <c r="H539" s="18">
        <v>44237.64</v>
      </c>
      <c r="I539" s="18"/>
      <c r="J539" s="18"/>
      <c r="K539" s="18"/>
      <c r="L539" s="88">
        <f>SUM(F539:K539)</f>
        <v>44237.64</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147353.69</v>
      </c>
      <c r="I540" s="89">
        <f t="shared" si="39"/>
        <v>0</v>
      </c>
      <c r="J540" s="89">
        <f t="shared" si="39"/>
        <v>0</v>
      </c>
      <c r="K540" s="89">
        <f t="shared" si="39"/>
        <v>0</v>
      </c>
      <c r="L540" s="89">
        <f t="shared" si="39"/>
        <v>147353.69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373914.11468052579</v>
      </c>
      <c r="I542" s="18"/>
      <c r="J542" s="18"/>
      <c r="K542" s="18"/>
      <c r="L542" s="88">
        <f>SUM(F542:K542)</f>
        <v>373914.11468052579</v>
      </c>
      <c r="M542" s="8"/>
      <c r="N542" s="265"/>
    </row>
    <row r="543" spans="1:14" s="3" customFormat="1" ht="12.2" customHeight="1" x14ac:dyDescent="0.15">
      <c r="A543" s="22" t="s">
        <v>634</v>
      </c>
      <c r="B543" s="105">
        <v>21</v>
      </c>
      <c r="C543" s="105">
        <v>18</v>
      </c>
      <c r="D543" s="2" t="s">
        <v>432</v>
      </c>
      <c r="E543" s="105"/>
      <c r="F543" s="18"/>
      <c r="G543" s="18"/>
      <c r="H543" s="18">
        <v>171933.72237542036</v>
      </c>
      <c r="I543" s="18"/>
      <c r="J543" s="18"/>
      <c r="K543" s="18"/>
      <c r="L543" s="88">
        <f>SUM(F543:K543)</f>
        <v>171933.72237542036</v>
      </c>
      <c r="M543" s="8"/>
      <c r="N543" s="265"/>
    </row>
    <row r="544" spans="1:14" s="3" customFormat="1" ht="12.2" customHeight="1" thickBot="1" x14ac:dyDescent="0.2">
      <c r="A544" s="22" t="s">
        <v>635</v>
      </c>
      <c r="B544" s="105">
        <v>21</v>
      </c>
      <c r="C544" s="105">
        <v>19</v>
      </c>
      <c r="D544" s="2" t="s">
        <v>432</v>
      </c>
      <c r="E544" s="105"/>
      <c r="F544" s="18"/>
      <c r="G544" s="18"/>
      <c r="H544" s="18">
        <v>234173.25294405379</v>
      </c>
      <c r="I544" s="18"/>
      <c r="J544" s="18"/>
      <c r="K544" s="18"/>
      <c r="L544" s="88">
        <f>SUM(F544:K544)</f>
        <v>234173.25294405379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780021.08999999985</v>
      </c>
      <c r="I545" s="192">
        <f t="shared" si="40"/>
        <v>0</v>
      </c>
      <c r="J545" s="192">
        <f t="shared" si="40"/>
        <v>0</v>
      </c>
      <c r="K545" s="192">
        <f t="shared" si="40"/>
        <v>0</v>
      </c>
      <c r="L545" s="192">
        <f t="shared" si="40"/>
        <v>780021.08999999985</v>
      </c>
      <c r="M545" s="8"/>
      <c r="N545" s="265"/>
    </row>
    <row r="546" spans="1:14" s="3" customFormat="1" ht="12.2" customHeight="1" thickTop="1" x14ac:dyDescent="0.15">
      <c r="A546" s="98" t="s">
        <v>72</v>
      </c>
      <c r="B546" s="107">
        <v>21</v>
      </c>
      <c r="C546" s="107">
        <v>21</v>
      </c>
      <c r="D546" s="158" t="s">
        <v>432</v>
      </c>
      <c r="E546" s="107"/>
      <c r="F546" s="89">
        <f>F525+F530+F535+F540+F545</f>
        <v>8159906.96</v>
      </c>
      <c r="G546" s="89">
        <f t="shared" ref="G546:L546" si="41">G525+G530+G535+G540+G545</f>
        <v>3681680.63</v>
      </c>
      <c r="H546" s="89">
        <f t="shared" si="41"/>
        <v>4437829.54</v>
      </c>
      <c r="I546" s="89">
        <f t="shared" si="41"/>
        <v>76345.58</v>
      </c>
      <c r="J546" s="89">
        <f t="shared" si="41"/>
        <v>29640.079999999998</v>
      </c>
      <c r="K546" s="89">
        <f t="shared" si="41"/>
        <v>0</v>
      </c>
      <c r="L546" s="89">
        <f t="shared" si="41"/>
        <v>16385402.790000001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5570706.9500000011</v>
      </c>
      <c r="G550" s="87">
        <f>L527</f>
        <v>606458.64843778661</v>
      </c>
      <c r="H550" s="87">
        <f>L532</f>
        <v>130579.69</v>
      </c>
      <c r="I550" s="87">
        <f>L537</f>
        <v>70636.070000000007</v>
      </c>
      <c r="J550" s="87">
        <f>L542</f>
        <v>373914.11468052579</v>
      </c>
      <c r="K550" s="87">
        <f>SUM(F550:J550)</f>
        <v>6752295.4731183145</v>
      </c>
      <c r="L550" s="24" t="s">
        <v>288</v>
      </c>
      <c r="M550" s="8"/>
      <c r="N550" s="265"/>
    </row>
    <row r="551" spans="1:14" s="3" customFormat="1" ht="12.2" customHeight="1" x14ac:dyDescent="0.15">
      <c r="A551" s="22" t="s">
        <v>634</v>
      </c>
      <c r="B551" s="75">
        <v>21</v>
      </c>
      <c r="C551" s="75">
        <v>23</v>
      </c>
      <c r="D551" s="2" t="s">
        <v>432</v>
      </c>
      <c r="E551" s="75"/>
      <c r="F551" s="87">
        <f>L523</f>
        <v>3636381.9899999998</v>
      </c>
      <c r="G551" s="87">
        <f>L528</f>
        <v>278862.68209416082</v>
      </c>
      <c r="H551" s="87">
        <f>L533</f>
        <v>60043.34</v>
      </c>
      <c r="I551" s="87">
        <f>L538</f>
        <v>32479.98</v>
      </c>
      <c r="J551" s="87">
        <f>L543</f>
        <v>171933.72237542036</v>
      </c>
      <c r="K551" s="87">
        <f>SUM(F551:J551)</f>
        <v>4179701.7144695809</v>
      </c>
      <c r="L551" s="24" t="s">
        <v>288</v>
      </c>
      <c r="M551" s="8"/>
      <c r="N551" s="265"/>
    </row>
    <row r="552" spans="1:14" s="3" customFormat="1" ht="12.2" customHeight="1" thickBot="1" x14ac:dyDescent="0.2">
      <c r="A552" s="22" t="s">
        <v>635</v>
      </c>
      <c r="B552" s="75">
        <v>21</v>
      </c>
      <c r="C552" s="75">
        <v>24</v>
      </c>
      <c r="D552" s="2" t="s">
        <v>432</v>
      </c>
      <c r="E552" s="75"/>
      <c r="F552" s="87">
        <f>L524</f>
        <v>4713405.6400000006</v>
      </c>
      <c r="G552" s="87">
        <f>L529</f>
        <v>379810.19946805265</v>
      </c>
      <c r="H552" s="87">
        <f>L534</f>
        <v>81778.87000000001</v>
      </c>
      <c r="I552" s="87">
        <f>L539</f>
        <v>44237.64</v>
      </c>
      <c r="J552" s="87">
        <f>L544</f>
        <v>234173.25294405379</v>
      </c>
      <c r="K552" s="87">
        <f>SUM(F552:J552)</f>
        <v>5453405.6024121074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13920494.580000002</v>
      </c>
      <c r="G553" s="89">
        <f t="shared" si="42"/>
        <v>1265131.53</v>
      </c>
      <c r="H553" s="89">
        <f t="shared" si="42"/>
        <v>272401.90000000002</v>
      </c>
      <c r="I553" s="89">
        <f t="shared" si="42"/>
        <v>147353.69</v>
      </c>
      <c r="J553" s="89">
        <f t="shared" si="42"/>
        <v>780021.08999999985</v>
      </c>
      <c r="K553" s="89">
        <f t="shared" si="42"/>
        <v>16385402.790000003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13698</v>
      </c>
      <c r="I576" s="87">
        <f>SUM(F576:H576)</f>
        <v>13698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622562.92000000004</v>
      </c>
      <c r="G583" s="18">
        <v>779625.93</v>
      </c>
      <c r="H583" s="18">
        <v>1305085.92</v>
      </c>
      <c r="I583" s="87">
        <f t="shared" si="47"/>
        <v>2707274.77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133335.23000000001</v>
      </c>
      <c r="I585" s="87">
        <f t="shared" si="47"/>
        <v>133335.23000000001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1143685.5429165391</v>
      </c>
      <c r="I592" s="18">
        <v>525891.12018037296</v>
      </c>
      <c r="J592" s="18">
        <v>716262.24690308759</v>
      </c>
      <c r="K592" s="104">
        <f t="shared" ref="K592:K598" si="48">SUM(H592:J592)</f>
        <v>2385838.9099999997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373914.11468052579</v>
      </c>
      <c r="I593" s="18">
        <v>171933.72237542036</v>
      </c>
      <c r="J593" s="18">
        <v>234173.25294405379</v>
      </c>
      <c r="K593" s="104">
        <f t="shared" si="48"/>
        <v>780021.08999999985</v>
      </c>
      <c r="L593" s="24" t="s">
        <v>288</v>
      </c>
      <c r="M593" s="8"/>
      <c r="N593" s="265"/>
    </row>
    <row r="594" spans="1:14" s="3" customFormat="1" ht="12.2" customHeight="1" x14ac:dyDescent="0.15">
      <c r="A594" s="3" t="s">
        <v>639</v>
      </c>
      <c r="B594" s="75">
        <v>23</v>
      </c>
      <c r="C594" s="75">
        <v>3</v>
      </c>
      <c r="D594" s="2" t="s">
        <v>432</v>
      </c>
      <c r="E594" s="75"/>
      <c r="F594" s="102">
        <v>2723</v>
      </c>
      <c r="G594" s="103" t="s">
        <v>97</v>
      </c>
      <c r="H594" s="18">
        <v>22928.402372363191</v>
      </c>
      <c r="I594" s="18">
        <v>10542.970733720576</v>
      </c>
      <c r="J594" s="18">
        <v>14359.496893916234</v>
      </c>
      <c r="K594" s="104">
        <f t="shared" si="48"/>
        <v>47830.87</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37301.027844695811</v>
      </c>
      <c r="I595" s="18">
        <v>17151.811910730663</v>
      </c>
      <c r="J595" s="18">
        <v>23360.720244573524</v>
      </c>
      <c r="K595" s="104">
        <f t="shared" si="48"/>
        <v>77813.56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4441.7926261082239</v>
      </c>
      <c r="I596" s="18">
        <v>2042.4314307551208</v>
      </c>
      <c r="J596" s="18">
        <v>2781.7859431366555</v>
      </c>
      <c r="K596" s="104">
        <f t="shared" si="48"/>
        <v>9266.01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3042.4760623662487</v>
      </c>
      <c r="I598" s="18">
        <v>1398.9956893916233</v>
      </c>
      <c r="J598" s="18">
        <v>1905.4282482421274</v>
      </c>
      <c r="K598" s="104">
        <f t="shared" si="48"/>
        <v>6346.9</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1585313.3565025986</v>
      </c>
      <c r="I599" s="108">
        <f>SUM(I592:I598)</f>
        <v>728961.05232039129</v>
      </c>
      <c r="J599" s="108">
        <f>SUM(J592:J598)</f>
        <v>992842.93117700994</v>
      </c>
      <c r="K599" s="108">
        <f>SUM(K592:K598)</f>
        <v>3307117.3399999994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291142.37</v>
      </c>
      <c r="I605" s="18">
        <v>133873.5</v>
      </c>
      <c r="J605" s="18">
        <v>182335.34</v>
      </c>
      <c r="K605" s="104">
        <f>SUM(H605:J605)</f>
        <v>607351.21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291142.37</v>
      </c>
      <c r="I606" s="108">
        <f>SUM(I603:I605)</f>
        <v>133873.5</v>
      </c>
      <c r="J606" s="108">
        <f>SUM(J603:J605)</f>
        <v>182335.34</v>
      </c>
      <c r="K606" s="108">
        <f>SUM(K603:K605)</f>
        <v>607351.21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7641857.1100000003</v>
      </c>
      <c r="H618" s="109">
        <f>SUM(F52)</f>
        <v>7641857.1099999994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527414.57999999996</v>
      </c>
      <c r="H619" s="109">
        <f>SUM(G52)</f>
        <v>527414.57999999996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786269.99</v>
      </c>
      <c r="H620" s="109">
        <f>SUM(H52)</f>
        <v>786269.99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1413870.8</v>
      </c>
      <c r="H622" s="109">
        <f>SUM(J52)</f>
        <v>1413870.8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7255883.1799999997</v>
      </c>
      <c r="H623" s="109">
        <f>F477</f>
        <v>7255883.1800000072</v>
      </c>
      <c r="I623" s="121" t="s">
        <v>101</v>
      </c>
      <c r="J623" s="109">
        <f t="shared" ref="J623:J656" si="50">G623-H623</f>
        <v>-7.4505805969238281E-9</v>
      </c>
      <c r="K623" s="109"/>
      <c r="L623" s="109"/>
      <c r="M623" s="8"/>
    </row>
    <row r="624" spans="1:14" s="3" customFormat="1" ht="12.2" customHeight="1" x14ac:dyDescent="0.15">
      <c r="A624" s="97"/>
      <c r="B624" s="105"/>
      <c r="C624" s="119"/>
      <c r="D624" s="119"/>
      <c r="E624" s="119"/>
      <c r="F624" s="119" t="s">
        <v>866</v>
      </c>
      <c r="G624" s="109">
        <f>G51</f>
        <v>379613.75</v>
      </c>
      <c r="H624" s="109">
        <f>G477</f>
        <v>379613.75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1413870.8</v>
      </c>
      <c r="H627" s="109">
        <f>J477</f>
        <v>1413870.8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70778516.219999999</v>
      </c>
      <c r="H628" s="104">
        <f>SUM(F469)</f>
        <v>70778516.220000014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2018024.56</v>
      </c>
      <c r="H629" s="104">
        <f>SUM(G469)</f>
        <v>2018024.56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1276739.2000000002</v>
      </c>
      <c r="H630" s="104">
        <f>SUM(H469)</f>
        <v>1276739.2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24865.46</v>
      </c>
      <c r="H632" s="104">
        <f>SUM(J469)</f>
        <v>24865.46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68255153.370000005</v>
      </c>
      <c r="H633" s="104">
        <f>SUM(F473)</f>
        <v>68255153.370000005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1276739.2000000002</v>
      </c>
      <c r="H634" s="104">
        <f>SUM(H473)</f>
        <v>1276739.2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732112.29999999993</v>
      </c>
      <c r="H635" s="104">
        <f>I370</f>
        <v>732112.29999999993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1638409.81</v>
      </c>
      <c r="H636" s="104">
        <f>SUM(G473)</f>
        <v>1638409.81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24865.46</v>
      </c>
      <c r="H638" s="164">
        <f>SUM(J469)</f>
        <v>24865.46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109908.69</v>
      </c>
      <c r="H639" s="164">
        <f>SUM(J473)</f>
        <v>109908.69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1017586.79</v>
      </c>
      <c r="H640" s="104">
        <f>SUM(F462)</f>
        <v>1017586.79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80414.990000000005</v>
      </c>
      <c r="H641" s="104">
        <f>SUM(G462)</f>
        <v>80414.990000000005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315869.02</v>
      </c>
      <c r="H642" s="104">
        <f>SUM(H462)</f>
        <v>315869.02</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1413870.8</v>
      </c>
      <c r="H643" s="104">
        <f>SUM(I462)</f>
        <v>1413870.8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24865.46</v>
      </c>
      <c r="H647" s="104">
        <f>L409</f>
        <v>24865.46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3307117.3399999994</v>
      </c>
      <c r="H648" s="104">
        <f>L209+L227+L245</f>
        <v>3307117.34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607351.21</v>
      </c>
      <c r="H649" s="104">
        <f>(J258+J339)-(J256+J337)</f>
        <v>607351.21000000008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1585313.3565025986</v>
      </c>
      <c r="H650" s="104">
        <f>H599</f>
        <v>1585313.3565025986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728961.05232039141</v>
      </c>
      <c r="H651" s="104">
        <f>I599</f>
        <v>728961.05232039129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992842.93117701006</v>
      </c>
      <c r="H652" s="104">
        <f>J599</f>
        <v>992842.93117700994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31519221.546502601</v>
      </c>
      <c r="G661" s="19">
        <f>(L230+L310+L360)</f>
        <v>16349938.042320391</v>
      </c>
      <c r="H661" s="19">
        <f>(L248+L329+L361)</f>
        <v>22819380.181177013</v>
      </c>
      <c r="I661" s="19">
        <f>SUM(F661:H661)</f>
        <v>70688539.770000011</v>
      </c>
      <c r="J661" s="13"/>
      <c r="K661" s="13"/>
      <c r="L661" s="13"/>
      <c r="M661" s="9"/>
    </row>
    <row r="662" spans="1:13" s="3" customFormat="1" ht="12.2" customHeight="1" x14ac:dyDescent="0.2">
      <c r="A662" s="1" t="s">
        <v>127</v>
      </c>
      <c r="F662" s="19">
        <f>(L359/IF(SUM(L359:L361)=0,1,SUM(L359:L361))*(SUM(G97:G110)))</f>
        <v>117877.83007870222</v>
      </c>
      <c r="G662" s="19">
        <f>(L360/IF(SUM(L359:L361)=0,1,SUM(L359:L361))*(SUM(G97:G110)))</f>
        <v>54202.75124544109</v>
      </c>
      <c r="H662" s="19">
        <f>(L361/IF(SUM(L359:L361)=0,1,SUM(L359:L361))*(SUM(G97:G110)))</f>
        <v>73823.998675856681</v>
      </c>
      <c r="I662" s="19">
        <f>SUM(F662:H662)</f>
        <v>245904.58</v>
      </c>
      <c r="J662"/>
      <c r="K662" s="13"/>
      <c r="L662" s="13"/>
      <c r="M662" s="8"/>
    </row>
    <row r="663" spans="1:13" s="3" customFormat="1" ht="12.2" customHeight="1" x14ac:dyDescent="0.2">
      <c r="A663" s="1" t="s">
        <v>128</v>
      </c>
      <c r="F663" s="19">
        <f>(L209+L288)-(J209+J288)</f>
        <v>1585313.3565025986</v>
      </c>
      <c r="G663" s="19">
        <f>(L227+L307)-(J227+J307)</f>
        <v>728961.05232039141</v>
      </c>
      <c r="H663" s="19">
        <f>(L245+L326)-(J245+J326)</f>
        <v>992842.93117701006</v>
      </c>
      <c r="I663" s="19">
        <f>SUM(F663:H663)</f>
        <v>3307117.34</v>
      </c>
      <c r="J663"/>
      <c r="K663" s="13"/>
      <c r="L663" s="13"/>
      <c r="M663" s="9"/>
    </row>
    <row r="664" spans="1:13" s="3" customFormat="1" ht="12.2" customHeight="1" x14ac:dyDescent="0.15">
      <c r="A664" s="197" t="s">
        <v>129</v>
      </c>
      <c r="B664" s="169"/>
      <c r="C664" s="169"/>
      <c r="D664" s="169"/>
      <c r="E664" s="169"/>
      <c r="F664" s="198">
        <f>SUM(F576:F588)+SUM(H603:H605)+SUM(L612)</f>
        <v>913705.29</v>
      </c>
      <c r="G664" s="198">
        <f>SUM(G576:G588)+SUM(I603:I605)+L613</f>
        <v>913499.43</v>
      </c>
      <c r="H664" s="198">
        <f>SUM(H576:H588)+SUM(J603:J605)+L614</f>
        <v>1634454.49</v>
      </c>
      <c r="I664" s="19">
        <f>SUM(F664:H664)</f>
        <v>3461659.21</v>
      </c>
      <c r="J664" s="13"/>
      <c r="K664" s="13"/>
      <c r="L664" s="13"/>
      <c r="M664" s="9"/>
    </row>
    <row r="665" spans="1:13" s="3" customFormat="1" ht="12.2" customHeight="1" x14ac:dyDescent="0.15">
      <c r="A665" s="1" t="s">
        <v>130</v>
      </c>
      <c r="F665" s="19">
        <f>F661-SUM(F662:F664)</f>
        <v>28902325.0699213</v>
      </c>
      <c r="G665" s="19">
        <f>G661-SUM(G662:G664)</f>
        <v>14653274.80875456</v>
      </c>
      <c r="H665" s="19">
        <f>H661-SUM(H662:H664)</f>
        <v>20118258.761324145</v>
      </c>
      <c r="I665" s="19">
        <f>I661-SUM(I662:I664)</f>
        <v>63673858.640000008</v>
      </c>
      <c r="J665" s="13"/>
      <c r="K665" s="13"/>
      <c r="L665" s="13"/>
      <c r="M665" s="8"/>
    </row>
    <row r="666" spans="1:13" s="3" customFormat="1" ht="12.2" customHeight="1" x14ac:dyDescent="0.2">
      <c r="A666" s="1" t="s">
        <v>131</v>
      </c>
      <c r="F666" s="245">
        <v>1479.05</v>
      </c>
      <c r="G666" s="246">
        <v>725.54</v>
      </c>
      <c r="H666" s="246">
        <v>1003.65</v>
      </c>
      <c r="I666" s="19">
        <f>SUM(F666:H666)</f>
        <v>3208.2400000000002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19541.14</v>
      </c>
      <c r="G668" s="19">
        <f>ROUND(G665/G666,2)</f>
        <v>20196.37</v>
      </c>
      <c r="H668" s="19">
        <f>ROUND(H665/H666,2)</f>
        <v>20045.09</v>
      </c>
      <c r="I668" s="19">
        <f>ROUND(I665/I666,2)</f>
        <v>19846.97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-30.49</v>
      </c>
      <c r="I671" s="19">
        <f>SUM(F671:H671)</f>
        <v>-30.49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19541.14</v>
      </c>
      <c r="G673" s="19">
        <f>ROUND((G665+G670)/(G666+G671),2)</f>
        <v>20196.37</v>
      </c>
      <c r="H673" s="19">
        <f>ROUND((H665+H670)/(H666+H671),2)</f>
        <v>20673.13</v>
      </c>
      <c r="I673" s="19">
        <f>ROUND((I665+I670)/(I666+I671),2)</f>
        <v>20037.400000000001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121418.65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86409.74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35008.910000000003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Timberlane Regional</v>
      </c>
      <c r="C5" s="375"/>
      <c r="D5" s="375"/>
      <c r="E5" s="375"/>
      <c r="F5" s="375"/>
    </row>
    <row r="8" spans="1:9" ht="18" x14ac:dyDescent="0.25">
      <c r="A8" s="312" t="s">
        <v>1568</v>
      </c>
      <c r="F8" s="319" t="s">
        <v>1586</v>
      </c>
    </row>
    <row r="9" spans="1:9" ht="15" x14ac:dyDescent="0.2">
      <c r="A9" s="310" t="s">
        <v>1569</v>
      </c>
      <c r="B9" s="313">
        <f>'DOE25'!G97</f>
        <v>245904.58000000002</v>
      </c>
      <c r="F9" s="310" t="s">
        <v>1582</v>
      </c>
    </row>
    <row r="10" spans="1:9" ht="15" x14ac:dyDescent="0.2">
      <c r="A10" s="310" t="s">
        <v>1570</v>
      </c>
      <c r="B10" s="313">
        <f>'DOE25'!G112-'DOE25'!G97</f>
        <v>0</v>
      </c>
      <c r="F10" s="310" t="s">
        <v>1583</v>
      </c>
    </row>
    <row r="11" spans="1:9" ht="15" x14ac:dyDescent="0.2">
      <c r="A11" s="310" t="s">
        <v>1571</v>
      </c>
      <c r="B11" s="313">
        <f>'DOE25'!G140</f>
        <v>102523.18</v>
      </c>
      <c r="F11" s="310" t="s">
        <v>1584</v>
      </c>
    </row>
    <row r="12" spans="1:9" ht="15" x14ac:dyDescent="0.2">
      <c r="A12" s="310" t="s">
        <v>1572</v>
      </c>
      <c r="B12" s="313">
        <f>'DOE25'!G170</f>
        <v>1669596.8</v>
      </c>
      <c r="F12" s="310" t="s">
        <v>1585</v>
      </c>
    </row>
    <row r="13" spans="1:9" ht="15" x14ac:dyDescent="0.2">
      <c r="A13" s="310" t="s">
        <v>1573</v>
      </c>
      <c r="B13" s="313">
        <f>'DOE25'!G193-'DOE25'!G180</f>
        <v>0</v>
      </c>
      <c r="F13" s="310" t="s">
        <v>1595</v>
      </c>
    </row>
    <row r="14" spans="1:9" ht="18" x14ac:dyDescent="0.25">
      <c r="A14" s="312" t="s">
        <v>732</v>
      </c>
      <c r="B14" s="314">
        <f>SUM(B9:B13)</f>
        <v>2018024.56</v>
      </c>
    </row>
    <row r="16" spans="1:9" ht="18" x14ac:dyDescent="0.25">
      <c r="A16" s="312" t="s">
        <v>786</v>
      </c>
      <c r="F16" s="319" t="s">
        <v>1587</v>
      </c>
    </row>
    <row r="17" spans="1:6" ht="15" x14ac:dyDescent="0.2">
      <c r="A17" s="310" t="s">
        <v>1574</v>
      </c>
      <c r="B17" s="313">
        <f>'DOE25'!L363-'DOE25'!L362</f>
        <v>1638409.81</v>
      </c>
      <c r="F17" s="310" t="s">
        <v>1588</v>
      </c>
    </row>
    <row r="18" spans="1:6" ht="15" x14ac:dyDescent="0.2">
      <c r="A18" s="310" t="s">
        <v>1575</v>
      </c>
      <c r="B18" s="323"/>
      <c r="F18" s="319" t="s">
        <v>1612</v>
      </c>
    </row>
    <row r="19" spans="1:6" ht="18" x14ac:dyDescent="0.25">
      <c r="A19" s="312" t="s">
        <v>725</v>
      </c>
      <c r="B19" s="314">
        <f>SUM(B17:B18)</f>
        <v>1638409.81</v>
      </c>
    </row>
    <row r="21" spans="1:6" ht="18.75" thickBot="1" x14ac:dyDescent="0.3">
      <c r="A21" s="312" t="s">
        <v>1576</v>
      </c>
    </row>
    <row r="22" spans="1:6" ht="18.75" thickTop="1" x14ac:dyDescent="0.25">
      <c r="A22" s="312" t="s">
        <v>1577</v>
      </c>
      <c r="B22" s="318">
        <f>B14-B19</f>
        <v>379614.75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v>
      </c>
      <c r="F31" s="310" t="s">
        <v>1592</v>
      </c>
    </row>
    <row r="33" spans="1:6" ht="15" x14ac:dyDescent="0.2">
      <c r="A33" s="310" t="s">
        <v>1635</v>
      </c>
      <c r="B33" s="313">
        <f>'DOE25'!G477</f>
        <v>379613.75</v>
      </c>
      <c r="F33" s="310" t="s">
        <v>1593</v>
      </c>
    </row>
    <row r="36" spans="1:6" ht="15" x14ac:dyDescent="0.2">
      <c r="A36" s="310" t="s">
        <v>1579</v>
      </c>
      <c r="B36" s="324">
        <v>117596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7" sqref="E3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Timberlane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18523717.699999999</v>
      </c>
      <c r="C9" s="228">
        <f>'DOE25'!G198+'DOE25'!G216+'DOE25'!G234+'DOE25'!G277+'DOE25'!G296+'DOE25'!G315</f>
        <v>10404827.310000001</v>
      </c>
    </row>
    <row r="10" spans="1:3" x14ac:dyDescent="0.2">
      <c r="A10" t="s">
        <v>775</v>
      </c>
      <c r="B10" s="239">
        <v>16224869.299999997</v>
      </c>
      <c r="C10" s="239">
        <v>9113557.3283877335</v>
      </c>
    </row>
    <row r="11" spans="1:3" x14ac:dyDescent="0.2">
      <c r="A11" t="s">
        <v>776</v>
      </c>
      <c r="B11" s="239">
        <v>1484638.64</v>
      </c>
      <c r="C11" s="239">
        <v>833925.93847147957</v>
      </c>
    </row>
    <row r="12" spans="1:3" x14ac:dyDescent="0.2">
      <c r="A12" t="s">
        <v>777</v>
      </c>
      <c r="B12" s="239">
        <f>B9-B10-B11</f>
        <v>814209.76000000234</v>
      </c>
      <c r="C12" s="239">
        <v>457344.04314078757</v>
      </c>
    </row>
    <row r="13" spans="1:3" x14ac:dyDescent="0.2">
      <c r="A13" t="str">
        <f>IF(B9=B13,IF(C9=C13,"Check Total OK","Check Total Error"),"Check Total Error")</f>
        <v>Check Total OK</v>
      </c>
      <c r="B13" s="230">
        <f>SUM(B10:B12)</f>
        <v>18523717.699999999</v>
      </c>
      <c r="C13" s="230">
        <f>SUM(C10:C12)</f>
        <v>10404827.310000001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7049728.2799999993</v>
      </c>
      <c r="C18" s="228">
        <f>'DOE25'!G199+'DOE25'!G217+'DOE25'!G235+'DOE25'!G278+'DOE25'!G297+'DOE25'!G316</f>
        <v>3681680.63</v>
      </c>
    </row>
    <row r="19" spans="1:3" x14ac:dyDescent="0.2">
      <c r="A19" t="s">
        <v>775</v>
      </c>
      <c r="B19" s="239">
        <v>4037406.1800000006</v>
      </c>
      <c r="C19" s="239">
        <v>2108512.4898385867</v>
      </c>
    </row>
    <row r="20" spans="1:3" x14ac:dyDescent="0.2">
      <c r="A20" t="s">
        <v>776</v>
      </c>
      <c r="B20" s="239">
        <v>2525270.2200000007</v>
      </c>
      <c r="C20" s="239">
        <v>1318808.0568815684</v>
      </c>
    </row>
    <row r="21" spans="1:3" x14ac:dyDescent="0.2">
      <c r="A21" t="s">
        <v>777</v>
      </c>
      <c r="B21" s="239">
        <f>B18-B19-B20</f>
        <v>487051.87999999803</v>
      </c>
      <c r="C21" s="239">
        <v>254360.08327984484</v>
      </c>
    </row>
    <row r="22" spans="1:3" x14ac:dyDescent="0.2">
      <c r="A22" t="str">
        <f>IF(B18=B22,IF(C18=C22,"Check Total OK","Check Total Error"),"Check Total Error")</f>
        <v>Check Total OK</v>
      </c>
      <c r="B22" s="230">
        <f>SUM(B19:B21)</f>
        <v>7049728.2799999993</v>
      </c>
      <c r="C22" s="230">
        <f>SUM(C19:C21)</f>
        <v>3681680.63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534878.90999999992</v>
      </c>
      <c r="C36" s="234">
        <f>'DOE25'!G201+'DOE25'!G219+'DOE25'!G237+'DOE25'!G280+'DOE25'!G299+'DOE25'!G318</f>
        <v>301855.21999999997</v>
      </c>
    </row>
    <row r="37" spans="1:3" x14ac:dyDescent="0.2">
      <c r="A37" t="s">
        <v>775</v>
      </c>
      <c r="B37" s="239">
        <v>378544.44</v>
      </c>
      <c r="C37" s="239">
        <v>213628.94120461171</v>
      </c>
    </row>
    <row r="38" spans="1:3" x14ac:dyDescent="0.2">
      <c r="A38" t="s">
        <v>776</v>
      </c>
      <c r="B38" s="239">
        <v>0</v>
      </c>
      <c r="C38" s="239">
        <v>0</v>
      </c>
    </row>
    <row r="39" spans="1:3" x14ac:dyDescent="0.2">
      <c r="A39" t="s">
        <v>777</v>
      </c>
      <c r="B39" s="239">
        <f>B36-B37</f>
        <v>156334.46999999991</v>
      </c>
      <c r="C39" s="239">
        <v>88226.278795388236</v>
      </c>
    </row>
    <row r="40" spans="1:3" x14ac:dyDescent="0.2">
      <c r="A40" t="str">
        <f>IF(B36=B40,IF(C36=C40,"Check Total OK","Check Total Error"),"Check Total Error")</f>
        <v>Check Total OK</v>
      </c>
      <c r="B40" s="230">
        <f>SUM(B37:B39)</f>
        <v>534878.90999999992</v>
      </c>
      <c r="C40" s="230">
        <f>SUM(C37:C39)</f>
        <v>301855.21999999997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5" sqref="G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Timberlane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45034358.32</v>
      </c>
      <c r="D5" s="20">
        <f>SUM('DOE25'!L198:L201)+SUM('DOE25'!L216:L219)+SUM('DOE25'!L234:L237)-F5-G5-H5</f>
        <v>44455509.230000004</v>
      </c>
      <c r="E5" s="242"/>
      <c r="F5" s="243"/>
      <c r="G5" s="53">
        <f>SUM('DOE25'!J198:J201)+SUM('DOE25'!J216:J219)+SUM('DOE25'!J234:J237)</f>
        <v>490635.37</v>
      </c>
      <c r="H5" s="53">
        <f>SUM('DOE25'!K198:K201)+SUM('DOE25'!K216:K219)+SUM('DOE25'!K234:K237)</f>
        <v>88213.72</v>
      </c>
      <c r="I5" s="255"/>
    </row>
    <row r="6" spans="1:9" x14ac:dyDescent="0.2">
      <c r="A6" s="32">
        <v>2100</v>
      </c>
      <c r="B6" t="s">
        <v>796</v>
      </c>
      <c r="C6" s="274">
        <f t="shared" si="0"/>
        <v>5238940.82</v>
      </c>
      <c r="D6" s="20">
        <f>'DOE25'!L203+'DOE25'!L221+'DOE25'!L239-F6-G6-H6</f>
        <v>5235877.91</v>
      </c>
      <c r="E6" s="242"/>
      <c r="F6" s="243"/>
      <c r="G6" s="53">
        <f>'DOE25'!J203+'DOE25'!J221+'DOE25'!J239</f>
        <v>3062.91</v>
      </c>
      <c r="H6" s="53">
        <f>'DOE25'!K203+'DOE25'!K221+'DOE25'!K239</f>
        <v>0</v>
      </c>
      <c r="I6" s="255"/>
    </row>
    <row r="7" spans="1:9" x14ac:dyDescent="0.2">
      <c r="A7" s="32">
        <v>2200</v>
      </c>
      <c r="B7" t="s">
        <v>821</v>
      </c>
      <c r="C7" s="274">
        <f t="shared" si="0"/>
        <v>1442077.3399999999</v>
      </c>
      <c r="D7" s="20">
        <f>'DOE25'!L204+'DOE25'!L222+'DOE25'!L240-F7-G7-H7</f>
        <v>1435473.0899999999</v>
      </c>
      <c r="E7" s="242"/>
      <c r="F7" s="243"/>
      <c r="G7" s="53">
        <f>'DOE25'!J204+'DOE25'!J222+'DOE25'!J240</f>
        <v>6604.25</v>
      </c>
      <c r="H7" s="53">
        <f>'DOE25'!K204+'DOE25'!K222+'DOE25'!K240</f>
        <v>0</v>
      </c>
      <c r="I7" s="255"/>
    </row>
    <row r="8" spans="1:9" x14ac:dyDescent="0.2">
      <c r="A8" s="32">
        <v>2300</v>
      </c>
      <c r="B8" t="s">
        <v>797</v>
      </c>
      <c r="C8" s="274">
        <f t="shared" si="0"/>
        <v>1604522.72</v>
      </c>
      <c r="D8" s="242"/>
      <c r="E8" s="20">
        <f>'DOE25'!L205+'DOE25'!L223+'DOE25'!L241-F8-G8-H8-D9-D11</f>
        <v>1568856.69</v>
      </c>
      <c r="F8" s="243"/>
      <c r="G8" s="53">
        <f>'DOE25'!J205+'DOE25'!J223+'DOE25'!J241</f>
        <v>9565.2100000000009</v>
      </c>
      <c r="H8" s="53">
        <f>'DOE25'!K205+'DOE25'!K223+'DOE25'!K241</f>
        <v>26100.82</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4560553.6399999997</v>
      </c>
      <c r="D12" s="20">
        <f>'DOE25'!L206+'DOE25'!L224+'DOE25'!L242-F12-G12-H12</f>
        <v>4522796.6399999997</v>
      </c>
      <c r="E12" s="242"/>
      <c r="F12" s="243"/>
      <c r="G12" s="53">
        <f>'DOE25'!J206+'DOE25'!J224+'DOE25'!J242</f>
        <v>16363.13</v>
      </c>
      <c r="H12" s="53">
        <f>'DOE25'!K206+'DOE25'!K224+'DOE25'!K242</f>
        <v>21393.87</v>
      </c>
      <c r="I12" s="255"/>
    </row>
    <row r="13" spans="1:9" x14ac:dyDescent="0.2">
      <c r="A13" s="32">
        <v>2500</v>
      </c>
      <c r="B13" t="s">
        <v>798</v>
      </c>
      <c r="C13" s="274">
        <f t="shared" si="0"/>
        <v>609312.63000000012</v>
      </c>
      <c r="D13" s="242"/>
      <c r="E13" s="20">
        <f>'DOE25'!L207+'DOE25'!L225+'DOE25'!L243-F13-G13-H13</f>
        <v>609312.63000000012</v>
      </c>
      <c r="F13" s="243"/>
      <c r="G13" s="53">
        <f>'DOE25'!J207+'DOE25'!J225+'DOE25'!J243</f>
        <v>0</v>
      </c>
      <c r="H13" s="53">
        <f>'DOE25'!K207+'DOE25'!K225+'DOE25'!K243</f>
        <v>0</v>
      </c>
      <c r="I13" s="255"/>
    </row>
    <row r="14" spans="1:9" x14ac:dyDescent="0.2">
      <c r="A14" s="32">
        <v>2600</v>
      </c>
      <c r="B14" t="s">
        <v>819</v>
      </c>
      <c r="C14" s="274">
        <f t="shared" si="0"/>
        <v>5062846.28</v>
      </c>
      <c r="D14" s="20">
        <f>'DOE25'!L208+'DOE25'!L226+'DOE25'!L244-F14-G14-H14</f>
        <v>5008765.6800000006</v>
      </c>
      <c r="E14" s="242"/>
      <c r="F14" s="243"/>
      <c r="G14" s="53">
        <f>'DOE25'!J208+'DOE25'!J226+'DOE25'!J244</f>
        <v>53985.59</v>
      </c>
      <c r="H14" s="53">
        <f>'DOE25'!K208+'DOE25'!K226+'DOE25'!K244</f>
        <v>95.01</v>
      </c>
      <c r="I14" s="255"/>
    </row>
    <row r="15" spans="1:9" x14ac:dyDescent="0.2">
      <c r="A15" s="32">
        <v>2700</v>
      </c>
      <c r="B15" t="s">
        <v>799</v>
      </c>
      <c r="C15" s="274">
        <f t="shared" si="0"/>
        <v>3307117.34</v>
      </c>
      <c r="D15" s="20">
        <f>'DOE25'!L209+'DOE25'!L227+'DOE25'!L245-F15-G15-H15</f>
        <v>3307117.34</v>
      </c>
      <c r="E15" s="242"/>
      <c r="F15" s="243"/>
      <c r="G15" s="53">
        <f>'DOE25'!J209+'DOE25'!J227+'DOE25'!J245</f>
        <v>0</v>
      </c>
      <c r="H15" s="53">
        <f>'DOE25'!K209+'DOE25'!K227+'DOE25'!K245</f>
        <v>0</v>
      </c>
      <c r="I15" s="255"/>
    </row>
    <row r="16" spans="1:9" x14ac:dyDescent="0.2">
      <c r="A16" s="32">
        <v>2800</v>
      </c>
      <c r="B16" t="s">
        <v>800</v>
      </c>
      <c r="C16" s="274">
        <f t="shared" si="0"/>
        <v>933310.03</v>
      </c>
      <c r="D16" s="242"/>
      <c r="E16" s="20">
        <f>'DOE25'!L210+'DOE25'!L228+'DOE25'!L246-F16-G16-H16</f>
        <v>915570.83000000007</v>
      </c>
      <c r="F16" s="243"/>
      <c r="G16" s="53">
        <f>'DOE25'!J210+'DOE25'!J228+'DOE25'!J246</f>
        <v>17739.2</v>
      </c>
      <c r="H16" s="53">
        <f>'DOE25'!K210+'DOE25'!K228+'DOE25'!K246</f>
        <v>0</v>
      </c>
      <c r="I16" s="255"/>
    </row>
    <row r="17" spans="1:9" x14ac:dyDescent="0.2">
      <c r="A17" s="32">
        <v>1600</v>
      </c>
      <c r="B17" t="s">
        <v>801</v>
      </c>
      <c r="C17" s="274">
        <f t="shared" si="0"/>
        <v>177574.99</v>
      </c>
      <c r="D17" s="20">
        <f>'DOE25'!L252-F17-G17-H17</f>
        <v>177574.99</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284539.26</v>
      </c>
      <c r="D22" s="242"/>
      <c r="E22" s="242"/>
      <c r="F22" s="242"/>
      <c r="G22" s="53">
        <f>'DOE25'!L256+'DOE25'!L337</f>
        <v>284539.26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1110274.6300000001</v>
      </c>
      <c r="D29" s="282">
        <f>'DOE25'!L359+'DOE25'!L360+'DOE25'!L361-'DOE25'!I368-F29-G29-H29</f>
        <v>1078192.03</v>
      </c>
      <c r="E29" s="242"/>
      <c r="F29" s="243"/>
      <c r="G29" s="53">
        <f>'DOE25'!J359+'DOE25'!J360+'DOE25'!J361</f>
        <v>0</v>
      </c>
      <c r="H29" s="53">
        <f>'DOE25'!K359+'DOE25'!K360+'DOE25'!K361</f>
        <v>32082.6</v>
      </c>
      <c r="I29" s="255"/>
    </row>
    <row r="30" spans="1:9" x14ac:dyDescent="0.2">
      <c r="A30" s="32"/>
      <c r="C30" s="275"/>
      <c r="D30" s="20"/>
      <c r="E30" s="279"/>
      <c r="F30" s="269"/>
      <c r="G30" s="53"/>
      <c r="H30" s="53"/>
      <c r="I30" s="255"/>
    </row>
    <row r="31" spans="1:9" x14ac:dyDescent="0.2">
      <c r="A31" s="32" t="s">
        <v>818</v>
      </c>
      <c r="B31" t="s">
        <v>817</v>
      </c>
      <c r="C31" s="274">
        <f>SUM(D31:I31)</f>
        <v>1276739.2000000002</v>
      </c>
      <c r="D31" s="20">
        <f>'DOE25'!L291+'DOE25'!L310+'DOE25'!L329+'DOE25'!L334+'DOE25'!L335+'DOE25'!L336-F31-G31-H31</f>
        <v>1267343.6500000001</v>
      </c>
      <c r="E31" s="242"/>
      <c r="F31" s="243"/>
      <c r="G31" s="53">
        <f>'DOE25'!J291+'DOE25'!J310+'DOE25'!J329+'DOE25'!J334+'DOE25'!J335+'DOE25'!J336</f>
        <v>9395.5499999999993</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66488650.560000002</v>
      </c>
      <c r="E33" s="244">
        <f t="shared" si="1"/>
        <v>3093740.1500000004</v>
      </c>
      <c r="F33" s="244">
        <f t="shared" si="1"/>
        <v>0</v>
      </c>
      <c r="G33" s="244">
        <f t="shared" si="1"/>
        <v>891890.47</v>
      </c>
      <c r="H33" s="244">
        <f t="shared" si="1"/>
        <v>167886.02000000002</v>
      </c>
      <c r="I33" s="244">
        <f t="shared" si="1"/>
        <v>0</v>
      </c>
    </row>
    <row r="35" spans="1:9" ht="12" thickBot="1" x14ac:dyDescent="0.25">
      <c r="B35" s="250" t="s">
        <v>831</v>
      </c>
      <c r="D35" s="251">
        <f>E33</f>
        <v>3093740.1500000004</v>
      </c>
      <c r="E35" s="247"/>
      <c r="F35" s="328" t="s">
        <v>1617</v>
      </c>
      <c r="G35" s="329"/>
      <c r="H35" s="329"/>
      <c r="I35" s="329"/>
    </row>
    <row r="36" spans="1:9" ht="12" thickTop="1" x14ac:dyDescent="0.2">
      <c r="B36" t="s">
        <v>810</v>
      </c>
      <c r="D36" s="20">
        <f>D33</f>
        <v>66488650.560000002</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J45" sqref="J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Timberlane Regional</v>
      </c>
      <c r="B2" s="126">
        <f>'DOE25'!B2</f>
        <v>534</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30733826.686502602</v>
      </c>
      <c r="G4" s="299">
        <f>'DOE25'!L212+'DOE25'!L291</f>
        <v>30733826.686502602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622562.92000000004</v>
      </c>
      <c r="E5" s="290"/>
      <c r="F5" s="303">
        <f>D5+E5</f>
        <v>622562.92000000004</v>
      </c>
      <c r="G5" s="293"/>
      <c r="H5" s="293"/>
      <c r="I5" s="384"/>
      <c r="N5"/>
    </row>
    <row r="6" spans="1:18" x14ac:dyDescent="0.2">
      <c r="A6" s="126" t="str" cm="1">
        <f t="array" ref="A6">IFERROR(INDEX('School Tables'!$A$4:$G$325,'School Tables'!$J4,3),"")</f>
        <v>Atkinson Academy</v>
      </c>
      <c r="B6" s="300">
        <f>IFERROR(VLOOKUP(A6,'School Tables'!$C$3:$D$365,2,FALSE),"")</f>
        <v>22740</v>
      </c>
      <c r="C6" s="293" t="str">
        <f>IFERROR(INDEX('School Tables'!$B$3:$B$365,MATCH('School Level Expenditures'!B6,'School Tables'!$D$3:$D$365,0)),"")</f>
        <v>Timberlane Regional</v>
      </c>
      <c r="D6" s="290">
        <v>6473838.5700000003</v>
      </c>
      <c r="E6" s="290">
        <v>132203.99</v>
      </c>
      <c r="F6" s="303">
        <f t="shared" ref="F6:F20" si="0">D6+E6</f>
        <v>6606042.5600000005</v>
      </c>
      <c r="G6" s="293"/>
      <c r="H6" s="293"/>
      <c r="I6" s="384"/>
      <c r="N6"/>
    </row>
    <row r="7" spans="1:18" x14ac:dyDescent="0.2">
      <c r="A7" s="126" t="str" cm="1">
        <f t="array" ref="A7">IFERROR(INDEX('School Tables'!$A$4:$G$325,'School Tables'!$J5,3),"")</f>
        <v>Danville Elementary School</v>
      </c>
      <c r="B7" s="300">
        <f>IFERROR(VLOOKUP(A7,'School Tables'!$C$3:$D$365,2,FALSE),"")</f>
        <v>22745</v>
      </c>
      <c r="C7" s="293" t="str">
        <f>IFERROR(INDEX('School Tables'!$B$3:$B$365,MATCH('School Level Expenditures'!B7,'School Tables'!$D$3:$D$365,0)),"")</f>
        <v>Timberlane Regional</v>
      </c>
      <c r="D7" s="290">
        <v>5363499.9800000004</v>
      </c>
      <c r="E7" s="290">
        <v>109529.48</v>
      </c>
      <c r="F7" s="303">
        <f t="shared" si="0"/>
        <v>5473029.4600000009</v>
      </c>
      <c r="G7" s="293"/>
      <c r="H7" s="293"/>
      <c r="I7" s="341"/>
      <c r="N7"/>
    </row>
    <row r="8" spans="1:18" x14ac:dyDescent="0.2">
      <c r="A8" s="126" t="str" cm="1">
        <f t="array" ref="A8">IFERROR(INDEX('School Tables'!$A$4:$G$325,'School Tables'!$J6,3),"")</f>
        <v>Pollard Elementary School</v>
      </c>
      <c r="B8" s="300">
        <f>IFERROR(VLOOKUP(A8,'School Tables'!$C$3:$D$365,2,FALSE),"")</f>
        <v>22765</v>
      </c>
      <c r="C8" s="293" t="str">
        <f>IFERROR(INDEX('School Tables'!$B$3:$B$365,MATCH('School Level Expenditures'!B8,'School Tables'!$D$3:$D$365,0)),"")</f>
        <v>Timberlane Regional</v>
      </c>
      <c r="D8" s="290">
        <v>8732154.3499999996</v>
      </c>
      <c r="E8" s="290">
        <v>178321.66</v>
      </c>
      <c r="F8" s="303">
        <f t="shared" si="0"/>
        <v>8910476.0099999998</v>
      </c>
      <c r="G8" s="293"/>
      <c r="H8" s="293"/>
      <c r="I8" s="341"/>
      <c r="N8"/>
    </row>
    <row r="9" spans="1:18" x14ac:dyDescent="0.2">
      <c r="A9" s="126" t="str" cm="1">
        <f t="array" ref="A9">IFERROR(INDEX('School Tables'!$A$4:$G$325,'School Tables'!$J7,3),"")</f>
        <v>Sandown Central School</v>
      </c>
      <c r="B9" s="300">
        <f>IFERROR(VLOOKUP(A9,'School Tables'!$C$3:$D$365,2,FALSE),"")</f>
        <v>22775</v>
      </c>
      <c r="C9" s="293" t="str">
        <f>IFERROR(INDEX('School Tables'!$B$3:$B$365,MATCH('School Level Expenditures'!B9,'School Tables'!$D$3:$D$365,0)),"")</f>
        <v>Timberlane Regional</v>
      </c>
      <c r="D9" s="290">
        <v>2691159.64</v>
      </c>
      <c r="E9" s="290">
        <v>54956.89</v>
      </c>
      <c r="F9" s="303">
        <f t="shared" si="0"/>
        <v>2746116.5300000003</v>
      </c>
      <c r="G9" s="293"/>
      <c r="H9" s="293"/>
      <c r="I9" s="341"/>
      <c r="N9"/>
    </row>
    <row r="10" spans="1:18" x14ac:dyDescent="0.2">
      <c r="A10" s="126" t="str" cm="1">
        <f t="array" ref="A10">IFERROR(INDEX('School Tables'!$A$4:$G$325,'School Tables'!$J8,3),"")</f>
        <v>Sandown North Elementary School</v>
      </c>
      <c r="B10" s="300">
        <f>IFERROR(VLOOKUP(A10,'School Tables'!$C$3:$D$365,2,FALSE),"")</f>
        <v>27910</v>
      </c>
      <c r="C10" s="293" t="str">
        <f>IFERROR(INDEX('School Tables'!$B$3:$B$365,MATCH('School Level Expenditures'!B10,'School Tables'!$D$3:$D$365,0)),"")</f>
        <v>Timberlane Regional</v>
      </c>
      <c r="D10" s="290">
        <v>6248006.9865025971</v>
      </c>
      <c r="E10" s="290">
        <v>127592.22</v>
      </c>
      <c r="F10" s="303">
        <f t="shared" si="0"/>
        <v>6375599.2065025968</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30131222.446502596</v>
      </c>
      <c r="E21" s="338">
        <f>SUM(E5:E20)</f>
        <v>602604.24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15988796.66232039</v>
      </c>
      <c r="G24" s="299">
        <f>'DOE25'!L230+'DOE25'!L310</f>
        <v>15988796.66232039</v>
      </c>
      <c r="H24" s="340">
        <f>F24-G24</f>
        <v>0</v>
      </c>
      <c r="I24" s="383" t="str">
        <f>IF(H24=0,"","ISSUES!! Please review page 8 and 12 totals in comparison with total on this page")</f>
        <v/>
      </c>
      <c r="N24"/>
    </row>
    <row r="25" spans="1:14" x14ac:dyDescent="0.2">
      <c r="A25" s="126" t="s">
        <v>1548</v>
      </c>
      <c r="B25" s="300">
        <v>99999</v>
      </c>
      <c r="C25" s="293" t="s">
        <v>1548</v>
      </c>
      <c r="D25" s="290">
        <v>779625.93</v>
      </c>
      <c r="E25" s="290"/>
      <c r="F25" s="303">
        <f>D25+E25</f>
        <v>779625.93</v>
      </c>
      <c r="G25" s="293"/>
      <c r="H25" s="293"/>
      <c r="I25" s="384"/>
      <c r="N25"/>
    </row>
    <row r="26" spans="1:14" x14ac:dyDescent="0.2">
      <c r="A26" s="126" t="str" cm="1">
        <f t="array" ref="A26">IFERROR(INDEX('School Tables'!$L$4:$R$75,'School Tables'!$U4,3),"")</f>
        <v>Timberlane Regional Middle School</v>
      </c>
      <c r="B26" s="300">
        <f>IFERROR(VLOOKUP(A26,'School Tables'!$N$4:$O$75,2,FALSE),"")</f>
        <v>22760</v>
      </c>
      <c r="C26" s="293" t="str">
        <f>IFERROR(INDEX('School Tables'!$M$4:$M$75,MATCH('School Level Expenditures'!A26,'School Tables'!$N$4:$N$75,0)),"")</f>
        <v>Timberlane Regional</v>
      </c>
      <c r="D26" s="290">
        <v>14932080.43232039</v>
      </c>
      <c r="E26" s="290">
        <v>277090.3</v>
      </c>
      <c r="F26" s="303">
        <f t="shared" ref="F26:F32" si="1">D26+E26</f>
        <v>15209170.732320391</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15711706.36232039</v>
      </c>
      <c r="E33" s="338">
        <f>SUM(E25:E32)</f>
        <v>277090.3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22327506.611177012</v>
      </c>
      <c r="G36" s="299">
        <f>'DOE25'!L248+'DOE25'!L329</f>
        <v>22327506.611177012</v>
      </c>
      <c r="H36" s="340">
        <f>F36-G36</f>
        <v>0</v>
      </c>
      <c r="I36" s="383" t="str">
        <f>IF(H36=0,"","ISSUES!! Please review page 9 and 13 totals in comparison with total on this page")</f>
        <v/>
      </c>
      <c r="N36"/>
    </row>
    <row r="37" spans="1:14" x14ac:dyDescent="0.2">
      <c r="A37" s="126" t="s">
        <v>1548</v>
      </c>
      <c r="B37" s="300">
        <v>99999</v>
      </c>
      <c r="C37" s="293" t="s">
        <v>1548</v>
      </c>
      <c r="D37" s="290">
        <v>1452119.15</v>
      </c>
      <c r="E37" s="290"/>
      <c r="F37" s="303">
        <f t="shared" ref="F37:F42" si="2">D37+E37</f>
        <v>1452119.15</v>
      </c>
      <c r="G37" s="293"/>
      <c r="H37" s="293"/>
      <c r="I37" s="384"/>
      <c r="N37"/>
    </row>
    <row r="38" spans="1:14" x14ac:dyDescent="0.2">
      <c r="A38" s="126" t="str" cm="1">
        <f t="array" ref="A38">IFERROR(INDEX('School Tables'!$W$4:$AC$100,'School Tables'!$AF4,3),"")</f>
        <v>Timberlane Regional High School</v>
      </c>
      <c r="B38" s="300">
        <f>IFERROR(VLOOKUP(A38,'School Tables'!$Y$4:$Z$100,2,FALSE),"")</f>
        <v>22770</v>
      </c>
      <c r="C38" s="293" t="str">
        <f>IFERROR(INDEX('School Tables'!$X$4:$X$100,MATCH('School Level Expenditures'!A38,'School Tables'!$Y$4:$Y$100,0)),"")</f>
        <v>Timberlane Regional</v>
      </c>
      <c r="D38" s="290">
        <v>20497991.161177013</v>
      </c>
      <c r="E38" s="290">
        <v>377396.3</v>
      </c>
      <c r="F38" s="303">
        <f t="shared" si="2"/>
        <v>20875387.461177014</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21950110.311177012</v>
      </c>
      <c r="E43" s="339">
        <f>SUM(E37:E42)</f>
        <v>377396.3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7" sqref="A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Timberlane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6847480.6299999999</v>
      </c>
      <c r="D8" s="95">
        <f>'DOE25'!G9</f>
        <v>7546.94</v>
      </c>
      <c r="E8" s="95">
        <f>'DOE25'!H9</f>
        <v>38185.11</v>
      </c>
      <c r="F8" s="95">
        <f>'DOE25'!I9</f>
        <v>0</v>
      </c>
      <c r="G8" s="95">
        <f>'DOE25'!J9</f>
        <v>0</v>
      </c>
      <c r="H8" s="124">
        <f>SUM(C8:G8)</f>
        <v>6893212.6800000006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776386.42999999993</v>
      </c>
      <c r="D11" s="95">
        <f>'DOE25'!G12</f>
        <v>0</v>
      </c>
      <c r="E11" s="95">
        <f>'DOE25'!H12</f>
        <v>0</v>
      </c>
      <c r="F11" s="95">
        <f>'DOE25'!I12</f>
        <v>0</v>
      </c>
      <c r="G11" s="95">
        <f>'DOE25'!J12</f>
        <v>80414.990000000005</v>
      </c>
      <c r="H11" s="124">
        <f t="shared" si="0"/>
        <v>856801.41999999993</v>
      </c>
      <c r="I11" s="124"/>
    </row>
    <row r="12" spans="1:9" x14ac:dyDescent="0.2">
      <c r="A12" s="1" t="s">
        <v>143</v>
      </c>
      <c r="B12" s="6">
        <v>140</v>
      </c>
      <c r="C12" s="95">
        <f>'DOE25'!F13</f>
        <v>12116.57</v>
      </c>
      <c r="D12" s="95">
        <f>'DOE25'!G13</f>
        <v>483134.41</v>
      </c>
      <c r="E12" s="95">
        <f>'DOE25'!H13</f>
        <v>748084.88</v>
      </c>
      <c r="F12" s="95">
        <f>'DOE25'!I13</f>
        <v>0</v>
      </c>
      <c r="G12" s="95">
        <f>'DOE25'!J13</f>
        <v>1333455.81</v>
      </c>
      <c r="H12" s="124">
        <f t="shared" si="0"/>
        <v>2576791.67</v>
      </c>
      <c r="I12" s="124"/>
    </row>
    <row r="13" spans="1:9" x14ac:dyDescent="0.2">
      <c r="A13" s="1" t="s">
        <v>144</v>
      </c>
      <c r="B13" s="6">
        <v>150</v>
      </c>
      <c r="C13" s="95">
        <f>'DOE25'!F14</f>
        <v>5873.48</v>
      </c>
      <c r="D13" s="95">
        <f>'DOE25'!G14</f>
        <v>0</v>
      </c>
      <c r="E13" s="95">
        <f>'DOE25'!H14</f>
        <v>0</v>
      </c>
      <c r="F13" s="95">
        <f>'DOE25'!I14</f>
        <v>0</v>
      </c>
      <c r="G13" s="95">
        <f>'DOE25'!J14</f>
        <v>0</v>
      </c>
      <c r="H13" s="124">
        <f t="shared" si="0"/>
        <v>5873.48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36733.230000000003</v>
      </c>
      <c r="E15" s="95">
        <f>'DOE25'!H16</f>
        <v>0</v>
      </c>
      <c r="F15" s="95">
        <f>'DOE25'!I16</f>
        <v>0</v>
      </c>
      <c r="G15" s="24" t="s">
        <v>288</v>
      </c>
      <c r="H15" s="124">
        <f t="shared" si="0"/>
        <v>36733.230000000003</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7641857.1100000003</v>
      </c>
      <c r="D18" s="41">
        <f>SUM(D8:D17)</f>
        <v>527414.57999999996</v>
      </c>
      <c r="E18" s="41">
        <f>SUM(E8:E17)</f>
        <v>786269.99</v>
      </c>
      <c r="F18" s="41">
        <f>SUM(F8:F17)</f>
        <v>0</v>
      </c>
      <c r="G18" s="41">
        <f>SUM(G8:G17)</f>
        <v>1413870.8</v>
      </c>
      <c r="H18" s="41">
        <f t="shared" si="0"/>
        <v>10369412.48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102356.31</v>
      </c>
      <c r="E21" s="95">
        <f>'DOE25'!H22</f>
        <v>754445.11</v>
      </c>
      <c r="F21" s="95">
        <f>'DOE25'!I22</f>
        <v>0</v>
      </c>
      <c r="G21" s="95">
        <f>'DOE25'!J22</f>
        <v>0</v>
      </c>
      <c r="H21" s="124">
        <f t="shared" ref="H21:H31" si="1">SUM(C21:G21)</f>
        <v>856801.41999999993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11422.92</v>
      </c>
      <c r="D23" s="95">
        <f>'DOE25'!G24</f>
        <v>0</v>
      </c>
      <c r="E23" s="95">
        <f>'DOE25'!H24</f>
        <v>0</v>
      </c>
      <c r="F23" s="95">
        <f>'DOE25'!I24</f>
        <v>0</v>
      </c>
      <c r="G23" s="95">
        <f>'DOE25'!J24</f>
        <v>0</v>
      </c>
      <c r="H23" s="124">
        <f t="shared" si="1"/>
        <v>11422.92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130738.34</v>
      </c>
      <c r="D27" s="95">
        <f>'DOE25'!G28</f>
        <v>0</v>
      </c>
      <c r="E27" s="95">
        <f>'DOE25'!H28</f>
        <v>0</v>
      </c>
      <c r="F27" s="95">
        <f>'DOE25'!I28</f>
        <v>0</v>
      </c>
      <c r="G27" s="24" t="s">
        <v>288</v>
      </c>
      <c r="H27" s="124">
        <f t="shared" si="1"/>
        <v>130738.34</v>
      </c>
      <c r="I27" s="124"/>
    </row>
    <row r="28" spans="1:9" x14ac:dyDescent="0.2">
      <c r="A28" s="1" t="s">
        <v>157</v>
      </c>
      <c r="B28" s="6">
        <v>470</v>
      </c>
      <c r="C28" s="95">
        <f>'DOE25'!F29</f>
        <v>167887.53</v>
      </c>
      <c r="D28" s="95">
        <f>'DOE25'!G29</f>
        <v>0</v>
      </c>
      <c r="E28" s="95">
        <f>'DOE25'!H29</f>
        <v>0</v>
      </c>
      <c r="F28" s="95">
        <f>'DOE25'!I29</f>
        <v>0</v>
      </c>
      <c r="G28" s="24" t="s">
        <v>288</v>
      </c>
      <c r="H28" s="124">
        <f t="shared" si="1"/>
        <v>167887.53</v>
      </c>
      <c r="I28" s="124"/>
    </row>
    <row r="29" spans="1:9" x14ac:dyDescent="0.2">
      <c r="A29" s="1" t="s">
        <v>158</v>
      </c>
      <c r="B29" s="6">
        <v>480</v>
      </c>
      <c r="C29" s="95">
        <f>'DOE25'!F30</f>
        <v>5938</v>
      </c>
      <c r="D29" s="95">
        <f>'DOE25'!G30</f>
        <v>45444.52</v>
      </c>
      <c r="E29" s="95">
        <f>'DOE25'!H30</f>
        <v>31824.880000000001</v>
      </c>
      <c r="F29" s="95">
        <f>'DOE25'!I30</f>
        <v>0</v>
      </c>
      <c r="G29" s="24" t="s">
        <v>288</v>
      </c>
      <c r="H29" s="124">
        <f t="shared" si="1"/>
        <v>83207.399999999994</v>
      </c>
      <c r="I29" s="124"/>
    </row>
    <row r="30" spans="1:9" ht="12" thickBot="1" x14ac:dyDescent="0.25">
      <c r="A30" s="1" t="s">
        <v>159</v>
      </c>
      <c r="B30" s="71">
        <v>490</v>
      </c>
      <c r="C30" s="95">
        <f>'DOE25'!F31</f>
        <v>69987.14</v>
      </c>
      <c r="D30" s="95">
        <f>'DOE25'!G31</f>
        <v>0</v>
      </c>
      <c r="E30" s="95">
        <f>'DOE25'!H31</f>
        <v>0</v>
      </c>
      <c r="F30" s="95">
        <f>'DOE25'!I31</f>
        <v>0</v>
      </c>
      <c r="G30" s="95">
        <f>'DOE25'!J31</f>
        <v>0</v>
      </c>
      <c r="H30" s="124">
        <f t="shared" si="1"/>
        <v>69987.14</v>
      </c>
      <c r="I30" s="124"/>
    </row>
    <row r="31" spans="1:9" ht="12" thickTop="1" x14ac:dyDescent="0.2">
      <c r="A31" s="38" t="s">
        <v>160</v>
      </c>
      <c r="B31" s="2"/>
      <c r="C31" s="41">
        <f>SUM(C21:C30)</f>
        <v>385973.93000000005</v>
      </c>
      <c r="D31" s="41">
        <f>SUM(D21:D30)</f>
        <v>147800.82999999999</v>
      </c>
      <c r="E31" s="41">
        <f>SUM(E21:E30)</f>
        <v>786269.99</v>
      </c>
      <c r="F31" s="41">
        <f>SUM(F21:F30)</f>
        <v>0</v>
      </c>
      <c r="G31" s="41">
        <f>SUM(G21:G30)</f>
        <v>0</v>
      </c>
      <c r="H31" s="41">
        <f t="shared" si="1"/>
        <v>1320044.75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991392.94</v>
      </c>
      <c r="D44" s="95">
        <f>'DOE25'!G45</f>
        <v>0</v>
      </c>
      <c r="E44" s="95">
        <f>'DOE25'!H45</f>
        <v>0</v>
      </c>
      <c r="F44" s="95">
        <f>'DOE25'!I45</f>
        <v>0</v>
      </c>
      <c r="G44" s="95">
        <f>'DOE25'!J45</f>
        <v>0</v>
      </c>
      <c r="H44" s="124">
        <f t="shared" si="2"/>
        <v>991392.94</v>
      </c>
      <c r="I44" s="124"/>
    </row>
    <row r="45" spans="1:9" x14ac:dyDescent="0.2">
      <c r="A45" s="1" t="s">
        <v>880</v>
      </c>
      <c r="B45" s="6"/>
      <c r="C45" s="95">
        <f>'DOE25'!F46</f>
        <v>500000</v>
      </c>
      <c r="D45" s="24" t="s">
        <v>288</v>
      </c>
      <c r="E45" s="24" t="s">
        <v>288</v>
      </c>
      <c r="F45" s="24" t="s">
        <v>288</v>
      </c>
      <c r="G45" s="24" t="s">
        <v>288</v>
      </c>
      <c r="H45" s="124">
        <f t="shared" si="2"/>
        <v>500000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1413870.8</v>
      </c>
      <c r="H47" s="124">
        <f t="shared" si="2"/>
        <v>1413870.8</v>
      </c>
      <c r="I47" s="124"/>
    </row>
    <row r="48" spans="1:9" x14ac:dyDescent="0.2">
      <c r="A48" s="1" t="s">
        <v>882</v>
      </c>
      <c r="B48" s="6">
        <v>753</v>
      </c>
      <c r="C48" s="95">
        <f>'DOE25'!F49</f>
        <v>2139373.9700000002</v>
      </c>
      <c r="D48" s="95">
        <f>'DOE25'!G49</f>
        <v>379613.75</v>
      </c>
      <c r="E48" s="95">
        <f>'DOE25'!H49</f>
        <v>0</v>
      </c>
      <c r="F48" s="95">
        <f>'DOE25'!I49</f>
        <v>0</v>
      </c>
      <c r="G48" s="95">
        <f>'DOE25'!J49</f>
        <v>0</v>
      </c>
      <c r="H48" s="124">
        <f t="shared" si="2"/>
        <v>2518987.7200000002</v>
      </c>
      <c r="I48" s="124"/>
    </row>
    <row r="49" spans="1:9" ht="12" thickBot="1" x14ac:dyDescent="0.25">
      <c r="A49" s="29" t="s">
        <v>883</v>
      </c>
      <c r="B49" s="71">
        <v>770</v>
      </c>
      <c r="C49" s="95">
        <f>'DOE25'!F50</f>
        <v>3625116.27</v>
      </c>
      <c r="D49" s="24" t="s">
        <v>288</v>
      </c>
      <c r="E49" s="24" t="s">
        <v>288</v>
      </c>
      <c r="F49" s="24" t="s">
        <v>288</v>
      </c>
      <c r="G49" s="24" t="s">
        <v>288</v>
      </c>
      <c r="H49" s="124">
        <f t="shared" si="2"/>
        <v>3625116.27</v>
      </c>
      <c r="I49" s="124"/>
    </row>
    <row r="50" spans="1:9" ht="12.75" thickTop="1" thickBot="1" x14ac:dyDescent="0.25">
      <c r="A50" s="38" t="s">
        <v>884</v>
      </c>
      <c r="B50" s="48"/>
      <c r="C50" s="41">
        <f>SUM(C34:C49)</f>
        <v>7255883.1799999997</v>
      </c>
      <c r="D50" s="41">
        <f>SUM(D34:D49)</f>
        <v>379613.75</v>
      </c>
      <c r="E50" s="41">
        <f>SUM(E34:E49)</f>
        <v>0</v>
      </c>
      <c r="F50" s="41">
        <f>SUM(F34:F49)</f>
        <v>0</v>
      </c>
      <c r="G50" s="41">
        <f>SUM(G34:G49)</f>
        <v>1413870.8</v>
      </c>
      <c r="H50" s="41">
        <f t="shared" si="2"/>
        <v>9049367.7300000004</v>
      </c>
      <c r="I50" s="124"/>
    </row>
    <row r="51" spans="1:9" ht="12" thickTop="1" x14ac:dyDescent="0.2">
      <c r="A51" s="38" t="s">
        <v>885</v>
      </c>
      <c r="B51" s="2"/>
      <c r="C51" s="41">
        <f>C50+C31</f>
        <v>7641857.1099999994</v>
      </c>
      <c r="D51" s="41">
        <f>D50+D31</f>
        <v>527414.57999999996</v>
      </c>
      <c r="E51" s="41">
        <f>E50+E31</f>
        <v>786269.99</v>
      </c>
      <c r="F51" s="41">
        <f>F50+F31</f>
        <v>0</v>
      </c>
      <c r="G51" s="41">
        <f>G50+G31</f>
        <v>1413870.8</v>
      </c>
      <c r="H51" s="41">
        <f t="shared" si="2"/>
        <v>10369412.48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50619507</v>
      </c>
      <c r="D56" s="95">
        <f>'DOE25'!G60</f>
        <v>0</v>
      </c>
      <c r="E56" s="95">
        <f>'DOE25'!H60</f>
        <v>0</v>
      </c>
      <c r="F56" s="95">
        <f>'DOE25'!I60</f>
        <v>0</v>
      </c>
      <c r="G56" s="95">
        <f>'DOE25'!J60</f>
        <v>0</v>
      </c>
      <c r="H56" s="124">
        <f t="shared" ref="H56:H63" si="3">SUM(C56:G56)</f>
        <v>50619507</v>
      </c>
      <c r="I56"/>
    </row>
    <row r="57" spans="1:9" x14ac:dyDescent="0.2">
      <c r="A57" s="1" t="s">
        <v>164</v>
      </c>
      <c r="B57" s="6" t="s">
        <v>165</v>
      </c>
      <c r="C57" s="95">
        <f>'DOE25'!F79</f>
        <v>630876.68000000005</v>
      </c>
      <c r="D57" s="24" t="s">
        <v>288</v>
      </c>
      <c r="E57" s="95">
        <f>'DOE25'!H79</f>
        <v>0</v>
      </c>
      <c r="F57" s="24" t="s">
        <v>288</v>
      </c>
      <c r="G57" s="24" t="s">
        <v>288</v>
      </c>
      <c r="H57" s="124">
        <f t="shared" si="3"/>
        <v>630876.68000000005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11489.84</v>
      </c>
      <c r="D59" s="95">
        <f>'DOE25'!G96</f>
        <v>0</v>
      </c>
      <c r="E59" s="95">
        <f>'DOE25'!H96</f>
        <v>0</v>
      </c>
      <c r="F59" s="95">
        <f>'DOE25'!I96</f>
        <v>0</v>
      </c>
      <c r="G59" s="95">
        <f>'DOE25'!J96</f>
        <v>0</v>
      </c>
      <c r="H59" s="124">
        <f t="shared" si="3"/>
        <v>11489.84</v>
      </c>
      <c r="I59"/>
    </row>
    <row r="60" spans="1:9" x14ac:dyDescent="0.2">
      <c r="A60" s="1" t="s">
        <v>170</v>
      </c>
      <c r="B60" s="118" t="s">
        <v>171</v>
      </c>
      <c r="C60" s="24" t="s">
        <v>288</v>
      </c>
      <c r="D60" s="95">
        <f>'DOE25'!G97</f>
        <v>245904.58000000002</v>
      </c>
      <c r="E60" s="24" t="s">
        <v>288</v>
      </c>
      <c r="F60" s="24" t="s">
        <v>288</v>
      </c>
      <c r="G60" s="24" t="s">
        <v>288</v>
      </c>
      <c r="H60" s="124">
        <f t="shared" si="3"/>
        <v>245904.58000000002</v>
      </c>
      <c r="I60"/>
    </row>
    <row r="61" spans="1:9" ht="12" thickBot="1" x14ac:dyDescent="0.25">
      <c r="A61" s="1" t="s">
        <v>172</v>
      </c>
      <c r="B61" s="118" t="s">
        <v>173</v>
      </c>
      <c r="C61" s="95">
        <f>SUM('DOE25'!F98:F110)</f>
        <v>1473184.3599999999</v>
      </c>
      <c r="D61" s="95">
        <f>SUM('DOE25'!G98:G110)</f>
        <v>0</v>
      </c>
      <c r="E61" s="95">
        <f>SUM('DOE25'!H98:H110)</f>
        <v>40531.22</v>
      </c>
      <c r="F61" s="95">
        <f>SUM('DOE25'!I98:I110)</f>
        <v>0</v>
      </c>
      <c r="G61" s="95">
        <f>SUM('DOE25'!J98:J110)</f>
        <v>24865.46</v>
      </c>
      <c r="H61" s="124">
        <f t="shared" si="3"/>
        <v>1538581.0399999998</v>
      </c>
      <c r="I61"/>
    </row>
    <row r="62" spans="1:9" ht="12.75" thickTop="1" thickBot="1" x14ac:dyDescent="0.25">
      <c r="A62" s="29" t="s">
        <v>174</v>
      </c>
      <c r="B62" s="6"/>
      <c r="C62" s="130">
        <f>SUM(C57:C61)</f>
        <v>2115550.88</v>
      </c>
      <c r="D62" s="130">
        <f>SUM(D57:D61)</f>
        <v>245904.58000000002</v>
      </c>
      <c r="E62" s="130">
        <f>SUM(E57:E61)</f>
        <v>40531.22</v>
      </c>
      <c r="F62" s="130">
        <f>SUM(F57:F61)</f>
        <v>0</v>
      </c>
      <c r="G62" s="130">
        <f>SUM(G57:G61)</f>
        <v>24865.46</v>
      </c>
      <c r="H62" s="124">
        <f t="shared" si="3"/>
        <v>2426852.14</v>
      </c>
      <c r="I62"/>
    </row>
    <row r="63" spans="1:9" ht="12" thickTop="1" x14ac:dyDescent="0.2">
      <c r="A63" s="29" t="s">
        <v>175</v>
      </c>
      <c r="B63" s="6"/>
      <c r="C63" s="22">
        <f>C56+C62</f>
        <v>52735057.880000003</v>
      </c>
      <c r="D63" s="22">
        <f>D56+D62</f>
        <v>245904.58000000002</v>
      </c>
      <c r="E63" s="22">
        <f>E56+E62</f>
        <v>40531.22</v>
      </c>
      <c r="F63" s="22">
        <f>F56+F62</f>
        <v>0</v>
      </c>
      <c r="G63" s="22">
        <f>G56+G62</f>
        <v>24865.46</v>
      </c>
      <c r="H63" s="124">
        <f t="shared" si="3"/>
        <v>53046359.140000001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10642987.439999999</v>
      </c>
      <c r="D66" s="24" t="s">
        <v>288</v>
      </c>
      <c r="E66" s="24" t="s">
        <v>288</v>
      </c>
      <c r="F66" s="24" t="s">
        <v>288</v>
      </c>
      <c r="G66" s="24" t="s">
        <v>288</v>
      </c>
      <c r="H66" s="124">
        <f t="shared" ref="H66:H81" si="4">SUM(C66:G66)</f>
        <v>10642987.439999999</v>
      </c>
      <c r="I66"/>
    </row>
    <row r="67" spans="1:9" x14ac:dyDescent="0.2">
      <c r="A67" s="1" t="s">
        <v>770</v>
      </c>
      <c r="B67" s="6">
        <v>3112</v>
      </c>
      <c r="C67" s="95">
        <f>'DOE25'!F118</f>
        <v>6611730</v>
      </c>
      <c r="D67" s="24"/>
      <c r="E67" s="24"/>
      <c r="F67" s="24"/>
      <c r="G67" s="24"/>
      <c r="H67" s="124">
        <f t="shared" si="4"/>
        <v>6611730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15961.68</v>
      </c>
      <c r="D69" s="95">
        <f>'DOE25'!G120</f>
        <v>0</v>
      </c>
      <c r="E69" s="95">
        <f>'DOE25'!H120</f>
        <v>0</v>
      </c>
      <c r="F69" s="95">
        <f>'DOE25'!I120</f>
        <v>0</v>
      </c>
      <c r="G69" s="95">
        <f>'DOE25'!J120</f>
        <v>0</v>
      </c>
      <c r="H69" s="124">
        <f t="shared" si="4"/>
        <v>15961.68</v>
      </c>
      <c r="I69"/>
    </row>
    <row r="70" spans="1:9" ht="12" thickTop="1" x14ac:dyDescent="0.2">
      <c r="A70" s="29" t="s">
        <v>252</v>
      </c>
      <c r="B70" s="2"/>
      <c r="C70" s="139">
        <f>SUM(C66:C69)</f>
        <v>17270679.119999997</v>
      </c>
      <c r="D70" s="139">
        <f>D69</f>
        <v>0</v>
      </c>
      <c r="E70" s="139">
        <f>E69</f>
        <v>0</v>
      </c>
      <c r="F70" s="139">
        <f>F69</f>
        <v>0</v>
      </c>
      <c r="G70" s="139">
        <f>G69</f>
        <v>0</v>
      </c>
      <c r="H70" s="124">
        <f t="shared" si="4"/>
        <v>17270679.119999997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438551.2</v>
      </c>
      <c r="D75" s="24" t="s">
        <v>288</v>
      </c>
      <c r="E75" s="24" t="s">
        <v>288</v>
      </c>
      <c r="F75" s="24" t="s">
        <v>288</v>
      </c>
      <c r="G75" s="24" t="s">
        <v>288</v>
      </c>
      <c r="H75" s="124">
        <f t="shared" si="4"/>
        <v>438551.2</v>
      </c>
      <c r="I75"/>
    </row>
    <row r="76" spans="1:9" x14ac:dyDescent="0.2">
      <c r="A76" s="1" t="s">
        <v>257</v>
      </c>
      <c r="B76" s="6" t="s">
        <v>179</v>
      </c>
      <c r="C76" s="95">
        <f>SUM('DOE25'!F127:F130)</f>
        <v>20433.599999999999</v>
      </c>
      <c r="D76" s="24" t="s">
        <v>288</v>
      </c>
      <c r="E76" s="95">
        <f>SUM('DOE25'!H127:H130)</f>
        <v>0</v>
      </c>
      <c r="F76" s="95">
        <f>SUM('DOE25'!I127:I130)</f>
        <v>0</v>
      </c>
      <c r="G76" s="24" t="s">
        <v>288</v>
      </c>
      <c r="H76" s="124">
        <f t="shared" si="4"/>
        <v>20433.599999999999</v>
      </c>
      <c r="I76"/>
    </row>
    <row r="77" spans="1:9" ht="12" thickBot="1" x14ac:dyDescent="0.25">
      <c r="A77" s="1" t="s">
        <v>258</v>
      </c>
      <c r="B77" s="6" t="s">
        <v>180</v>
      </c>
      <c r="C77" s="95">
        <f>SUM('DOE25'!F131:F135)</f>
        <v>0</v>
      </c>
      <c r="D77" s="95">
        <f>SUM('DOE25'!G131:G135)</f>
        <v>102523.18</v>
      </c>
      <c r="E77" s="95">
        <f>SUM('DOE25'!H131:H135)</f>
        <v>0</v>
      </c>
      <c r="F77" s="95">
        <f>SUM('DOE25'!I131:I135)</f>
        <v>0</v>
      </c>
      <c r="G77" s="95">
        <f>SUM('DOE25'!J131:J135)</f>
        <v>0</v>
      </c>
      <c r="H77" s="124">
        <f t="shared" si="4"/>
        <v>102523.18</v>
      </c>
      <c r="I77"/>
    </row>
    <row r="78" spans="1:9" ht="12.75" thickTop="1" thickBot="1" x14ac:dyDescent="0.25">
      <c r="A78" s="29" t="s">
        <v>259</v>
      </c>
      <c r="B78" s="6"/>
      <c r="C78" s="130">
        <f>SUM(C72:C77)</f>
        <v>458984.8</v>
      </c>
      <c r="D78" s="130">
        <f>SUM(D72:D77)</f>
        <v>102523.18</v>
      </c>
      <c r="E78" s="130">
        <f>SUM(E72:E77)</f>
        <v>0</v>
      </c>
      <c r="F78" s="130">
        <f>SUM(F72:F77)</f>
        <v>0</v>
      </c>
      <c r="G78" s="130">
        <f>SUM(G72:G77)</f>
        <v>0</v>
      </c>
      <c r="H78" s="124">
        <f t="shared" si="4"/>
        <v>561507.98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17729663.919999998</v>
      </c>
      <c r="D81" s="130">
        <f>SUM(D79:D80)+D78+D70</f>
        <v>102523.18</v>
      </c>
      <c r="E81" s="130">
        <f>SUM(E79:E80)+E78+E70</f>
        <v>0</v>
      </c>
      <c r="F81" s="130">
        <f>SUM(F79:F80)+F78+F70</f>
        <v>0</v>
      </c>
      <c r="G81" s="130">
        <f>SUM(G79:G80)+G78+G70</f>
        <v>0</v>
      </c>
      <c r="H81" s="130">
        <f t="shared" si="4"/>
        <v>17832187.099999998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32007</v>
      </c>
      <c r="D85" s="95">
        <f>'DOE25'!G147</f>
        <v>0</v>
      </c>
      <c r="E85" s="95">
        <f>'DOE25'!H147</f>
        <v>0</v>
      </c>
      <c r="F85" s="95">
        <f>'DOE25'!I147</f>
        <v>0</v>
      </c>
      <c r="G85" s="24" t="s">
        <v>288</v>
      </c>
      <c r="H85" s="124">
        <f t="shared" ref="H85:H104" si="5">SUM(C85:G85)</f>
        <v>32007</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281787.42</v>
      </c>
      <c r="D88" s="326">
        <f>SUM('DOE25'!G153:G162)</f>
        <v>1669596.8</v>
      </c>
      <c r="E88" s="326">
        <f>SUM('DOE25'!H153:H162)</f>
        <v>1236207.9800000002</v>
      </c>
      <c r="F88" s="326">
        <f>SUM('DOE25'!I153:I162)</f>
        <v>0</v>
      </c>
      <c r="G88" s="24" t="s">
        <v>288</v>
      </c>
      <c r="H88" s="124">
        <f t="shared" si="5"/>
        <v>3187592.2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313794.42</v>
      </c>
      <c r="D91" s="131">
        <f>SUM(D85:D90)</f>
        <v>1669596.8</v>
      </c>
      <c r="E91" s="131">
        <f>SUM(E85:E90)</f>
        <v>1236207.9800000002</v>
      </c>
      <c r="F91" s="131">
        <f>SUM(F85:F90)</f>
        <v>0</v>
      </c>
      <c r="G91" s="24" t="s">
        <v>288</v>
      </c>
      <c r="H91" s="124">
        <f t="shared" si="5"/>
        <v>3219599.2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70778516.219999999</v>
      </c>
      <c r="D104" s="86">
        <f>D63+D81+D91+D103</f>
        <v>2018024.56</v>
      </c>
      <c r="E104" s="86">
        <f>E63+E81+E91+E103</f>
        <v>1276739.2000000002</v>
      </c>
      <c r="F104" s="86">
        <f>F63+F81+F91+F103</f>
        <v>0</v>
      </c>
      <c r="G104" s="86">
        <f>G63+G81+G103</f>
        <v>24865.46</v>
      </c>
      <c r="H104" s="86">
        <f t="shared" si="5"/>
        <v>74098145.439999998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30271556.910000004</v>
      </c>
      <c r="D109" s="24" t="s">
        <v>288</v>
      </c>
      <c r="E109" s="95">
        <f>('DOE25'!L277)+('DOE25'!L296)+('DOE25'!L315)</f>
        <v>401563.8</v>
      </c>
      <c r="F109" s="24" t="s">
        <v>288</v>
      </c>
      <c r="G109" s="24" t="s">
        <v>288</v>
      </c>
      <c r="H109" s="124">
        <f t="shared" ref="H109:H115" si="6">SUM(C109:G109)</f>
        <v>30673120.710000005</v>
      </c>
    </row>
    <row r="110" spans="1:8" x14ac:dyDescent="0.2">
      <c r="A110" t="s">
        <v>198</v>
      </c>
      <c r="B110" s="32" t="s">
        <v>199</v>
      </c>
      <c r="C110" s="95">
        <f>('DOE25'!L199)+('DOE25'!L217)+('DOE25'!L235)</f>
        <v>13484714.700000001</v>
      </c>
      <c r="D110" s="24" t="s">
        <v>288</v>
      </c>
      <c r="E110" s="95">
        <f>('DOE25'!L278)+('DOE25'!L297)+('DOE25'!L316)</f>
        <v>708181.78</v>
      </c>
      <c r="F110" s="24" t="s">
        <v>288</v>
      </c>
      <c r="G110" s="24" t="s">
        <v>288</v>
      </c>
      <c r="H110" s="124">
        <f t="shared" si="6"/>
        <v>14192896.48</v>
      </c>
    </row>
    <row r="111" spans="1:8" x14ac:dyDescent="0.2">
      <c r="A111" t="s">
        <v>200</v>
      </c>
      <c r="B111" s="32" t="s">
        <v>165</v>
      </c>
      <c r="C111" s="95">
        <f>('DOE25'!L200)+('DOE25'!L218)+('DOE25'!L236)</f>
        <v>133335.23000000001</v>
      </c>
      <c r="D111" s="24" t="s">
        <v>288</v>
      </c>
      <c r="E111" s="95">
        <f>('DOE25'!L279)+('DOE25'!L298)+('DOE25'!L317)</f>
        <v>0</v>
      </c>
      <c r="F111" s="24" t="s">
        <v>288</v>
      </c>
      <c r="G111" s="24" t="s">
        <v>288</v>
      </c>
      <c r="H111" s="124">
        <f t="shared" si="6"/>
        <v>133335.23000000001</v>
      </c>
    </row>
    <row r="112" spans="1:8" x14ac:dyDescent="0.2">
      <c r="A112" t="s">
        <v>201</v>
      </c>
      <c r="B112" s="32" t="s">
        <v>167</v>
      </c>
      <c r="C112" s="95">
        <f>('DOE25'!L201)+('DOE25'!L219)+('DOE25'!L237)</f>
        <v>1144751.48</v>
      </c>
      <c r="D112" s="24" t="s">
        <v>288</v>
      </c>
      <c r="E112" s="95">
        <f>+('DOE25'!L280)+('DOE25'!L299)+('DOE25'!L318)</f>
        <v>11795.15</v>
      </c>
      <c r="F112" s="24" t="s">
        <v>288</v>
      </c>
      <c r="G112" s="24" t="s">
        <v>288</v>
      </c>
      <c r="H112" s="124">
        <f t="shared" si="6"/>
        <v>1156546.6299999999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177574.99</v>
      </c>
      <c r="D114" s="24" t="s">
        <v>288</v>
      </c>
      <c r="E114" s="95">
        <f>+ SUM('DOE25'!L334:L336)</f>
        <v>19648.36</v>
      </c>
      <c r="F114" s="24" t="s">
        <v>288</v>
      </c>
      <c r="G114" s="24" t="s">
        <v>288</v>
      </c>
      <c r="H114" s="124">
        <f t="shared" si="6"/>
        <v>197223.34999999998</v>
      </c>
    </row>
    <row r="115" spans="1:8" ht="12.75" thickTop="1" thickBot="1" x14ac:dyDescent="0.25">
      <c r="A115" s="33" t="s">
        <v>205</v>
      </c>
      <c r="C115" s="86">
        <f>SUM(C109:C114)</f>
        <v>45211933.310000002</v>
      </c>
      <c r="D115" s="86">
        <f>SUM(D109:D114)</f>
        <v>0</v>
      </c>
      <c r="E115" s="86">
        <f>SUM(E109:E114)</f>
        <v>1141189.0900000001</v>
      </c>
      <c r="F115" s="86">
        <f>SUM(F109:F114)</f>
        <v>0</v>
      </c>
      <c r="G115" s="86">
        <f>SUM(G109:G114)</f>
        <v>0</v>
      </c>
      <c r="H115" s="86">
        <f t="shared" si="6"/>
        <v>46353122.400000006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5238940.82</v>
      </c>
      <c r="D118" s="24" t="s">
        <v>288</v>
      </c>
      <c r="E118" s="95">
        <f>+('DOE25'!L282)+('DOE25'!L301)+('DOE25'!L320)</f>
        <v>0</v>
      </c>
      <c r="F118" s="24" t="s">
        <v>288</v>
      </c>
      <c r="G118" s="24" t="s">
        <v>288</v>
      </c>
      <c r="H118" s="124">
        <f t="shared" ref="H118:H145" si="7">SUM(C118:G118)</f>
        <v>5238940.82</v>
      </c>
    </row>
    <row r="119" spans="1:8" x14ac:dyDescent="0.2">
      <c r="A119" t="s">
        <v>208</v>
      </c>
      <c r="B119" s="32" t="s">
        <v>209</v>
      </c>
      <c r="C119" s="95">
        <f>('DOE25'!L204)+('DOE25'!L222)+('DOE25'!L240)</f>
        <v>1442077.3399999999</v>
      </c>
      <c r="D119" s="24" t="s">
        <v>288</v>
      </c>
      <c r="E119" s="95">
        <f>+('DOE25'!L283)+('DOE25'!L302)+('DOE25'!L321)</f>
        <v>135550.11000000002</v>
      </c>
      <c r="F119" s="24" t="s">
        <v>288</v>
      </c>
      <c r="G119" s="24" t="s">
        <v>288</v>
      </c>
      <c r="H119" s="124">
        <f t="shared" si="7"/>
        <v>1577627.45</v>
      </c>
    </row>
    <row r="120" spans="1:8" x14ac:dyDescent="0.2">
      <c r="A120" t="s">
        <v>210</v>
      </c>
      <c r="B120" s="32" t="s">
        <v>211</v>
      </c>
      <c r="C120" s="95">
        <f>('DOE25'!L205)+('DOE25'!L223)+('DOE25'!L241)</f>
        <v>1604522.72</v>
      </c>
      <c r="D120" s="24" t="s">
        <v>288</v>
      </c>
      <c r="E120" s="95">
        <f>+('DOE25'!L284)+('DOE25'!L303)+('DOE25'!L322)</f>
        <v>0</v>
      </c>
      <c r="F120" s="24" t="s">
        <v>288</v>
      </c>
      <c r="G120" s="24" t="s">
        <v>288</v>
      </c>
      <c r="H120" s="124">
        <f t="shared" si="7"/>
        <v>1604522.72</v>
      </c>
    </row>
    <row r="121" spans="1:8" x14ac:dyDescent="0.2">
      <c r="A121" t="s">
        <v>212</v>
      </c>
      <c r="B121" s="32" t="s">
        <v>213</v>
      </c>
      <c r="C121" s="95">
        <f>('DOE25'!L206)+('DOE25'!L224)+('DOE25'!L242)</f>
        <v>4560553.6399999997</v>
      </c>
      <c r="D121" s="24" t="s">
        <v>288</v>
      </c>
      <c r="E121" s="95">
        <f>+('DOE25'!L285)+('DOE25'!L304)+('DOE25'!L323)</f>
        <v>0</v>
      </c>
      <c r="F121" s="24" t="s">
        <v>288</v>
      </c>
      <c r="G121" s="24" t="s">
        <v>288</v>
      </c>
      <c r="H121" s="124">
        <f t="shared" si="7"/>
        <v>4560553.6399999997</v>
      </c>
    </row>
    <row r="122" spans="1:8" x14ac:dyDescent="0.2">
      <c r="A122" t="s">
        <v>214</v>
      </c>
      <c r="B122" s="32" t="s">
        <v>215</v>
      </c>
      <c r="C122" s="95">
        <f>('DOE25'!L207)+('DOE25'!L225)+('DOE25'!L243)</f>
        <v>609312.63000000012</v>
      </c>
      <c r="D122" s="24" t="s">
        <v>288</v>
      </c>
      <c r="E122" s="95">
        <f>+('DOE25'!L286)+('DOE25'!L305)+('DOE25'!L324)</f>
        <v>0</v>
      </c>
      <c r="F122" s="24" t="s">
        <v>288</v>
      </c>
      <c r="G122" s="24" t="s">
        <v>288</v>
      </c>
      <c r="H122" s="124">
        <f t="shared" si="7"/>
        <v>609312.63000000012</v>
      </c>
    </row>
    <row r="123" spans="1:8" x14ac:dyDescent="0.2">
      <c r="A123" t="s">
        <v>216</v>
      </c>
      <c r="B123" s="32" t="s">
        <v>217</v>
      </c>
      <c r="C123" s="95">
        <f>('DOE25'!L208)+('DOE25'!L226)+('DOE25'!L244)</f>
        <v>5062846.28</v>
      </c>
      <c r="D123" s="24" t="s">
        <v>288</v>
      </c>
      <c r="E123" s="95">
        <f>+('DOE25'!L287)+('DOE25'!L306)+('DOE25'!L325)</f>
        <v>0</v>
      </c>
      <c r="F123" s="24" t="s">
        <v>288</v>
      </c>
      <c r="G123" s="24" t="s">
        <v>288</v>
      </c>
      <c r="H123" s="124">
        <f t="shared" si="7"/>
        <v>5062846.28</v>
      </c>
    </row>
    <row r="124" spans="1:8" x14ac:dyDescent="0.2">
      <c r="A124" t="s">
        <v>218</v>
      </c>
      <c r="B124" s="32" t="s">
        <v>219</v>
      </c>
      <c r="C124" s="95">
        <f>('DOE25'!L209)+('DOE25'!L227)+('DOE25'!L245+'DOE25'!L255)</f>
        <v>3307117.34</v>
      </c>
      <c r="D124" s="24" t="s">
        <v>288</v>
      </c>
      <c r="E124" s="95">
        <f>+('DOE25'!L288)+('DOE25'!L307)+('DOE25'!L326)</f>
        <v>0</v>
      </c>
      <c r="F124" s="24" t="s">
        <v>288</v>
      </c>
      <c r="G124" s="24" t="s">
        <v>288</v>
      </c>
      <c r="H124" s="124">
        <f t="shared" si="7"/>
        <v>3307117.34</v>
      </c>
    </row>
    <row r="125" spans="1:8" x14ac:dyDescent="0.2">
      <c r="A125" t="s">
        <v>220</v>
      </c>
      <c r="B125" s="32" t="s">
        <v>221</v>
      </c>
      <c r="C125" s="95">
        <f>('DOE25'!L210)+('DOE25'!L228)+('DOE25'!L246)</f>
        <v>933310.03</v>
      </c>
      <c r="D125" s="24" t="s">
        <v>288</v>
      </c>
      <c r="E125" s="95">
        <f>+('DOE25'!L289)+('DOE25'!L308)+('DOE25'!L327)</f>
        <v>0</v>
      </c>
      <c r="F125" s="24" t="s">
        <v>288</v>
      </c>
      <c r="G125" s="24" t="s">
        <v>288</v>
      </c>
      <c r="H125" s="124">
        <f t="shared" si="7"/>
        <v>933310.03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1638409.81</v>
      </c>
      <c r="E127" s="24" t="s">
        <v>288</v>
      </c>
      <c r="F127" s="24" t="s">
        <v>288</v>
      </c>
      <c r="G127" s="24" t="s">
        <v>288</v>
      </c>
      <c r="H127" s="124">
        <f t="shared" si="7"/>
        <v>1638409.81</v>
      </c>
    </row>
    <row r="128" spans="1:8" ht="12.75" thickTop="1" thickBot="1" x14ac:dyDescent="0.25">
      <c r="A128" s="33" t="s">
        <v>226</v>
      </c>
      <c r="C128" s="86">
        <f>SUM(C118:C127)</f>
        <v>22758680.800000001</v>
      </c>
      <c r="D128" s="86">
        <f>SUM(D118:D127)</f>
        <v>1638409.81</v>
      </c>
      <c r="E128" s="86">
        <f>SUM(E118:E127)</f>
        <v>135550.11000000002</v>
      </c>
      <c r="F128" s="86">
        <f>SUM(F118:F127)</f>
        <v>0</v>
      </c>
      <c r="G128" s="86">
        <f>SUM(G118:G127)</f>
        <v>0</v>
      </c>
      <c r="H128" s="86">
        <f t="shared" si="7"/>
        <v>24532640.719999999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284539.26</v>
      </c>
      <c r="D130" s="24" t="s">
        <v>288</v>
      </c>
      <c r="E130" s="129">
        <f>'DOE25'!L337</f>
        <v>0</v>
      </c>
      <c r="F130" s="129">
        <f>SUM('DOE25'!L375:'DOE25'!L381)</f>
        <v>0</v>
      </c>
      <c r="G130" s="24" t="s">
        <v>288</v>
      </c>
      <c r="H130" s="124">
        <f t="shared" si="7"/>
        <v>284539.26</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24865.46</v>
      </c>
      <c r="D139" s="24" t="s">
        <v>288</v>
      </c>
      <c r="E139" s="24" t="s">
        <v>288</v>
      </c>
      <c r="F139" s="24" t="s">
        <v>288</v>
      </c>
      <c r="G139" s="24" t="s">
        <v>288</v>
      </c>
      <c r="H139" s="124">
        <f t="shared" si="7"/>
        <v>24865.46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-24865.46</v>
      </c>
      <c r="D141" s="24" t="s">
        <v>288</v>
      </c>
      <c r="E141" s="24" t="s">
        <v>288</v>
      </c>
      <c r="F141" s="24" t="s">
        <v>288</v>
      </c>
      <c r="G141" s="24" t="s">
        <v>288</v>
      </c>
      <c r="H141" s="124">
        <f t="shared" si="7"/>
        <v>-24865.46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284539.26</v>
      </c>
      <c r="D144" s="141">
        <f>SUM(D130:D143)</f>
        <v>0</v>
      </c>
      <c r="E144" s="141">
        <f>SUM(E130:E143)</f>
        <v>0</v>
      </c>
      <c r="F144" s="141">
        <f>SUM(F130:F143)</f>
        <v>0</v>
      </c>
      <c r="G144" s="141">
        <f>SUM(G130:G143)</f>
        <v>0</v>
      </c>
      <c r="H144" s="141">
        <f t="shared" si="7"/>
        <v>284539.26</v>
      </c>
    </row>
    <row r="145" spans="1:9" ht="12.75" thickTop="1" thickBot="1" x14ac:dyDescent="0.25">
      <c r="A145" s="33" t="s">
        <v>244</v>
      </c>
      <c r="C145" s="86">
        <f>(C115+C128+C144)</f>
        <v>68255153.370000005</v>
      </c>
      <c r="D145" s="86">
        <f>(D115+D128+D144)</f>
        <v>1638409.81</v>
      </c>
      <c r="E145" s="86">
        <f>(E115+E128+E144)</f>
        <v>1276739.2000000002</v>
      </c>
      <c r="F145" s="86">
        <f>(F115+F128+F144)</f>
        <v>0</v>
      </c>
      <c r="G145" s="86">
        <f>(G115+G128+G144)</f>
        <v>0</v>
      </c>
      <c r="H145" s="86">
        <f t="shared" si="7"/>
        <v>71170302.38000001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Timberlane Regional</v>
      </c>
    </row>
    <row r="3" spans="1:4" x14ac:dyDescent="0.2">
      <c r="B3" s="187" t="s">
        <v>1799</v>
      </c>
    </row>
    <row r="4" spans="1:4" x14ac:dyDescent="0.2">
      <c r="B4" t="s">
        <v>61</v>
      </c>
      <c r="C4" s="178">
        <f>IF('DOE25'!F666+'DOE25'!F671=0,0,ROUND('DOE25'!F673,0))</f>
        <v>19541</v>
      </c>
    </row>
    <row r="5" spans="1:4" x14ac:dyDescent="0.2">
      <c r="B5" t="s">
        <v>700</v>
      </c>
      <c r="C5" s="178">
        <f>IF('DOE25'!G666+'DOE25'!G671=0,0,ROUND('DOE25'!G673,0))</f>
        <v>20196</v>
      </c>
    </row>
    <row r="6" spans="1:4" x14ac:dyDescent="0.2">
      <c r="B6" t="s">
        <v>62</v>
      </c>
      <c r="C6" s="178">
        <f>IF('DOE25'!H666+'DOE25'!H671=0,0,ROUND('DOE25'!H673,0))</f>
        <v>20673</v>
      </c>
    </row>
    <row r="7" spans="1:4" x14ac:dyDescent="0.2">
      <c r="B7" t="s">
        <v>701</v>
      </c>
      <c r="C7" s="178">
        <f>IF('DOE25'!I666+'DOE25'!I671=0,0,ROUND('DOE25'!I673,0))</f>
        <v>20037</v>
      </c>
    </row>
    <row r="9" spans="1:4" x14ac:dyDescent="0.2">
      <c r="A9" s="186" t="s">
        <v>94</v>
      </c>
      <c r="B9" s="187" t="s">
        <v>1800</v>
      </c>
      <c r="C9" s="180" t="s">
        <v>720</v>
      </c>
      <c r="D9" s="180" t="s">
        <v>721</v>
      </c>
    </row>
    <row r="10" spans="1:4" x14ac:dyDescent="0.2">
      <c r="A10">
        <v>1100</v>
      </c>
      <c r="B10" t="s">
        <v>702</v>
      </c>
      <c r="C10" s="178">
        <f>ROUND('DOE25'!L198+'DOE25'!L216+'DOE25'!L234+'DOE25'!L277+'DOE25'!L296+'DOE25'!L315,0)</f>
        <v>30673121</v>
      </c>
      <c r="D10" s="181">
        <f>ROUND((C10/$C$28)*100,1)</f>
        <v>43.4</v>
      </c>
    </row>
    <row r="11" spans="1:4" x14ac:dyDescent="0.2">
      <c r="A11">
        <v>1200</v>
      </c>
      <c r="B11" t="s">
        <v>703</v>
      </c>
      <c r="C11" s="178">
        <f>ROUND('DOE25'!L199+'DOE25'!L217+'DOE25'!L235+'DOE25'!L278+'DOE25'!L297+'DOE25'!L316,0)</f>
        <v>14192896</v>
      </c>
      <c r="D11" s="181">
        <f>ROUND((C11/$C$28)*100,1)</f>
        <v>20.100000000000001</v>
      </c>
    </row>
    <row r="12" spans="1:4" x14ac:dyDescent="0.2">
      <c r="A12">
        <v>1300</v>
      </c>
      <c r="B12" t="s">
        <v>704</v>
      </c>
      <c r="C12" s="178">
        <f>ROUND('DOE25'!L200+'DOE25'!L218+'DOE25'!L236+'DOE25'!L279+'DOE25'!L298+'DOE25'!L317,0)</f>
        <v>133335</v>
      </c>
      <c r="D12" s="181">
        <f>ROUND((C12/$C$28)*100,1)</f>
        <v>0.2</v>
      </c>
    </row>
    <row r="13" spans="1:4" x14ac:dyDescent="0.2">
      <c r="A13">
        <v>1400</v>
      </c>
      <c r="B13" t="s">
        <v>705</v>
      </c>
      <c r="C13" s="178">
        <f>ROUND('DOE25'!L201+'DOE25'!L219+'DOE25'!L237+'DOE25'!L280+'DOE25'!L299+'DOE25'!L318,0)</f>
        <v>1156547</v>
      </c>
      <c r="D13" s="181">
        <f>ROUND((C13/$C$28)*100,1)</f>
        <v>1.6</v>
      </c>
    </row>
    <row r="14" spans="1:4" x14ac:dyDescent="0.2">
      <c r="D14" s="181"/>
    </row>
    <row r="15" spans="1:4" x14ac:dyDescent="0.2">
      <c r="A15">
        <v>2100</v>
      </c>
      <c r="B15" t="s">
        <v>706</v>
      </c>
      <c r="C15" s="178">
        <f>ROUND('DOE25'!L203+'DOE25'!L221+'DOE25'!L239+'DOE25'!L282+'DOE25'!L301+'DOE25'!L320,0)</f>
        <v>5238941</v>
      </c>
      <c r="D15" s="181">
        <f t="shared" ref="D15:D27" si="0">ROUND((C15/$C$28)*100,1)</f>
        <v>7.4</v>
      </c>
    </row>
    <row r="16" spans="1:4" x14ac:dyDescent="0.2">
      <c r="A16">
        <v>2200</v>
      </c>
      <c r="B16" t="s">
        <v>707</v>
      </c>
      <c r="C16" s="178">
        <f>ROUND('DOE25'!L204+'DOE25'!L222+'DOE25'!L240+'DOE25'!L283+'DOE25'!L302+'DOE25'!L321,0)</f>
        <v>1577627</v>
      </c>
      <c r="D16" s="181">
        <f t="shared" si="0"/>
        <v>2.2000000000000002</v>
      </c>
    </row>
    <row r="17" spans="1:4" x14ac:dyDescent="0.2">
      <c r="A17" s="182" t="s">
        <v>723</v>
      </c>
      <c r="B17" t="s">
        <v>738</v>
      </c>
      <c r="C17" s="178">
        <f>ROUND('DOE25'!L205+'DOE25'!L210+'DOE25'!L223+'DOE25'!L228+'DOE25'!L241+'DOE25'!L246+'DOE25'!L284+'DOE25'!L289+'DOE25'!L303+'DOE25'!L308+'DOE25'!L322+'DOE25'!L327,0)</f>
        <v>2537833</v>
      </c>
      <c r="D17" s="181">
        <f t="shared" si="0"/>
        <v>3.6</v>
      </c>
    </row>
    <row r="18" spans="1:4" x14ac:dyDescent="0.2">
      <c r="A18">
        <v>2400</v>
      </c>
      <c r="B18" t="s">
        <v>711</v>
      </c>
      <c r="C18" s="178">
        <f>ROUND('DOE25'!L206+'DOE25'!L224+'DOE25'!L242+'DOE25'!L285+'DOE25'!L304+'DOE25'!L323,0)</f>
        <v>4560554</v>
      </c>
      <c r="D18" s="181">
        <f t="shared" si="0"/>
        <v>6.5</v>
      </c>
    </row>
    <row r="19" spans="1:4" x14ac:dyDescent="0.2">
      <c r="A19">
        <v>2500</v>
      </c>
      <c r="B19" t="s">
        <v>708</v>
      </c>
      <c r="C19" s="178">
        <f>ROUND('DOE25'!L207+'DOE25'!L225+'DOE25'!L243+'DOE25'!L286+'DOE25'!L305+'DOE25'!L324,0)</f>
        <v>609313</v>
      </c>
      <c r="D19" s="181">
        <f t="shared" si="0"/>
        <v>0.9</v>
      </c>
    </row>
    <row r="20" spans="1:4" x14ac:dyDescent="0.2">
      <c r="A20">
        <v>2600</v>
      </c>
      <c r="B20" t="s">
        <v>709</v>
      </c>
      <c r="C20" s="178">
        <f>ROUND('DOE25'!L208+'DOE25'!L226+'DOE25'!L244+'DOE25'!L287+'DOE25'!L306+'DOE25'!L325,0)</f>
        <v>5062846</v>
      </c>
      <c r="D20" s="181">
        <f t="shared" si="0"/>
        <v>7.2</v>
      </c>
    </row>
    <row r="21" spans="1:4" x14ac:dyDescent="0.2">
      <c r="A21">
        <v>2700</v>
      </c>
      <c r="B21" t="s">
        <v>710</v>
      </c>
      <c r="C21" s="178">
        <f>ROUND('DOE25'!L209+'DOE25'!L227+'DOE25'!L245+'DOE25'!L288+'DOE25'!L307+'DOE25'!L326,0)</f>
        <v>3307117</v>
      </c>
      <c r="D21" s="181">
        <f t="shared" si="0"/>
        <v>4.7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197223</v>
      </c>
      <c r="D24" s="181">
        <f t="shared" si="0"/>
        <v>0.3</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1392505.42</v>
      </c>
      <c r="D27" s="181">
        <f t="shared" si="0"/>
        <v>2</v>
      </c>
    </row>
    <row r="28" spans="1:4" x14ac:dyDescent="0.2">
      <c r="B28" s="186" t="s">
        <v>719</v>
      </c>
      <c r="C28" s="179">
        <f>SUM(C10:C27)</f>
        <v>70639858.420000002</v>
      </c>
      <c r="D28" s="183">
        <f>ROUND(SUM(D10:D27),0)</f>
        <v>100</v>
      </c>
    </row>
    <row r="29" spans="1:4" x14ac:dyDescent="0.2">
      <c r="A29">
        <v>4000</v>
      </c>
      <c r="B29" t="s">
        <v>724</v>
      </c>
      <c r="C29" s="178">
        <f>ROUND('DOE25'!L256+'DOE25'!L337+'DOE25'!L375+'DOE25'!L376+'DOE25'!L377+'DOE25'!L378+'DOE25'!L379+'DOE25'!L380+'DOE25'!L381,0)</f>
        <v>284539</v>
      </c>
    </row>
    <row r="30" spans="1:4" x14ac:dyDescent="0.2">
      <c r="B30" s="186" t="s">
        <v>725</v>
      </c>
      <c r="C30" s="179">
        <f>SUM(C28:C29)</f>
        <v>70924397.420000002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50619507</v>
      </c>
      <c r="D35" s="181">
        <f t="shared" ref="D35:D40" si="1">ROUND((C35/$C$41)*100,1)</f>
        <v>68.5</v>
      </c>
    </row>
    <row r="36" spans="1:4" x14ac:dyDescent="0.2">
      <c r="B36" s="184" t="s">
        <v>739</v>
      </c>
      <c r="C36" s="178">
        <f>SUM('DOE25'!F112:J112)-SUM('DOE25'!G97:G110)+('DOE25'!F175+'DOE25'!F176+'DOE25'!I175+'DOE25'!I176)-C35</f>
        <v>2180947.5600000024</v>
      </c>
      <c r="D36" s="181">
        <f t="shared" si="1"/>
        <v>3</v>
      </c>
    </row>
    <row r="37" spans="1:4" x14ac:dyDescent="0.2">
      <c r="A37" s="182" t="s">
        <v>835</v>
      </c>
      <c r="B37" s="184" t="s">
        <v>728</v>
      </c>
      <c r="C37" s="178">
        <f>ROUND('DOE25'!F117+'DOE25'!F118,0)</f>
        <v>17254717</v>
      </c>
      <c r="D37" s="181">
        <f t="shared" si="1"/>
        <v>23.4</v>
      </c>
    </row>
    <row r="38" spans="1:4" x14ac:dyDescent="0.2">
      <c r="A38" s="182" t="s">
        <v>734</v>
      </c>
      <c r="B38" s="184" t="s">
        <v>729</v>
      </c>
      <c r="C38" s="178">
        <f>ROUND(SUM('DOE25'!F140:J140)-SUM('DOE25'!F117:F119),0)</f>
        <v>577470</v>
      </c>
      <c r="D38" s="181">
        <f t="shared" si="1"/>
        <v>0.8</v>
      </c>
    </row>
    <row r="39" spans="1:4" x14ac:dyDescent="0.2">
      <c r="A39">
        <v>4000</v>
      </c>
      <c r="B39" s="184" t="s">
        <v>730</v>
      </c>
      <c r="C39" s="178">
        <f>ROUND('DOE25'!F170+'DOE25'!G170+'DOE25'!H170+'DOE25'!I170,0)</f>
        <v>3219599</v>
      </c>
      <c r="D39" s="181">
        <f t="shared" si="1"/>
        <v>4.4000000000000004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73852240.560000002</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Timberlane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66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90</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59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246</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262</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263</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f>IF('School Level Expenditures'!$B$2=A15,'School Tables'!H15,"")</f>
        <v>12</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f>IF('School Level Expenditures'!$B$2=A62,'School Tables'!H62,"")</f>
        <v>59</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f>IF('School Level Expenditures'!$B$2='School Tables'!L69,'School Tables'!S69,"")</f>
        <v>66</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f>IF('School Level Expenditures'!$B$2='School Tables'!W93,'School Tables'!AD93,"")</f>
        <v>90</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f>IF('School Level Expenditures'!$B$2=A249,'School Tables'!H249,"")</f>
        <v>246</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f>IF('School Level Expenditures'!$B$2=A265,'School Tables'!H265,"")</f>
        <v>262</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f>IF('School Level Expenditures'!$B$2=A266,'School Tables'!H266,"")</f>
        <v>263</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2022-09-01T16:50:59Z</cp:lastPrinted>
  <dcterms:created xsi:type="dcterms:W3CDTF">1997-12-04T19:04:30Z</dcterms:created>
  <dcterms:modified xsi:type="dcterms:W3CDTF">2022-12-20T17:24:54Z</dcterms:modified>
</cp:coreProperties>
</file>