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9E4BD6B0-DFCB-4AA0-A7A7-102088AC29D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9" i="13" l="1"/>
  <c r="F15" i="13"/>
  <c r="C20" i="12" l="1"/>
  <c r="B19" i="12"/>
  <c r="B20" i="12"/>
  <c r="B12" i="12"/>
  <c r="B21" i="12"/>
  <c r="H159" i="1" l="1"/>
  <c r="H155" i="1"/>
  <c r="H605" i="1"/>
  <c r="F466" i="1"/>
  <c r="H527" i="1" l="1"/>
  <c r="H524" i="1"/>
  <c r="H523" i="1"/>
  <c r="J522" i="1"/>
  <c r="I522" i="1"/>
  <c r="H522" i="1"/>
  <c r="G522" i="1"/>
  <c r="F522" i="1"/>
  <c r="J469" i="1" l="1"/>
  <c r="H473" i="1"/>
  <c r="H469" i="1"/>
  <c r="F277" i="1"/>
  <c r="G282" i="1"/>
  <c r="F282" i="1"/>
  <c r="I278" i="1"/>
  <c r="H283" i="1"/>
  <c r="H282" i="1"/>
  <c r="J278" i="1"/>
  <c r="G278" i="1"/>
  <c r="F278" i="1"/>
  <c r="G283" i="1"/>
  <c r="I282" i="1"/>
  <c r="K241" i="1"/>
  <c r="H241" i="1"/>
  <c r="H235" i="1"/>
  <c r="F198" i="1"/>
  <c r="H205" i="1"/>
  <c r="H209" i="1"/>
  <c r="H208" i="1"/>
  <c r="H204" i="1"/>
  <c r="G204" i="1"/>
  <c r="F204" i="1"/>
  <c r="K203" i="1"/>
  <c r="I203" i="1"/>
  <c r="H203" i="1"/>
  <c r="G203" i="1"/>
  <c r="F203" i="1"/>
  <c r="H201" i="1"/>
  <c r="I199" i="1"/>
  <c r="H199" i="1"/>
  <c r="G199" i="1"/>
  <c r="F199" i="1"/>
  <c r="H198" i="1"/>
  <c r="H102" i="1"/>
  <c r="G97" i="1" l="1"/>
  <c r="G158" i="1"/>
  <c r="F96" i="1"/>
  <c r="H12" i="1"/>
  <c r="H30" i="1"/>
  <c r="G24" i="1"/>
  <c r="F24" i="1"/>
  <c r="F5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H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D79" i="2"/>
  <c r="E79" i="2"/>
  <c r="C80" i="2"/>
  <c r="E80" i="2"/>
  <c r="C85" i="2"/>
  <c r="F85" i="2"/>
  <c r="C87" i="2"/>
  <c r="E87" i="2"/>
  <c r="H87" i="2" s="1"/>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E112" i="2"/>
  <c r="D115" i="2"/>
  <c r="F115" i="2"/>
  <c r="G115" i="2"/>
  <c r="E120" i="2"/>
  <c r="E124" i="2"/>
  <c r="C125" i="2"/>
  <c r="H125" i="2" s="1"/>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H132" i="2" l="1"/>
  <c r="H36" i="2"/>
  <c r="H38" i="2"/>
  <c r="H42" i="2"/>
  <c r="H43" i="2"/>
  <c r="H44" i="2"/>
  <c r="H48" i="2"/>
  <c r="H97" i="2"/>
  <c r="H93" i="2"/>
  <c r="H29" i="2"/>
  <c r="H22" i="2"/>
  <c r="I409" i="1"/>
  <c r="H135" i="2"/>
  <c r="H89" i="2"/>
  <c r="H79" i="2"/>
  <c r="H72" i="2"/>
  <c r="H59" i="2"/>
  <c r="H35" i="2"/>
  <c r="H34" i="2"/>
  <c r="H13" i="2"/>
  <c r="H11" i="2"/>
  <c r="H9" i="2"/>
  <c r="H131" i="2"/>
  <c r="H57" i="2"/>
  <c r="E121" i="2"/>
  <c r="H121" i="2"/>
  <c r="H96" i="2"/>
  <c r="H80" i="2"/>
  <c r="H26" i="2"/>
  <c r="G477" i="1"/>
  <c r="H624" i="1" s="1"/>
  <c r="J624" i="1" s="1"/>
  <c r="D144" i="2"/>
  <c r="H69" i="2"/>
  <c r="H47" i="2"/>
  <c r="H30" i="2"/>
  <c r="H28" i="2"/>
  <c r="H27" i="2"/>
  <c r="H24" i="2"/>
  <c r="H17" i="2"/>
  <c r="H8" i="2"/>
  <c r="C119" i="2"/>
  <c r="J652" i="1"/>
  <c r="H477" i="1"/>
  <c r="H625" i="1" s="1"/>
  <c r="J625" i="1" s="1"/>
  <c r="G409" i="1"/>
  <c r="H646" i="1" s="1"/>
  <c r="G662" i="1"/>
  <c r="H112" i="2"/>
  <c r="D6" i="13"/>
  <c r="C6" i="13" s="1"/>
  <c r="C12" i="10"/>
  <c r="C120" i="2"/>
  <c r="H120" i="2" s="1"/>
  <c r="A40" i="12"/>
  <c r="G646" i="1"/>
  <c r="H61" i="2"/>
  <c r="D78" i="2"/>
  <c r="H77" i="2"/>
  <c r="H23" i="2"/>
  <c r="H12"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78" i="2"/>
  <c r="H31" i="2"/>
  <c r="G24" i="14"/>
  <c r="H24" i="14" s="1"/>
  <c r="I24" i="14" s="1"/>
  <c r="E115" i="2"/>
  <c r="H21" i="2"/>
  <c r="J646" i="1"/>
  <c r="H85" i="2"/>
  <c r="H16" i="2"/>
  <c r="H122" i="2"/>
  <c r="H114" i="2"/>
  <c r="L572" i="1"/>
  <c r="H134" i="2"/>
  <c r="H50" i="2"/>
  <c r="D128" i="2"/>
  <c r="D145" i="2" s="1"/>
  <c r="H127" i="2"/>
  <c r="H123" i="2"/>
  <c r="E128" i="2"/>
  <c r="E145" i="2" s="1"/>
  <c r="H118" i="2"/>
  <c r="F661" i="1"/>
  <c r="F665" i="1" s="1"/>
  <c r="F668" i="1" s="1"/>
  <c r="H109" i="2"/>
  <c r="I663" i="1"/>
  <c r="H91" i="2"/>
  <c r="H62" i="2"/>
  <c r="C81" i="2"/>
  <c r="H81" i="2" s="1"/>
  <c r="F194" i="1"/>
  <c r="G628" i="1" s="1"/>
  <c r="J628" i="1" s="1"/>
  <c r="E5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C145" i="2" s="1"/>
  <c r="H141" i="2"/>
  <c r="H128"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<sst xmlns="http://schemas.openxmlformats.org/spreadsheetml/2006/main" count="6530" uniqueCount="1802">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</sst>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0" zoomScaleNormal="130" workbookViewId="0">
      <selection activeCell="H192" sqref="H19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1455</v>
      </c>
      <c r="B2" s="126">
        <f>INDEX('School Tables'!$AH$3:$AH$208,MATCH('DOE25'!A2,'School Tables'!$AJ$3:$AJ$208,0))</f>
        <v>549</v>
      </c>
      <c r="C2" s="126">
        <f>INDEX('School Tables'!$AI$3:$AI$208,MATCH('DOE25'!A2,'School Tables'!$AJ$3:$AJ$208,0))</f>
        <v>549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186629</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242029</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f>19041-1</f>
        <v>19040</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10155</v>
      </c>
      <c r="G13" s="18">
        <v>9264</v>
      </c>
      <c r="H13" s="18">
        <v>18034</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6648</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203432</v>
      </c>
      <c r="G19" s="41">
        <f>SUM(G9:G18)</f>
        <v>9264</v>
      </c>
      <c r="H19" s="41">
        <f>SUM(H9:H18)</f>
        <v>37074</v>
      </c>
      <c r="I19" s="41">
        <f>SUM(I9:I18)</f>
        <v>0</v>
      </c>
      <c r="J19" s="41">
        <f>SUM(J9:J18)</f>
        <v>242029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17998</v>
      </c>
      <c r="G22" s="18">
        <v>1042</v>
      </c>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16054+1230+1</f>
        <v>17285</v>
      </c>
      <c r="G24" s="18">
        <f>8221+1</f>
        <v>8222</v>
      </c>
      <c r="H24" s="18">
        <v>900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f>36174</f>
        <v>36174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35283</v>
      </c>
      <c r="G32" s="41">
        <f>SUM(G22:G31)</f>
        <v>9264</v>
      </c>
      <c r="H32" s="41">
        <f>SUM(H22:H31)</f>
        <v>37074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53216</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242029</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110626+2154167-2169860</f>
        <v>94933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168149</v>
      </c>
      <c r="G51" s="41">
        <f>SUM(G35:G50)</f>
        <v>0</v>
      </c>
      <c r="H51" s="41">
        <f>SUM(H35:H50)</f>
        <v>0</v>
      </c>
      <c r="I51" s="41">
        <f>SUM(I35:I50)</f>
        <v>0</v>
      </c>
      <c r="J51" s="41">
        <f>SUM(J35:J50)</f>
        <v>242029</v>
      </c>
      <c r="K51" s="45" t="s">
        <v>288</v>
      </c>
      <c r="L51" s="45" t="s">
        <v>288</v>
      </c>
      <c r="N51" s="263"/>
    </row>
    <row r="52" spans="1:14" s="3" customFormat="1" ht="12.2" customHeight="1" thickTop="1" x14ac:dyDescent="0.15">
      <c r="A52" s="38" t="s">
        <v>455</v>
      </c>
      <c r="B52" s="39" t="s">
        <v>289</v>
      </c>
      <c r="C52" s="6">
        <v>37</v>
      </c>
      <c r="D52" s="39" t="s">
        <v>653</v>
      </c>
      <c r="E52" s="39"/>
      <c r="F52" s="41">
        <f>F51+F32</f>
        <v>203432</v>
      </c>
      <c r="G52" s="41">
        <f>G51+G32</f>
        <v>9264</v>
      </c>
      <c r="H52" s="41">
        <f>H51+H32</f>
        <v>37074</v>
      </c>
      <c r="I52" s="41">
        <f>I51+I32</f>
        <v>0</v>
      </c>
      <c r="J52" s="41">
        <f>J51+J32</f>
        <v>242029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1196357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1196357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f>313-1</f>
        <v>312</v>
      </c>
      <c r="G96" s="18"/>
      <c r="H96" s="18"/>
      <c r="I96" s="18"/>
      <c r="J96" s="18">
        <v>474</v>
      </c>
      <c r="K96" s="24" t="s">
        <v>288</v>
      </c>
      <c r="L96" s="24" t="s">
        <v>288</v>
      </c>
      <c r="M96" s="8"/>
      <c r="N96" s="265"/>
    </row>
    <row r="97" spans="1:14" s="3" customFormat="1" ht="12.2" customHeight="1" x14ac:dyDescent="0.15">
      <c r="A97" s="1" t="s">
        <v>503</v>
      </c>
      <c r="B97" s="2" t="s">
        <v>315</v>
      </c>
      <c r="C97" s="6">
        <v>12</v>
      </c>
      <c r="D97" s="2" t="s">
        <v>430</v>
      </c>
      <c r="E97" s="6">
        <v>1600</v>
      </c>
      <c r="F97" s="24" t="s">
        <v>288</v>
      </c>
      <c r="G97" s="18">
        <f>300+1</f>
        <v>301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f>37858</f>
        <v>37858</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7831</v>
      </c>
      <c r="G110" s="18"/>
      <c r="H110" s="18">
        <v>649</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8143</v>
      </c>
      <c r="G111" s="41">
        <f>SUM(G96:G110)</f>
        <v>301</v>
      </c>
      <c r="H111" s="41">
        <f>SUM(H96:H110)</f>
        <v>38507</v>
      </c>
      <c r="I111" s="41">
        <f>SUM(I96:I110)</f>
        <v>0</v>
      </c>
      <c r="J111" s="41">
        <f>SUM(J96:J110)</f>
        <v>474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1204500</v>
      </c>
      <c r="G112" s="41">
        <f>G60+G111</f>
        <v>301</v>
      </c>
      <c r="H112" s="41">
        <f>H60+H79+H94+H111</f>
        <v>38507</v>
      </c>
      <c r="I112" s="41">
        <f>I60+I111</f>
        <v>0</v>
      </c>
      <c r="J112" s="41">
        <f>J60+J111</f>
        <v>474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789100</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134031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923131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554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554</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v>4500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923131</v>
      </c>
      <c r="G140" s="41">
        <f>G121+SUM(G136:G137)</f>
        <v>554</v>
      </c>
      <c r="H140" s="41">
        <f>H121+SUM(H136:H139)</f>
        <v>4500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12721</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47673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19817+3296</f>
        <v>23113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3629+20691+29981</f>
        <v>54301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23624+1077+1+5308</f>
        <v>30010</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17951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15318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17951</v>
      </c>
      <c r="G163" s="41">
        <f>SUM(G150:G162)</f>
        <v>54301</v>
      </c>
      <c r="H163" s="41">
        <f>SUM(H150:H162)</f>
        <v>128835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8585</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26536</v>
      </c>
      <c r="G170" s="41">
        <f>G147+G163+SUM(G164:G169)</f>
        <v>54301</v>
      </c>
      <c r="H170" s="41">
        <f>H147+H163+SUM(H164:H169)</f>
        <v>128835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7116</v>
      </c>
      <c r="H180" s="18"/>
      <c r="I180" s="18"/>
      <c r="J180" s="18">
        <v>33277</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7116</v>
      </c>
      <c r="H184" s="41">
        <f>SUM(H180:H183)</f>
        <v>0</v>
      </c>
      <c r="I184" s="41">
        <f>SUM(I180:I183)</f>
        <v>0</v>
      </c>
      <c r="J184" s="41">
        <f>SUM(J180:J183)</f>
        <v>33277</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7116</v>
      </c>
      <c r="H193" s="41">
        <f>+H184+SUM(H189:H192)</f>
        <v>0</v>
      </c>
      <c r="I193" s="41">
        <f>I178+I184+SUM(I189:I192)</f>
        <v>0</v>
      </c>
      <c r="J193" s="41">
        <f>J184</f>
        <v>33277</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2154167</v>
      </c>
      <c r="G194" s="47">
        <f>G112+G140+G170+G193</f>
        <v>62272</v>
      </c>
      <c r="H194" s="47">
        <f>H112+H140+H170+H193</f>
        <v>171842</v>
      </c>
      <c r="I194" s="47">
        <f>I112+I140+I170+I193</f>
        <v>0</v>
      </c>
      <c r="J194" s="47">
        <f>J112+J140+J193</f>
        <v>33751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405298+1</f>
        <v>405299</v>
      </c>
      <c r="G198" s="18">
        <v>213421</v>
      </c>
      <c r="H198" s="18">
        <f>46481+34</f>
        <v>46515</v>
      </c>
      <c r="I198" s="18">
        <v>17712</v>
      </c>
      <c r="J198" s="18">
        <v>466</v>
      </c>
      <c r="K198" s="18">
        <v>375</v>
      </c>
      <c r="L198" s="19">
        <f>SUM(F198:K198)</f>
        <v>683788</v>
      </c>
      <c r="M198" s="8"/>
      <c r="N198" s="265"/>
    </row>
    <row r="199" spans="1:14" s="3" customFormat="1" ht="12.2" customHeight="1" x14ac:dyDescent="0.15">
      <c r="A199" s="1" t="s">
        <v>439</v>
      </c>
      <c r="B199" s="2" t="s">
        <v>341</v>
      </c>
      <c r="C199" s="2" t="s">
        <v>291</v>
      </c>
      <c r="D199" s="2" t="s">
        <v>431</v>
      </c>
      <c r="E199" s="6">
        <v>1200</v>
      </c>
      <c r="F199" s="18">
        <f>114351</f>
        <v>114351</v>
      </c>
      <c r="G199" s="18">
        <f>59395</f>
        <v>59395</v>
      </c>
      <c r="H199" s="18">
        <f>90</f>
        <v>90</v>
      </c>
      <c r="I199" s="18">
        <f>2267</f>
        <v>2267</v>
      </c>
      <c r="J199" s="18"/>
      <c r="K199" s="18"/>
      <c r="L199" s="19">
        <f>SUM(F199:K199)</f>
        <v>176103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3965</v>
      </c>
      <c r="G201" s="18">
        <v>955</v>
      </c>
      <c r="H201" s="18">
        <f>154+974</f>
        <v>1128</v>
      </c>
      <c r="I201" s="18"/>
      <c r="J201" s="18"/>
      <c r="K201" s="18"/>
      <c r="L201" s="19">
        <f>SUM(F201:K201)</f>
        <v>6048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56080</f>
        <v>56080</v>
      </c>
      <c r="G203" s="18">
        <f>33270</f>
        <v>33270</v>
      </c>
      <c r="H203" s="18">
        <f>75359+787</f>
        <v>76146</v>
      </c>
      <c r="I203" s="18">
        <f>3890</f>
        <v>3890</v>
      </c>
      <c r="J203" s="18"/>
      <c r="K203" s="18">
        <f>451</f>
        <v>451</v>
      </c>
      <c r="L203" s="19">
        <f t="shared" ref="L203:L209" si="0">SUM(F203:K203)</f>
        <v>169837</v>
      </c>
      <c r="M203" s="8"/>
      <c r="N203" s="265"/>
    </row>
    <row r="204" spans="1:14" s="3" customFormat="1" ht="12.2" customHeight="1" x14ac:dyDescent="0.15">
      <c r="A204" s="1" t="s">
        <v>443</v>
      </c>
      <c r="B204" s="2" t="s">
        <v>341</v>
      </c>
      <c r="C204" s="2" t="s">
        <v>295</v>
      </c>
      <c r="D204" s="2" t="s">
        <v>431</v>
      </c>
      <c r="E204" s="6">
        <v>2200</v>
      </c>
      <c r="F204" s="18">
        <f>4697</f>
        <v>4697</v>
      </c>
      <c r="G204" s="18">
        <f>6667</f>
        <v>6667</v>
      </c>
      <c r="H204" s="18">
        <f>713</f>
        <v>713</v>
      </c>
      <c r="I204" s="18">
        <v>3336</v>
      </c>
      <c r="J204" s="18">
        <v>11734</v>
      </c>
      <c r="K204" s="18"/>
      <c r="L204" s="19">
        <f t="shared" si="0"/>
        <v>27147</v>
      </c>
      <c r="M204" s="8"/>
      <c r="N204" s="265"/>
    </row>
    <row r="205" spans="1:14" s="3" customFormat="1" ht="12.2" customHeight="1" x14ac:dyDescent="0.15">
      <c r="A205" s="1" t="s">
        <v>444</v>
      </c>
      <c r="B205" s="2" t="s">
        <v>341</v>
      </c>
      <c r="C205" s="2" t="s">
        <v>296</v>
      </c>
      <c r="D205" s="2" t="s">
        <v>431</v>
      </c>
      <c r="E205" s="6">
        <v>2300</v>
      </c>
      <c r="F205" s="18">
        <v>1670</v>
      </c>
      <c r="G205" s="18">
        <v>127</v>
      </c>
      <c r="H205" s="18">
        <f>89812+1925</f>
        <v>91737</v>
      </c>
      <c r="I205" s="18">
        <v>466</v>
      </c>
      <c r="J205" s="18"/>
      <c r="K205" s="18">
        <v>2352</v>
      </c>
      <c r="L205" s="19">
        <f t="shared" si="0"/>
        <v>96352</v>
      </c>
      <c r="M205" s="8"/>
      <c r="N205" s="265"/>
    </row>
    <row r="206" spans="1:14" s="3" customFormat="1" ht="12.2" customHeight="1" x14ac:dyDescent="0.15">
      <c r="A206" s="1" t="s">
        <v>445</v>
      </c>
      <c r="B206" s="2" t="s">
        <v>341</v>
      </c>
      <c r="C206" s="2" t="s">
        <v>297</v>
      </c>
      <c r="D206" s="2" t="s">
        <v>431</v>
      </c>
      <c r="E206" s="6">
        <v>2400</v>
      </c>
      <c r="F206" s="18">
        <v>106097</v>
      </c>
      <c r="G206" s="18">
        <v>58143</v>
      </c>
      <c r="H206" s="18">
        <v>4337</v>
      </c>
      <c r="I206" s="18">
        <v>1102</v>
      </c>
      <c r="J206" s="18"/>
      <c r="K206" s="18">
        <v>71</v>
      </c>
      <c r="L206" s="19">
        <f t="shared" si="0"/>
        <v>169750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40774</v>
      </c>
      <c r="G208" s="18">
        <v>18482</v>
      </c>
      <c r="H208" s="18">
        <f>46258+779</f>
        <v>47037</v>
      </c>
      <c r="I208" s="18">
        <v>42830</v>
      </c>
      <c r="J208" s="18">
        <v>989</v>
      </c>
      <c r="K208" s="18"/>
      <c r="L208" s="19">
        <f t="shared" si="0"/>
        <v>150112</v>
      </c>
      <c r="M208" s="8"/>
      <c r="N208" s="265"/>
    </row>
    <row r="209" spans="1:14" s="3" customFormat="1" ht="12.2" customHeight="1" x14ac:dyDescent="0.15">
      <c r="A209" s="1" t="s">
        <v>448</v>
      </c>
      <c r="B209" s="2" t="s">
        <v>341</v>
      </c>
      <c r="C209" s="2" t="s">
        <v>300</v>
      </c>
      <c r="D209" s="2" t="s">
        <v>431</v>
      </c>
      <c r="E209" s="6">
        <v>2700</v>
      </c>
      <c r="F209" s="18"/>
      <c r="G209" s="18"/>
      <c r="H209" s="18">
        <f>96776</f>
        <v>96776</v>
      </c>
      <c r="I209" s="18"/>
      <c r="J209" s="18"/>
      <c r="K209" s="18"/>
      <c r="L209" s="19">
        <f t="shared" si="0"/>
        <v>96776</v>
      </c>
      <c r="M209" s="8"/>
      <c r="N209" s="265"/>
    </row>
    <row r="210" spans="1:14" s="3" customFormat="1" ht="12.2" customHeight="1" x14ac:dyDescent="0.15">
      <c r="A210" s="1" t="s">
        <v>449</v>
      </c>
      <c r="B210" s="2" t="s">
        <v>341</v>
      </c>
      <c r="C210" s="2" t="s">
        <v>343</v>
      </c>
      <c r="D210" s="2" t="s">
        <v>431</v>
      </c>
      <c r="E210" s="6">
        <v>2800</v>
      </c>
      <c r="F210" s="18"/>
      <c r="G210" s="18"/>
      <c r="H210" s="18">
        <v>7066</v>
      </c>
      <c r="I210" s="18">
        <v>1904</v>
      </c>
      <c r="J210" s="18">
        <v>1367</v>
      </c>
      <c r="K210" s="18"/>
      <c r="L210" s="19">
        <f>SUM(F210:K210)</f>
        <v>10337</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732933</v>
      </c>
      <c r="G212" s="41">
        <f t="shared" si="1"/>
        <v>390460</v>
      </c>
      <c r="H212" s="41">
        <f t="shared" si="1"/>
        <v>371545</v>
      </c>
      <c r="I212" s="41">
        <f t="shared" si="1"/>
        <v>73507</v>
      </c>
      <c r="J212" s="41">
        <f t="shared" si="1"/>
        <v>14556</v>
      </c>
      <c r="K212" s="41">
        <f t="shared" si="1"/>
        <v>3249</v>
      </c>
      <c r="L212" s="41">
        <f t="shared" si="1"/>
        <v>1586250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v>23106</v>
      </c>
      <c r="I217" s="18"/>
      <c r="J217" s="18"/>
      <c r="K217" s="18"/>
      <c r="L217" s="19">
        <f>SUM(F217:K217)</f>
        <v>23106</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23106</v>
      </c>
      <c r="I230" s="41">
        <f>SUM(I216:I229)</f>
        <v>0</v>
      </c>
      <c r="J230" s="41">
        <f>SUM(J216:J229)</f>
        <v>0</v>
      </c>
      <c r="K230" s="41">
        <f t="shared" si="3"/>
        <v>0</v>
      </c>
      <c r="L230" s="41">
        <f t="shared" si="3"/>
        <v>23106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382711</v>
      </c>
      <c r="I234" s="18"/>
      <c r="J234" s="18"/>
      <c r="K234" s="18"/>
      <c r="L234" s="19">
        <f>SUM(F234:K234)</f>
        <v>382711</v>
      </c>
      <c r="M234" s="8"/>
      <c r="N234" s="265"/>
    </row>
    <row r="235" spans="1:14" s="3" customFormat="1" ht="12.2" customHeight="1" x14ac:dyDescent="0.15">
      <c r="A235" s="1" t="s">
        <v>439</v>
      </c>
      <c r="B235" s="2" t="s">
        <v>350</v>
      </c>
      <c r="C235" s="2" t="s">
        <v>291</v>
      </c>
      <c r="D235" s="2" t="s">
        <v>431</v>
      </c>
      <c r="E235" s="6">
        <v>1200</v>
      </c>
      <c r="F235" s="18"/>
      <c r="G235" s="18"/>
      <c r="H235" s="18">
        <f>3335+14520</f>
        <v>17855</v>
      </c>
      <c r="I235" s="18"/>
      <c r="J235" s="18"/>
      <c r="K235" s="18"/>
      <c r="L235" s="19">
        <f>SUM(F235:K235)</f>
        <v>17855</v>
      </c>
      <c r="M235" s="8"/>
      <c r="N235" s="265"/>
    </row>
    <row r="236" spans="1:14" s="3" customFormat="1" ht="12.2" customHeight="1" x14ac:dyDescent="0.15">
      <c r="A236" s="1" t="s">
        <v>440</v>
      </c>
      <c r="B236" s="2" t="s">
        <v>350</v>
      </c>
      <c r="C236" s="2" t="s">
        <v>292</v>
      </c>
      <c r="D236" s="2" t="s">
        <v>431</v>
      </c>
      <c r="E236" s="6">
        <v>1300</v>
      </c>
      <c r="F236" s="18"/>
      <c r="G236" s="18"/>
      <c r="H236" s="18">
        <v>36094</v>
      </c>
      <c r="I236" s="18"/>
      <c r="J236" s="18"/>
      <c r="K236" s="18"/>
      <c r="L236" s="19">
        <f>SUM(F236:K236)</f>
        <v>36094</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676</v>
      </c>
      <c r="I239" s="18"/>
      <c r="J239" s="18"/>
      <c r="K239" s="18"/>
      <c r="L239" s="19">
        <f t="shared" ref="L239:L245" si="4">SUM(F239:K239)</f>
        <v>676</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785</v>
      </c>
      <c r="G241" s="18">
        <v>60</v>
      </c>
      <c r="H241" s="18">
        <f>42264+885</f>
        <v>43149</v>
      </c>
      <c r="I241" s="18">
        <v>19</v>
      </c>
      <c r="J241" s="18"/>
      <c r="K241" s="18">
        <f>1107+1</f>
        <v>1108</v>
      </c>
      <c r="L241" s="19">
        <f t="shared" si="4"/>
        <v>45121</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37654</v>
      </c>
      <c r="I245" s="18"/>
      <c r="J245" s="18"/>
      <c r="K245" s="18"/>
      <c r="L245" s="19">
        <f t="shared" si="4"/>
        <v>37654</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785</v>
      </c>
      <c r="G248" s="41">
        <f t="shared" si="5"/>
        <v>60</v>
      </c>
      <c r="H248" s="41">
        <f t="shared" si="5"/>
        <v>518139</v>
      </c>
      <c r="I248" s="41">
        <f t="shared" si="5"/>
        <v>19</v>
      </c>
      <c r="J248" s="41">
        <f t="shared" si="5"/>
        <v>0</v>
      </c>
      <c r="K248" s="41">
        <f t="shared" si="5"/>
        <v>1108</v>
      </c>
      <c r="L248" s="41">
        <f t="shared" si="5"/>
        <v>520111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733718</v>
      </c>
      <c r="G258" s="41">
        <f t="shared" si="8"/>
        <v>390520</v>
      </c>
      <c r="H258" s="41">
        <f t="shared" si="8"/>
        <v>912790</v>
      </c>
      <c r="I258" s="41">
        <f t="shared" si="8"/>
        <v>73526</v>
      </c>
      <c r="J258" s="41">
        <f t="shared" si="8"/>
        <v>14556</v>
      </c>
      <c r="K258" s="41">
        <f t="shared" si="8"/>
        <v>4357</v>
      </c>
      <c r="L258" s="41">
        <f t="shared" si="8"/>
        <v>2129467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7116</v>
      </c>
      <c r="L264" s="19">
        <f>SUM(F264:K264)</f>
        <v>7116</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33277</v>
      </c>
      <c r="L267" s="19">
        <f t="shared" si="9"/>
        <v>33277</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40393</v>
      </c>
      <c r="L271" s="41">
        <f t="shared" si="9"/>
        <v>40393</v>
      </c>
      <c r="M271" s="8"/>
      <c r="N271" s="265"/>
    </row>
    <row r="272" spans="1:14" s="34" customFormat="1" ht="12.2" customHeight="1" thickTop="1" x14ac:dyDescent="0.2">
      <c r="A272" s="43" t="s">
        <v>464</v>
      </c>
      <c r="B272" s="40">
        <v>10</v>
      </c>
      <c r="C272" s="40">
        <v>18</v>
      </c>
      <c r="D272" s="39" t="s">
        <v>431</v>
      </c>
      <c r="E272" s="40"/>
      <c r="F272" s="42">
        <f t="shared" ref="F272:L272" si="11">F258+F271</f>
        <v>733718</v>
      </c>
      <c r="G272" s="42">
        <f t="shared" si="11"/>
        <v>390520</v>
      </c>
      <c r="H272" s="42">
        <f t="shared" si="11"/>
        <v>912790</v>
      </c>
      <c r="I272" s="42">
        <f t="shared" si="11"/>
        <v>73526</v>
      </c>
      <c r="J272" s="42">
        <f t="shared" si="11"/>
        <v>14556</v>
      </c>
      <c r="K272" s="42">
        <f t="shared" si="11"/>
        <v>44750</v>
      </c>
      <c r="L272" s="42">
        <f t="shared" si="11"/>
        <v>2169860</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29338-3</f>
        <v>29335</v>
      </c>
      <c r="G277" s="18">
        <v>17906</v>
      </c>
      <c r="H277" s="18">
        <v>4500</v>
      </c>
      <c r="I277" s="18">
        <v>2249</v>
      </c>
      <c r="J277" s="18">
        <v>649</v>
      </c>
      <c r="K277" s="18"/>
      <c r="L277" s="19">
        <f>SUM(F277:K277)</f>
        <v>54639</v>
      </c>
      <c r="M277" s="8"/>
      <c r="N277" s="265"/>
    </row>
    <row r="278" spans="1:14" s="3" customFormat="1" ht="12.2" customHeight="1" x14ac:dyDescent="0.15">
      <c r="A278" s="1" t="s">
        <v>439</v>
      </c>
      <c r="B278" s="2" t="s">
        <v>357</v>
      </c>
      <c r="C278" s="2" t="s">
        <v>291</v>
      </c>
      <c r="D278" s="2" t="s">
        <v>431</v>
      </c>
      <c r="E278" s="6">
        <v>1200</v>
      </c>
      <c r="F278" s="18">
        <f>1800+4871</f>
        <v>6671</v>
      </c>
      <c r="G278" s="18">
        <f>516+2922</f>
        <v>3438</v>
      </c>
      <c r="H278" s="18"/>
      <c r="I278" s="18">
        <f>693+112</f>
        <v>805</v>
      </c>
      <c r="J278" s="18">
        <f>2992+670</f>
        <v>3662</v>
      </c>
      <c r="K278" s="18"/>
      <c r="L278" s="19">
        <f>SUM(F278:K278)</f>
        <v>14576</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1840</v>
      </c>
      <c r="G280" s="18">
        <v>507</v>
      </c>
      <c r="H280" s="18"/>
      <c r="I280" s="18">
        <v>4541</v>
      </c>
      <c r="J280" s="18"/>
      <c r="K280" s="18"/>
      <c r="L280" s="19">
        <f>SUM(F280:K280)</f>
        <v>6888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7422+213+628</f>
        <v>8263</v>
      </c>
      <c r="G282" s="18">
        <f>4309+115+338</f>
        <v>4762</v>
      </c>
      <c r="H282" s="18">
        <f>2394</f>
        <v>2394</v>
      </c>
      <c r="I282" s="18">
        <f>257</f>
        <v>257</v>
      </c>
      <c r="J282" s="18"/>
      <c r="K282" s="18"/>
      <c r="L282" s="19">
        <f t="shared" ref="L282:L288" si="12">SUM(F282:K282)</f>
        <v>15676</v>
      </c>
      <c r="M282" s="8"/>
      <c r="N282" s="265"/>
    </row>
    <row r="283" spans="1:14" s="3" customFormat="1" ht="12.2" customHeight="1" x14ac:dyDescent="0.15">
      <c r="A283" s="1" t="s">
        <v>443</v>
      </c>
      <c r="B283" s="2" t="s">
        <v>357</v>
      </c>
      <c r="C283" s="2" t="s">
        <v>295</v>
      </c>
      <c r="D283" s="2" t="s">
        <v>431</v>
      </c>
      <c r="E283" s="6">
        <v>2200</v>
      </c>
      <c r="F283" s="18"/>
      <c r="G283" s="18">
        <f>2049</f>
        <v>2049</v>
      </c>
      <c r="H283" s="18">
        <f>44436+1537+17</f>
        <v>45990</v>
      </c>
      <c r="I283" s="18">
        <v>16770</v>
      </c>
      <c r="J283" s="18"/>
      <c r="K283" s="18"/>
      <c r="L283" s="19">
        <f t="shared" si="12"/>
        <v>64809</v>
      </c>
      <c r="M283" s="8"/>
      <c r="N283" s="265"/>
    </row>
    <row r="284" spans="1:14" s="3" customFormat="1" ht="12.2" customHeight="1" x14ac:dyDescent="0.15">
      <c r="A284" s="1" t="s">
        <v>444</v>
      </c>
      <c r="B284" s="2" t="s">
        <v>357</v>
      </c>
      <c r="C284" s="2" t="s">
        <v>296</v>
      </c>
      <c r="D284" s="2" t="s">
        <v>431</v>
      </c>
      <c r="E284" s="6">
        <v>2300</v>
      </c>
      <c r="F284" s="18">
        <v>1073</v>
      </c>
      <c r="G284" s="18"/>
      <c r="H284" s="18"/>
      <c r="I284" s="18"/>
      <c r="J284" s="18"/>
      <c r="K284" s="18"/>
      <c r="L284" s="19">
        <f t="shared" si="12"/>
        <v>1073</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v>14048</v>
      </c>
      <c r="J287" s="18"/>
      <c r="K287" s="18"/>
      <c r="L287" s="19">
        <f t="shared" si="12"/>
        <v>14048</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v>133</v>
      </c>
      <c r="J289" s="18"/>
      <c r="K289" s="18"/>
      <c r="L289" s="19">
        <f>SUM(F289:K289)</f>
        <v>133</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47182</v>
      </c>
      <c r="G291" s="42">
        <f t="shared" si="13"/>
        <v>28662</v>
      </c>
      <c r="H291" s="42">
        <f t="shared" si="13"/>
        <v>52884</v>
      </c>
      <c r="I291" s="42">
        <f t="shared" si="13"/>
        <v>38803</v>
      </c>
      <c r="J291" s="42">
        <f t="shared" si="13"/>
        <v>4311</v>
      </c>
      <c r="K291" s="42">
        <f t="shared" si="13"/>
        <v>0</v>
      </c>
      <c r="L291" s="41">
        <f t="shared" si="13"/>
        <v>171842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47182</v>
      </c>
      <c r="G339" s="41">
        <f t="shared" si="20"/>
        <v>28662</v>
      </c>
      <c r="H339" s="41">
        <f t="shared" si="20"/>
        <v>52884</v>
      </c>
      <c r="I339" s="41">
        <f t="shared" si="20"/>
        <v>38803</v>
      </c>
      <c r="J339" s="41">
        <f t="shared" si="20"/>
        <v>4311</v>
      </c>
      <c r="K339" s="41">
        <f t="shared" si="20"/>
        <v>0</v>
      </c>
      <c r="L339" s="41">
        <f t="shared" si="20"/>
        <v>171842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47182</v>
      </c>
      <c r="G353" s="41">
        <f>G339</f>
        <v>28662</v>
      </c>
      <c r="H353" s="41">
        <f>H339</f>
        <v>52884</v>
      </c>
      <c r="I353" s="41">
        <f>I339</f>
        <v>38803</v>
      </c>
      <c r="J353" s="41">
        <f>J339</f>
        <v>4311</v>
      </c>
      <c r="K353" s="47">
        <f>K339+K352</f>
        <v>0</v>
      </c>
      <c r="L353" s="41">
        <f>L339+L352</f>
        <v>171842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62251</v>
      </c>
      <c r="I359" s="18">
        <v>21</v>
      </c>
      <c r="J359" s="18"/>
      <c r="K359" s="18"/>
      <c r="L359" s="13">
        <f>SUM(F359:K359)</f>
        <v>62272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62251</v>
      </c>
      <c r="I363" s="47">
        <f t="shared" si="22"/>
        <v>21</v>
      </c>
      <c r="J363" s="47">
        <f t="shared" si="22"/>
        <v>0</v>
      </c>
      <c r="K363" s="47">
        <f t="shared" si="22"/>
        <v>0</v>
      </c>
      <c r="L363" s="47">
        <f t="shared" si="22"/>
        <v>62272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21</v>
      </c>
      <c r="G369" s="63"/>
      <c r="H369" s="63"/>
      <c r="I369" s="56">
        <f>SUM(F369:H369)</f>
        <v>21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21</v>
      </c>
      <c r="G370" s="47">
        <f>SUM(G368:G369)</f>
        <v>0</v>
      </c>
      <c r="H370" s="47">
        <f>SUM(H368:H369)</f>
        <v>0</v>
      </c>
      <c r="I370" s="47">
        <f>SUM(I368:I369)</f>
        <v>21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20000</v>
      </c>
      <c r="H397" s="18">
        <v>176</v>
      </c>
      <c r="I397" s="18"/>
      <c r="J397" s="24" t="s">
        <v>288</v>
      </c>
      <c r="K397" s="24" t="s">
        <v>288</v>
      </c>
      <c r="L397" s="56">
        <f t="shared" si="26"/>
        <v>20176</v>
      </c>
      <c r="M397" s="8"/>
      <c r="N397" s="265"/>
    </row>
    <row r="398" spans="1:14" s="3" customFormat="1" ht="12.2" customHeight="1" x14ac:dyDescent="0.15">
      <c r="A398" s="79" t="s">
        <v>515</v>
      </c>
      <c r="B398" s="2" t="s">
        <v>381</v>
      </c>
      <c r="C398" s="6">
        <v>10</v>
      </c>
      <c r="D398" s="2" t="s">
        <v>432</v>
      </c>
      <c r="E398" s="6"/>
      <c r="F398" s="18"/>
      <c r="G398" s="18">
        <v>8959</v>
      </c>
      <c r="H398" s="18">
        <v>199</v>
      </c>
      <c r="I398" s="18"/>
      <c r="J398" s="24" t="s">
        <v>288</v>
      </c>
      <c r="K398" s="24" t="s">
        <v>288</v>
      </c>
      <c r="L398" s="56">
        <f t="shared" si="26"/>
        <v>9158</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4318</v>
      </c>
      <c r="H400" s="18">
        <v>99</v>
      </c>
      <c r="I400" s="18"/>
      <c r="J400" s="24" t="s">
        <v>288</v>
      </c>
      <c r="K400" s="24" t="s">
        <v>288</v>
      </c>
      <c r="L400" s="56">
        <f t="shared" si="26"/>
        <v>4417</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33277</v>
      </c>
      <c r="H402" s="47">
        <f>SUM(H396:H401)</f>
        <v>474</v>
      </c>
      <c r="I402" s="47">
        <f>SUM(I396:I401)</f>
        <v>0</v>
      </c>
      <c r="J402" s="45" t="s">
        <v>288</v>
      </c>
      <c r="K402" s="45" t="s">
        <v>288</v>
      </c>
      <c r="L402" s="47">
        <f>SUM(L396:L401)</f>
        <v>33751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33277</v>
      </c>
      <c r="H409" s="47">
        <f>H394+H402+H408</f>
        <v>474</v>
      </c>
      <c r="I409" s="47">
        <f>I394+I402+I408</f>
        <v>0</v>
      </c>
      <c r="J409" s="24" t="s">
        <v>288</v>
      </c>
      <c r="K409" s="24" t="s">
        <v>288</v>
      </c>
      <c r="L409" s="47">
        <f>L394+L402+L408</f>
        <v>33751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242029</v>
      </c>
      <c r="H441" s="18"/>
      <c r="I441" s="56">
        <f t="shared" si="33"/>
        <v>242029</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242029</v>
      </c>
      <c r="H447" s="13">
        <f>SUM(H440:H446)</f>
        <v>0</v>
      </c>
      <c r="I447" s="13">
        <f>SUM(I440:I446)</f>
        <v>242029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242029</v>
      </c>
      <c r="H460" s="18"/>
      <c r="I460" s="56">
        <f t="shared" si="34"/>
        <v>242029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242029</v>
      </c>
      <c r="H461" s="83">
        <f>SUM(H455:H460)</f>
        <v>0</v>
      </c>
      <c r="I461" s="83">
        <f>SUM(I455:I460)</f>
        <v>242029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242029</v>
      </c>
      <c r="H462" s="42">
        <f>H453+H461</f>
        <v>0</v>
      </c>
      <c r="I462" s="42">
        <f>I453+I461</f>
        <v>242029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f>110626+20000+53216</f>
        <v>183842</v>
      </c>
      <c r="G466" s="18">
        <v>0</v>
      </c>
      <c r="H466" s="18">
        <v>0</v>
      </c>
      <c r="I466" s="18"/>
      <c r="J466" s="18">
        <v>208278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2154167</v>
      </c>
      <c r="G469" s="18">
        <v>62272</v>
      </c>
      <c r="H469" s="18">
        <f>147140+24702</f>
        <v>171842</v>
      </c>
      <c r="I469" s="18"/>
      <c r="J469" s="18">
        <f>33751</f>
        <v>33751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2154167</v>
      </c>
      <c r="G471" s="53">
        <f>SUM(G469:G470)</f>
        <v>62272</v>
      </c>
      <c r="H471" s="53">
        <f>SUM(H469:H470)</f>
        <v>171842</v>
      </c>
      <c r="I471" s="53">
        <f>SUM(I469:I470)</f>
        <v>0</v>
      </c>
      <c r="J471" s="53">
        <f>SUM(J469:J470)</f>
        <v>33751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2169860</v>
      </c>
      <c r="G473" s="18">
        <v>62272</v>
      </c>
      <c r="H473" s="18">
        <f>24702+147140</f>
        <v>171842</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2169860</v>
      </c>
      <c r="G475" s="53">
        <f>SUM(G473:G474)</f>
        <v>62272</v>
      </c>
      <c r="H475" s="53">
        <f>SUM(H473:H474)</f>
        <v>171842</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168149</v>
      </c>
      <c r="G477" s="53">
        <f>(G466+G471)- G475</f>
        <v>0</v>
      </c>
      <c r="H477" s="53">
        <f>(H466+H471)- H475</f>
        <v>0</v>
      </c>
      <c r="I477" s="53">
        <f>(I466+I471)- I475</f>
        <v>0</v>
      </c>
      <c r="J477" s="53">
        <f>(J466+J471)- J475</f>
        <v>242029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91623</f>
        <v>91623</v>
      </c>
      <c r="G522" s="18">
        <f>40204</f>
        <v>40204</v>
      </c>
      <c r="H522" s="18">
        <f>90</f>
        <v>90</v>
      </c>
      <c r="I522" s="18">
        <f>1764</f>
        <v>1764</v>
      </c>
      <c r="J522" s="18">
        <f>2992</f>
        <v>2992</v>
      </c>
      <c r="K522" s="18"/>
      <c r="L522" s="88">
        <f>SUM(F522:K522)</f>
        <v>136673</v>
      </c>
      <c r="N522" s="264"/>
    </row>
    <row r="523" spans="1:14" s="52" customFormat="1" ht="12.2" customHeight="1" x14ac:dyDescent="0.2">
      <c r="A523" s="22" t="s">
        <v>634</v>
      </c>
      <c r="B523" s="105">
        <v>21</v>
      </c>
      <c r="C523" s="115">
        <v>2</v>
      </c>
      <c r="D523" s="2" t="s">
        <v>432</v>
      </c>
      <c r="E523" s="115"/>
      <c r="F523" s="18"/>
      <c r="G523" s="18"/>
      <c r="H523" s="18">
        <f>23106</f>
        <v>23106</v>
      </c>
      <c r="I523" s="18"/>
      <c r="J523" s="18"/>
      <c r="K523" s="18"/>
      <c r="L523" s="88">
        <f>SUM(F523:K523)</f>
        <v>23106</v>
      </c>
      <c r="N523" s="264"/>
    </row>
    <row r="524" spans="1:14" s="52" customFormat="1" ht="12.2" customHeight="1" thickBot="1" x14ac:dyDescent="0.25">
      <c r="A524" s="22" t="s">
        <v>635</v>
      </c>
      <c r="B524" s="105">
        <v>21</v>
      </c>
      <c r="C524" s="115">
        <v>3</v>
      </c>
      <c r="D524" s="2" t="s">
        <v>432</v>
      </c>
      <c r="E524" s="115"/>
      <c r="F524" s="18"/>
      <c r="G524" s="18"/>
      <c r="H524" s="18">
        <f>3335+14520</f>
        <v>17855</v>
      </c>
      <c r="I524" s="18"/>
      <c r="J524" s="18"/>
      <c r="K524" s="18"/>
      <c r="L524" s="88">
        <f>SUM(F524:K524)</f>
        <v>17855</v>
      </c>
      <c r="N524" s="264"/>
    </row>
    <row r="525" spans="1:14" s="52" customFormat="1" ht="12.2" customHeight="1" thickTop="1" x14ac:dyDescent="0.2">
      <c r="A525" s="139" t="s">
        <v>63</v>
      </c>
      <c r="B525" s="107">
        <v>21</v>
      </c>
      <c r="C525" s="194">
        <v>4</v>
      </c>
      <c r="D525" s="195" t="s">
        <v>432</v>
      </c>
      <c r="E525" s="194"/>
      <c r="F525" s="108">
        <f>SUM(F522:F524)</f>
        <v>91623</v>
      </c>
      <c r="G525" s="108">
        <f t="shared" ref="G525:L525" si="36">SUM(G522:G524)</f>
        <v>40204</v>
      </c>
      <c r="H525" s="108">
        <f t="shared" si="36"/>
        <v>41051</v>
      </c>
      <c r="I525" s="108">
        <f t="shared" si="36"/>
        <v>1764</v>
      </c>
      <c r="J525" s="108">
        <f t="shared" si="36"/>
        <v>2992</v>
      </c>
      <c r="K525" s="108">
        <f t="shared" si="36"/>
        <v>0</v>
      </c>
      <c r="L525" s="89">
        <f t="shared" si="36"/>
        <v>177634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51352</f>
        <v>51352</v>
      </c>
      <c r="I527" s="18"/>
      <c r="J527" s="18"/>
      <c r="K527" s="18"/>
      <c r="L527" s="88">
        <f>SUM(F527:K527)</f>
        <v>51352</v>
      </c>
      <c r="M527" s="8"/>
      <c r="N527" s="265"/>
    </row>
    <row r="528" spans="1:14" s="3" customFormat="1" ht="12.2" customHeight="1" x14ac:dyDescent="0.15">
      <c r="A528" s="22" t="s">
        <v>634</v>
      </c>
      <c r="B528" s="105">
        <v>21</v>
      </c>
      <c r="C528" s="115">
        <v>6</v>
      </c>
      <c r="D528" s="2" t="s">
        <v>432</v>
      </c>
      <c r="E528" s="115"/>
      <c r="F528" s="18"/>
      <c r="G528" s="18"/>
      <c r="H528" s="18">
        <v>0</v>
      </c>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676</v>
      </c>
      <c r="I529" s="18"/>
      <c r="J529" s="18"/>
      <c r="K529" s="18"/>
      <c r="L529" s="88">
        <f>SUM(F529:K529)</f>
        <v>676</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52028</v>
      </c>
      <c r="I530" s="89">
        <f t="shared" si="37"/>
        <v>0</v>
      </c>
      <c r="J530" s="89">
        <f t="shared" si="37"/>
        <v>0</v>
      </c>
      <c r="K530" s="89">
        <f t="shared" si="37"/>
        <v>0</v>
      </c>
      <c r="L530" s="89">
        <f t="shared" si="37"/>
        <v>52028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18143</v>
      </c>
      <c r="I532" s="18"/>
      <c r="J532" s="18"/>
      <c r="K532" s="18"/>
      <c r="L532" s="88">
        <f>SUM(F532:K532)</f>
        <v>18143</v>
      </c>
      <c r="M532" s="8"/>
      <c r="N532" s="265"/>
    </row>
    <row r="533" spans="1:14" s="3" customFormat="1" ht="12.2" customHeight="1" x14ac:dyDescent="0.15">
      <c r="A533" s="22" t="s">
        <v>634</v>
      </c>
      <c r="B533" s="105">
        <v>21</v>
      </c>
      <c r="C533" s="105">
        <v>10</v>
      </c>
      <c r="D533" s="2" t="s">
        <v>432</v>
      </c>
      <c r="E533" s="105"/>
      <c r="F533" s="18"/>
      <c r="G533" s="18"/>
      <c r="H533" s="18">
        <v>0</v>
      </c>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8538</v>
      </c>
      <c r="I534" s="18"/>
      <c r="J534" s="18"/>
      <c r="K534" s="18"/>
      <c r="L534" s="88">
        <f>SUM(F534:K534)</f>
        <v>8538</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26681</v>
      </c>
      <c r="I535" s="89">
        <f t="shared" si="38"/>
        <v>0</v>
      </c>
      <c r="J535" s="89">
        <f t="shared" si="38"/>
        <v>0</v>
      </c>
      <c r="K535" s="89">
        <f t="shared" si="38"/>
        <v>0</v>
      </c>
      <c r="L535" s="89">
        <f t="shared" si="38"/>
        <v>26681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898</v>
      </c>
      <c r="I542" s="18"/>
      <c r="J542" s="18"/>
      <c r="K542" s="18"/>
      <c r="L542" s="88">
        <f>SUM(F542:K542)</f>
        <v>898</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898</v>
      </c>
      <c r="I545" s="192">
        <f t="shared" si="40"/>
        <v>0</v>
      </c>
      <c r="J545" s="192">
        <f t="shared" si="40"/>
        <v>0</v>
      </c>
      <c r="K545" s="192">
        <f t="shared" si="40"/>
        <v>0</v>
      </c>
      <c r="L545" s="192">
        <f t="shared" si="40"/>
        <v>898</v>
      </c>
      <c r="M545" s="8"/>
      <c r="N545" s="265"/>
    </row>
    <row r="546" spans="1:14" s="3" customFormat="1" ht="12.2" customHeight="1" thickTop="1" x14ac:dyDescent="0.15">
      <c r="A546" s="98" t="s">
        <v>72</v>
      </c>
      <c r="B546" s="107">
        <v>21</v>
      </c>
      <c r="C546" s="107">
        <v>21</v>
      </c>
      <c r="D546" s="158" t="s">
        <v>432</v>
      </c>
      <c r="E546" s="107"/>
      <c r="F546" s="89">
        <f>F525+F530+F535+F540+F545</f>
        <v>91623</v>
      </c>
      <c r="G546" s="89">
        <f t="shared" ref="G546:L546" si="41">G525+G530+G535+G540+G545</f>
        <v>40204</v>
      </c>
      <c r="H546" s="89">
        <f t="shared" si="41"/>
        <v>120658</v>
      </c>
      <c r="I546" s="89">
        <f t="shared" si="41"/>
        <v>1764</v>
      </c>
      <c r="J546" s="89">
        <f t="shared" si="41"/>
        <v>2992</v>
      </c>
      <c r="K546" s="89">
        <f t="shared" si="41"/>
        <v>0</v>
      </c>
      <c r="L546" s="89">
        <f t="shared" si="41"/>
        <v>257241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136673</v>
      </c>
      <c r="G550" s="87">
        <f>L527</f>
        <v>51352</v>
      </c>
      <c r="H550" s="87">
        <f>L532</f>
        <v>18143</v>
      </c>
      <c r="I550" s="87">
        <f>L537</f>
        <v>0</v>
      </c>
      <c r="J550" s="87">
        <f>L542</f>
        <v>898</v>
      </c>
      <c r="K550" s="87">
        <f>SUM(F550:J550)</f>
        <v>207066</v>
      </c>
      <c r="L550" s="24" t="s">
        <v>288</v>
      </c>
      <c r="M550" s="8"/>
      <c r="N550" s="265"/>
    </row>
    <row r="551" spans="1:14" s="3" customFormat="1" ht="12.2" customHeight="1" x14ac:dyDescent="0.15">
      <c r="A551" s="22" t="s">
        <v>634</v>
      </c>
      <c r="B551" s="75">
        <v>21</v>
      </c>
      <c r="C551" s="75">
        <v>23</v>
      </c>
      <c r="D551" s="2" t="s">
        <v>432</v>
      </c>
      <c r="E551" s="75"/>
      <c r="F551" s="87">
        <f>L523</f>
        <v>23106</v>
      </c>
      <c r="G551" s="87">
        <f>L528</f>
        <v>0</v>
      </c>
      <c r="H551" s="87">
        <f>L533</f>
        <v>0</v>
      </c>
      <c r="I551" s="87">
        <f>L538</f>
        <v>0</v>
      </c>
      <c r="J551" s="87">
        <f>L543</f>
        <v>0</v>
      </c>
      <c r="K551" s="87">
        <f>SUM(F551:J551)</f>
        <v>23106</v>
      </c>
      <c r="L551" s="24" t="s">
        <v>288</v>
      </c>
      <c r="M551" s="8"/>
      <c r="N551" s="265"/>
    </row>
    <row r="552" spans="1:14" s="3" customFormat="1" ht="12.2" customHeight="1" thickBot="1" x14ac:dyDescent="0.2">
      <c r="A552" s="22" t="s">
        <v>635</v>
      </c>
      <c r="B552" s="75">
        <v>21</v>
      </c>
      <c r="C552" s="75">
        <v>24</v>
      </c>
      <c r="D552" s="2" t="s">
        <v>432</v>
      </c>
      <c r="E552" s="75"/>
      <c r="F552" s="87">
        <f>L524</f>
        <v>17855</v>
      </c>
      <c r="G552" s="87">
        <f>L529</f>
        <v>676</v>
      </c>
      <c r="H552" s="87">
        <f>L534</f>
        <v>8538</v>
      </c>
      <c r="I552" s="87">
        <f>L539</f>
        <v>0</v>
      </c>
      <c r="J552" s="87">
        <f>L544</f>
        <v>0</v>
      </c>
      <c r="K552" s="87">
        <f>SUM(F552:J552)</f>
        <v>27069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177634</v>
      </c>
      <c r="G553" s="89">
        <f t="shared" si="42"/>
        <v>52028</v>
      </c>
      <c r="H553" s="89">
        <f t="shared" si="42"/>
        <v>26681</v>
      </c>
      <c r="I553" s="89">
        <f t="shared" si="42"/>
        <v>0</v>
      </c>
      <c r="J553" s="89">
        <f t="shared" si="42"/>
        <v>898</v>
      </c>
      <c r="K553" s="89">
        <f t="shared" si="42"/>
        <v>257241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351661</v>
      </c>
      <c r="I576" s="87">
        <f>SUM(F576:H576)</f>
        <v>351661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31050</v>
      </c>
      <c r="I577" s="87">
        <f t="shared" ref="I577:I588" si="47">SUM(F577:H577)</f>
        <v>31050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2967</v>
      </c>
      <c r="I581" s="87">
        <f t="shared" si="47"/>
        <v>2967</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23106</v>
      </c>
      <c r="H583" s="18">
        <v>11553</v>
      </c>
      <c r="I583" s="87">
        <f t="shared" si="47"/>
        <v>34659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36094</v>
      </c>
      <c r="I586" s="87">
        <f t="shared" si="47"/>
        <v>36094</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94302</v>
      </c>
      <c r="I592" s="18"/>
      <c r="J592" s="18">
        <v>34163</v>
      </c>
      <c r="K592" s="104">
        <f t="shared" ref="K592:K598" si="48">SUM(H592:J592)</f>
        <v>128465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898</v>
      </c>
      <c r="I593" s="18"/>
      <c r="J593" s="18"/>
      <c r="K593" s="104">
        <f t="shared" si="48"/>
        <v>898</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3491</v>
      </c>
      <c r="K594" s="104">
        <f t="shared" si="48"/>
        <v>3491</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1576</v>
      </c>
      <c r="I596" s="18"/>
      <c r="J596" s="18"/>
      <c r="K596" s="104">
        <f t="shared" si="48"/>
        <v>1576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96776</v>
      </c>
      <c r="I599" s="108">
        <f>SUM(I592:I598)</f>
        <v>0</v>
      </c>
      <c r="J599" s="108">
        <f>SUM(J592:J598)</f>
        <v>37654</v>
      </c>
      <c r="K599" s="108">
        <f>SUM(K592:K598)</f>
        <v>134430</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18197+670</f>
        <v>18867</v>
      </c>
      <c r="I605" s="18"/>
      <c r="J605" s="18"/>
      <c r="K605" s="104">
        <f>SUM(H605:J605)</f>
        <v>18867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18867</v>
      </c>
      <c r="I606" s="108">
        <f>SUM(I603:I605)</f>
        <v>0</v>
      </c>
      <c r="J606" s="108">
        <f>SUM(J603:J605)</f>
        <v>0</v>
      </c>
      <c r="K606" s="108">
        <f>SUM(K603:K605)</f>
        <v>18867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3505</v>
      </c>
      <c r="G612" s="18">
        <v>954</v>
      </c>
      <c r="H612" s="18">
        <v>974</v>
      </c>
      <c r="I612" s="18">
        <v>949</v>
      </c>
      <c r="J612" s="18"/>
      <c r="K612" s="18"/>
      <c r="L612" s="88">
        <f>SUM(F612:K612)</f>
        <v>6382</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3505</v>
      </c>
      <c r="G615" s="108">
        <f t="shared" si="49"/>
        <v>954</v>
      </c>
      <c r="H615" s="108">
        <f t="shared" si="49"/>
        <v>974</v>
      </c>
      <c r="I615" s="108">
        <f t="shared" si="49"/>
        <v>949</v>
      </c>
      <c r="J615" s="108">
        <f t="shared" si="49"/>
        <v>0</v>
      </c>
      <c r="K615" s="108">
        <f t="shared" si="49"/>
        <v>0</v>
      </c>
      <c r="L615" s="89">
        <f t="shared" si="49"/>
        <v>6382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203432</v>
      </c>
      <c r="H618" s="109">
        <f>SUM(F52)</f>
        <v>203432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9264</v>
      </c>
      <c r="H619" s="109">
        <f>SUM(G52)</f>
        <v>9264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37074</v>
      </c>
      <c r="H620" s="109">
        <f>SUM(H52)</f>
        <v>37074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242029</v>
      </c>
      <c r="H622" s="109">
        <f>SUM(J52)</f>
        <v>242029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168149</v>
      </c>
      <c r="H623" s="109">
        <f>F477</f>
        <v>168149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242029</v>
      </c>
      <c r="H627" s="109">
        <f>J477</f>
        <v>242029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2154167</v>
      </c>
      <c r="H628" s="104">
        <f>SUM(F469)</f>
        <v>2154167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62272</v>
      </c>
      <c r="H629" s="104">
        <f>SUM(G469)</f>
        <v>62272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171842</v>
      </c>
      <c r="H630" s="104">
        <f>SUM(H469)</f>
        <v>171842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33751</v>
      </c>
      <c r="H632" s="104">
        <f>SUM(J469)</f>
        <v>33751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2169860</v>
      </c>
      <c r="H633" s="104">
        <f>SUM(F473)</f>
        <v>2169860</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171842</v>
      </c>
      <c r="H634" s="104">
        <f>SUM(H473)</f>
        <v>171842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21</v>
      </c>
      <c r="H635" s="104">
        <f>I370</f>
        <v>21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62272</v>
      </c>
      <c r="H636" s="104">
        <f>SUM(G473)</f>
        <v>62272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33751</v>
      </c>
      <c r="H638" s="164">
        <f>SUM(J469)</f>
        <v>33751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242029</v>
      </c>
      <c r="H641" s="104">
        <f>SUM(G462)</f>
        <v>242029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242029</v>
      </c>
      <c r="H643" s="104">
        <f>SUM(I462)</f>
        <v>242029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474</v>
      </c>
      <c r="H645" s="104">
        <f>H409</f>
        <v>474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33277</v>
      </c>
      <c r="H646" s="104">
        <f>G409</f>
        <v>33277</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33751</v>
      </c>
      <c r="H647" s="104">
        <f>L409</f>
        <v>33751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134430</v>
      </c>
      <c r="H648" s="104">
        <f>L209+L227+L245</f>
        <v>134430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18867</v>
      </c>
      <c r="H649" s="104">
        <f>(J258+J339)-(J256+J337)</f>
        <v>18867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96776</v>
      </c>
      <c r="H650" s="104">
        <f>H599</f>
        <v>96776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37654</v>
      </c>
      <c r="H652" s="104">
        <f>J599</f>
        <v>37654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7116</v>
      </c>
      <c r="H653" s="104">
        <f>K264+K346</f>
        <v>7116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33277</v>
      </c>
      <c r="H656" s="104">
        <f>K267+K348</f>
        <v>33277</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1820364</v>
      </c>
      <c r="G661" s="19">
        <f>(L230+L310+L360)</f>
        <v>23106</v>
      </c>
      <c r="H661" s="19">
        <f>(L248+L329+L361)</f>
        <v>520111</v>
      </c>
      <c r="I661" s="19">
        <f>SUM(F661:H661)</f>
        <v>2363581</v>
      </c>
      <c r="J661" s="13"/>
      <c r="K661" s="13"/>
      <c r="L661" s="13"/>
      <c r="M661" s="9"/>
    </row>
    <row r="662" spans="1:13" s="3" customFormat="1" ht="12.2" customHeight="1" x14ac:dyDescent="0.2">
      <c r="A662" s="1" t="s">
        <v>127</v>
      </c>
      <c r="F662" s="19">
        <f>(L359/IF(SUM(L359:L361)=0,1,SUM(L359:L361))*(SUM(G97:G110)))</f>
        <v>301</v>
      </c>
      <c r="G662" s="19">
        <f>(L360/IF(SUM(L359:L361)=0,1,SUM(L359:L361))*(SUM(G97:G110)))</f>
        <v>0</v>
      </c>
      <c r="H662" s="19">
        <f>(L361/IF(SUM(L359:L361)=0,1,SUM(L359:L361))*(SUM(G97:G110)))</f>
        <v>0</v>
      </c>
      <c r="I662" s="19">
        <f>SUM(F662:H662)</f>
        <v>301</v>
      </c>
      <c r="J662"/>
      <c r="K662" s="13"/>
      <c r="L662" s="13"/>
      <c r="M662" s="8"/>
    </row>
    <row r="663" spans="1:13" s="3" customFormat="1" ht="12.2" customHeight="1" x14ac:dyDescent="0.2">
      <c r="A663" s="1" t="s">
        <v>128</v>
      </c>
      <c r="F663" s="19">
        <f>(L209+L288)-(J209+J288)</f>
        <v>96776</v>
      </c>
      <c r="G663" s="19">
        <f>(L227+L307)-(J227+J307)</f>
        <v>0</v>
      </c>
      <c r="H663" s="19">
        <f>(L245+L326)-(J245+J326)</f>
        <v>37654</v>
      </c>
      <c r="I663" s="19">
        <f>SUM(F663:H663)</f>
        <v>134430</v>
      </c>
      <c r="J663"/>
      <c r="K663" s="13"/>
      <c r="L663" s="13"/>
      <c r="M663" s="9"/>
    </row>
    <row r="664" spans="1:13" s="3" customFormat="1" ht="12.2" customHeight="1" x14ac:dyDescent="0.15">
      <c r="A664" s="197" t="s">
        <v>129</v>
      </c>
      <c r="B664" s="169"/>
      <c r="C664" s="169"/>
      <c r="D664" s="169"/>
      <c r="E664" s="169"/>
      <c r="F664" s="198">
        <f>SUM(F576:F588)+SUM(H603:H605)+SUM(L612)</f>
        <v>25249</v>
      </c>
      <c r="G664" s="198">
        <f>SUM(G576:G588)+SUM(I603:I605)+L613</f>
        <v>23106</v>
      </c>
      <c r="H664" s="198">
        <f>SUM(H576:H588)+SUM(J603:J605)+L614</f>
        <v>433325</v>
      </c>
      <c r="I664" s="19">
        <f>SUM(F664:H664)</f>
        <v>481680</v>
      </c>
      <c r="J664" s="13"/>
      <c r="K664" s="13"/>
      <c r="L664" s="13"/>
      <c r="M664" s="9"/>
    </row>
    <row r="665" spans="1:13" s="3" customFormat="1" ht="12.2" customHeight="1" x14ac:dyDescent="0.15">
      <c r="A665" s="1" t="s">
        <v>130</v>
      </c>
      <c r="F665" s="19">
        <f>F661-SUM(F662:F664)</f>
        <v>1698038</v>
      </c>
      <c r="G665" s="19">
        <f>G661-SUM(G662:G664)</f>
        <v>0</v>
      </c>
      <c r="H665" s="19">
        <f>H661-SUM(H662:H664)</f>
        <v>49132</v>
      </c>
      <c r="I665" s="19">
        <f>I661-SUM(I662:I664)</f>
        <v>1747170</v>
      </c>
      <c r="J665" s="13"/>
      <c r="K665" s="13"/>
      <c r="L665" s="13"/>
      <c r="M665" s="8"/>
    </row>
    <row r="666" spans="1:13" s="3" customFormat="1" ht="12.2" customHeight="1" x14ac:dyDescent="0.2">
      <c r="A666" s="1" t="s">
        <v>131</v>
      </c>
      <c r="F666" s="245">
        <v>62.98</v>
      </c>
      <c r="G666" s="246"/>
      <c r="H666" s="246"/>
      <c r="I666" s="19">
        <f>SUM(F666:H666)</f>
        <v>62.98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26961.54</v>
      </c>
      <c r="G668" s="19" t="e">
        <f>ROUND(G665/G666,2)</f>
        <v>#DIV/0!</v>
      </c>
      <c r="H668" s="19" t="e">
        <f>ROUND(H665/H666,2)</f>
        <v>#DIV/0!</v>
      </c>
      <c r="I668" s="19">
        <f>ROUND(I665/I666,2)</f>
        <v>27741.66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-49132</v>
      </c>
      <c r="I670" s="19">
        <f>SUM(F670:H670)</f>
        <v>-49132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26961.54</v>
      </c>
      <c r="G673" s="19" t="e">
        <f>ROUND((G665+G670)/(G666+G671),2)</f>
        <v>#DIV/0!</v>
      </c>
      <c r="H673" s="19" t="e">
        <f>ROUND((H665+H670)/(H666+H671),2)</f>
        <v>#DIV/0!</v>
      </c>
      <c r="I673" s="19">
        <f>ROUND((I665+I670)/(I666+I671),2)</f>
        <v>26961.54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7" sqref="C7"/>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23113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19817</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3296</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12721</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Warren</v>
      </c>
      <c r="C5" s="375"/>
      <c r="D5" s="375"/>
      <c r="E5" s="375"/>
      <c r="F5" s="375"/>
    </row>
    <row r="8" spans="1:9" ht="18" x14ac:dyDescent="0.25">
      <c r="A8" s="312" t="s">
        <v>1568</v>
      </c>
      <c r="F8" s="319" t="s">
        <v>1586</v>
      </c>
    </row>
    <row r="9" spans="1:9" ht="15" x14ac:dyDescent="0.2">
      <c r="A9" s="310" t="s">
        <v>1569</v>
      </c>
      <c r="B9" s="313">
        <f>'DOE25'!G97</f>
        <v>301</v>
      </c>
      <c r="F9" s="310" t="s">
        <v>1582</v>
      </c>
    </row>
    <row r="10" spans="1:9" ht="15" x14ac:dyDescent="0.2">
      <c r="A10" s="310" t="s">
        <v>1570</v>
      </c>
      <c r="B10" s="313">
        <f>'DOE25'!G112-'DOE25'!G97</f>
        <v>0</v>
      </c>
      <c r="F10" s="310" t="s">
        <v>1583</v>
      </c>
    </row>
    <row r="11" spans="1:9" ht="15" x14ac:dyDescent="0.2">
      <c r="A11" s="310" t="s">
        <v>1571</v>
      </c>
      <c r="B11" s="313">
        <f>'DOE25'!G140</f>
        <v>554</v>
      </c>
      <c r="F11" s="310" t="s">
        <v>1584</v>
      </c>
    </row>
    <row r="12" spans="1:9" ht="15" x14ac:dyDescent="0.2">
      <c r="A12" s="310" t="s">
        <v>1572</v>
      </c>
      <c r="B12" s="313">
        <f>'DOE25'!G170</f>
        <v>54301</v>
      </c>
      <c r="F12" s="310" t="s">
        <v>1585</v>
      </c>
    </row>
    <row r="13" spans="1:9" ht="15" x14ac:dyDescent="0.2">
      <c r="A13" s="310" t="s">
        <v>1573</v>
      </c>
      <c r="B13" s="313">
        <f>'DOE25'!G193-'DOE25'!G180</f>
        <v>0</v>
      </c>
      <c r="F13" s="310" t="s">
        <v>1595</v>
      </c>
    </row>
    <row r="14" spans="1:9" ht="18" x14ac:dyDescent="0.25">
      <c r="A14" s="312" t="s">
        <v>732</v>
      </c>
      <c r="B14" s="314">
        <f>SUM(B9:B13)</f>
        <v>55156</v>
      </c>
    </row>
    <row r="16" spans="1:9" ht="18" x14ac:dyDescent="0.25">
      <c r="A16" s="312" t="s">
        <v>786</v>
      </c>
      <c r="F16" s="319" t="s">
        <v>1587</v>
      </c>
    </row>
    <row r="17" spans="1:6" ht="15" x14ac:dyDescent="0.2">
      <c r="A17" s="310" t="s">
        <v>1574</v>
      </c>
      <c r="B17" s="313">
        <f>'DOE25'!L363-'DOE25'!L362</f>
        <v>62272</v>
      </c>
      <c r="F17" s="310" t="s">
        <v>1588</v>
      </c>
    </row>
    <row r="18" spans="1:6" ht="15" x14ac:dyDescent="0.2">
      <c r="A18" s="310" t="s">
        <v>1575</v>
      </c>
      <c r="B18" s="323">
        <v>0</v>
      </c>
      <c r="F18" s="319" t="s">
        <v>1612</v>
      </c>
    </row>
    <row r="19" spans="1:6" ht="18" x14ac:dyDescent="0.25">
      <c r="A19" s="312" t="s">
        <v>725</v>
      </c>
      <c r="B19" s="314">
        <f>SUM(B17:B18)</f>
        <v>62272</v>
      </c>
    </row>
    <row r="21" spans="1:6" ht="18.75" thickBot="1" x14ac:dyDescent="0.3">
      <c r="A21" s="312" t="s">
        <v>1576</v>
      </c>
    </row>
    <row r="22" spans="1:6" ht="18.75" thickTop="1" x14ac:dyDescent="0.25">
      <c r="A22" s="312" t="s">
        <v>1577</v>
      </c>
      <c r="B22" s="318">
        <f>B14-B19</f>
        <v>-7116</v>
      </c>
      <c r="F22" s="310" t="s">
        <v>1589</v>
      </c>
    </row>
    <row r="26" spans="1:6" ht="18" x14ac:dyDescent="0.25">
      <c r="A26" s="312" t="s">
        <v>186</v>
      </c>
    </row>
    <row r="27" spans="1:6" ht="15" x14ac:dyDescent="0.2">
      <c r="A27" s="310" t="s">
        <v>1578</v>
      </c>
      <c r="B27" s="313">
        <f>'DOE25'!G180</f>
        <v>7116</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3372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3" zoomScale="130" zoomScaleNormal="130" workbookViewId="0">
      <selection activeCell="A31" sqref="A3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Warren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434634</v>
      </c>
      <c r="C9" s="228">
        <f>'DOE25'!G198+'DOE25'!G216+'DOE25'!G234+'DOE25'!G277+'DOE25'!G296+'DOE25'!G315</f>
        <v>231327</v>
      </c>
    </row>
    <row r="10" spans="1:3" x14ac:dyDescent="0.2">
      <c r="A10" t="s">
        <v>775</v>
      </c>
      <c r="B10" s="239">
        <v>424187</v>
      </c>
      <c r="C10" s="239">
        <v>230528</v>
      </c>
    </row>
    <row r="11" spans="1:3" x14ac:dyDescent="0.2">
      <c r="A11" t="s">
        <v>776</v>
      </c>
      <c r="B11" s="239">
        <v>224</v>
      </c>
      <c r="C11" s="239">
        <v>17</v>
      </c>
    </row>
    <row r="12" spans="1:3" x14ac:dyDescent="0.2">
      <c r="A12" t="s">
        <v>777</v>
      </c>
      <c r="B12" s="239">
        <f>7087+3136</f>
        <v>10223</v>
      </c>
      <c r="C12" s="239">
        <v>782</v>
      </c>
    </row>
    <row r="13" spans="1:3" x14ac:dyDescent="0.2">
      <c r="A13" t="str">
        <f>IF(B9=B13,IF(C9=C13,"Check Total OK","Check Total Error"),"Check Total Error")</f>
        <v>Check Total OK</v>
      </c>
      <c r="B13" s="230">
        <f>SUM(B10:B12)</f>
        <v>434634</v>
      </c>
      <c r="C13" s="230">
        <f>SUM(C10:C12)</f>
        <v>231327</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121022</v>
      </c>
      <c r="C18" s="228">
        <f>'DOE25'!G199+'DOE25'!G217+'DOE25'!G235+'DOE25'!G278+'DOE25'!G297+'DOE25'!G316</f>
        <v>62833</v>
      </c>
    </row>
    <row r="19" spans="1:3" x14ac:dyDescent="0.2">
      <c r="A19" t="s">
        <v>775</v>
      </c>
      <c r="B19" s="239">
        <f>73983+1</f>
        <v>73984</v>
      </c>
      <c r="C19" s="239">
        <v>37638</v>
      </c>
    </row>
    <row r="20" spans="1:3" x14ac:dyDescent="0.2">
      <c r="A20" t="s">
        <v>776</v>
      </c>
      <c r="B20" s="239">
        <f>40267+4871</f>
        <v>45138</v>
      </c>
      <c r="C20" s="239">
        <f>22128+2922</f>
        <v>25050</v>
      </c>
    </row>
    <row r="21" spans="1:3" x14ac:dyDescent="0.2">
      <c r="A21" t="s">
        <v>777</v>
      </c>
      <c r="B21" s="239">
        <f>1800+100</f>
        <v>1900</v>
      </c>
      <c r="C21" s="239">
        <v>145</v>
      </c>
    </row>
    <row r="22" spans="1:3" x14ac:dyDescent="0.2">
      <c r="A22" t="str">
        <f>IF(B18=B22,IF(C18=C22,"Check Total OK","Check Total Error"),"Check Total Error")</f>
        <v>Check Total OK</v>
      </c>
      <c r="B22" s="230">
        <f>SUM(B19:B21)</f>
        <v>121022</v>
      </c>
      <c r="C22" s="230">
        <f>SUM(C19:C21)</f>
        <v>62833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5805</v>
      </c>
      <c r="C36" s="234">
        <f>'DOE25'!G201+'DOE25'!G219+'DOE25'!G237+'DOE25'!G280+'DOE25'!G299+'DOE25'!G318</f>
        <v>1462</v>
      </c>
    </row>
    <row r="37" spans="1:3" x14ac:dyDescent="0.2">
      <c r="A37" t="s">
        <v>775</v>
      </c>
      <c r="B37" s="239">
        <v>5072</v>
      </c>
      <c r="C37" s="239">
        <v>1303</v>
      </c>
    </row>
    <row r="38" spans="1:3" x14ac:dyDescent="0.2">
      <c r="A38" t="s">
        <v>776</v>
      </c>
      <c r="B38" s="239">
        <v>733</v>
      </c>
      <c r="C38" s="239">
        <v>159</v>
      </c>
    </row>
    <row r="39" spans="1:3" x14ac:dyDescent="0.2">
      <c r="A39" t="s">
        <v>777</v>
      </c>
      <c r="B39" s="239"/>
      <c r="C39" s="239"/>
    </row>
    <row r="40" spans="1:3" x14ac:dyDescent="0.2">
      <c r="A40" t="str">
        <f>IF(B36=B40,IF(C36=C40,"Check Total OK","Check Total Error"),"Check Total Error")</f>
        <v>Check Total OK</v>
      </c>
      <c r="B40" s="230">
        <f>SUM(B37:B39)</f>
        <v>5805</v>
      </c>
      <c r="C40" s="230">
        <f>SUM(C37:C39)</f>
        <v>1462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20" zoomScaleNormal="120" workbookViewId="0">
      <pane ySplit="4" topLeftCell="A14" activePane="bottomLeft" state="frozen"/>
      <selection activeCell="F46" sqref="F46"/>
      <selection pane="bottomLeft" activeCell="D25" sqref="D2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Warren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1325705</v>
      </c>
      <c r="D5" s="20">
        <f>SUM('DOE25'!L198:L201)+SUM('DOE25'!L216:L219)+SUM('DOE25'!L234:L237)-F5-G5-H5</f>
        <v>1324864</v>
      </c>
      <c r="E5" s="242"/>
      <c r="F5" s="243"/>
      <c r="G5" s="53">
        <f>SUM('DOE25'!J198:J201)+SUM('DOE25'!J216:J219)+SUM('DOE25'!J234:J237)</f>
        <v>466</v>
      </c>
      <c r="H5" s="53">
        <f>SUM('DOE25'!K198:K201)+SUM('DOE25'!K216:K219)+SUM('DOE25'!K234:K237)</f>
        <v>375</v>
      </c>
      <c r="I5" s="255"/>
    </row>
    <row r="6" spans="1:9" x14ac:dyDescent="0.2">
      <c r="A6" s="32">
        <v>2100</v>
      </c>
      <c r="B6" t="s">
        <v>796</v>
      </c>
      <c r="C6" s="274">
        <f t="shared" si="0"/>
        <v>170513</v>
      </c>
      <c r="D6" s="20">
        <f>'DOE25'!L203+'DOE25'!L221+'DOE25'!L239-F6-G6-H6</f>
        <v>170062</v>
      </c>
      <c r="E6" s="242"/>
      <c r="F6" s="243"/>
      <c r="G6" s="53">
        <f>'DOE25'!J203+'DOE25'!J221+'DOE25'!J239</f>
        <v>0</v>
      </c>
      <c r="H6" s="53">
        <f>'DOE25'!K203+'DOE25'!K221+'DOE25'!K239</f>
        <v>451</v>
      </c>
      <c r="I6" s="255"/>
    </row>
    <row r="7" spans="1:9" x14ac:dyDescent="0.2">
      <c r="A7" s="32">
        <v>2200</v>
      </c>
      <c r="B7" t="s">
        <v>821</v>
      </c>
      <c r="C7" s="274">
        <f t="shared" si="0"/>
        <v>27147</v>
      </c>
      <c r="D7" s="20">
        <f>'DOE25'!L204+'DOE25'!L222+'DOE25'!L240-F7-G7-H7</f>
        <v>15413</v>
      </c>
      <c r="E7" s="242"/>
      <c r="F7" s="243"/>
      <c r="G7" s="53">
        <f>'DOE25'!J204+'DOE25'!J222+'DOE25'!J240</f>
        <v>11734</v>
      </c>
      <c r="H7" s="53">
        <f>'DOE25'!K204+'DOE25'!K222+'DOE25'!K240</f>
        <v>0</v>
      </c>
      <c r="I7" s="255"/>
    </row>
    <row r="8" spans="1:9" x14ac:dyDescent="0.2">
      <c r="A8" s="32">
        <v>2300</v>
      </c>
      <c r="B8" t="s">
        <v>797</v>
      </c>
      <c r="C8" s="274">
        <f t="shared" si="0"/>
        <v>108883</v>
      </c>
      <c r="D8" s="242"/>
      <c r="E8" s="20">
        <f>'DOE25'!L205+'DOE25'!L223+'DOE25'!L241-F8-G8-H8-D9-D11</f>
        <v>105423</v>
      </c>
      <c r="F8" s="243"/>
      <c r="G8" s="53">
        <f>'DOE25'!J205+'DOE25'!J223+'DOE25'!J241</f>
        <v>0</v>
      </c>
      <c r="H8" s="53">
        <f>'DOE25'!K205+'DOE25'!K223+'DOE25'!K241</f>
        <v>3460</v>
      </c>
      <c r="I8" s="255"/>
    </row>
    <row r="9" spans="1:9" ht="14.25" x14ac:dyDescent="0.2">
      <c r="A9" s="32">
        <v>2310</v>
      </c>
      <c r="B9" s="184" t="s">
        <v>888</v>
      </c>
      <c r="C9" s="274">
        <f t="shared" si="0"/>
        <v>4643</v>
      </c>
      <c r="D9" s="243">
        <v>4643</v>
      </c>
      <c r="E9" s="242"/>
      <c r="F9" s="252"/>
      <c r="G9" s="252"/>
      <c r="H9" s="252"/>
      <c r="I9" s="255"/>
    </row>
    <row r="10" spans="1:9" ht="14.25" x14ac:dyDescent="0.2">
      <c r="A10" s="32">
        <v>2317</v>
      </c>
      <c r="B10" s="184" t="s">
        <v>889</v>
      </c>
      <c r="C10" s="274">
        <f t="shared" si="0"/>
        <v>8100</v>
      </c>
      <c r="D10" s="242"/>
      <c r="E10" s="243">
        <v>8100</v>
      </c>
      <c r="F10" s="252"/>
      <c r="G10" s="252"/>
      <c r="H10" s="252"/>
      <c r="I10" s="255"/>
    </row>
    <row r="11" spans="1:9" ht="14.25" x14ac:dyDescent="0.2">
      <c r="A11" s="32">
        <v>2321</v>
      </c>
      <c r="B11" s="184" t="s">
        <v>890</v>
      </c>
      <c r="C11" s="274">
        <f t="shared" si="0"/>
        <v>27947</v>
      </c>
      <c r="D11" s="243">
        <v>27947</v>
      </c>
      <c r="E11" s="242"/>
      <c r="F11" s="252"/>
      <c r="G11" s="252"/>
      <c r="H11" s="252"/>
      <c r="I11" s="255"/>
    </row>
    <row r="12" spans="1:9" x14ac:dyDescent="0.2">
      <c r="A12" s="32">
        <v>2400</v>
      </c>
      <c r="B12" t="s">
        <v>711</v>
      </c>
      <c r="C12" s="274">
        <f t="shared" si="0"/>
        <v>169750</v>
      </c>
      <c r="D12" s="20">
        <f>'DOE25'!L206+'DOE25'!L224+'DOE25'!L242-F12-G12-H12</f>
        <v>169679</v>
      </c>
      <c r="E12" s="242"/>
      <c r="F12" s="243"/>
      <c r="G12" s="53">
        <f>'DOE25'!J206+'DOE25'!J224+'DOE25'!J242</f>
        <v>0</v>
      </c>
      <c r="H12" s="53">
        <f>'DOE25'!K206+'DOE25'!K224+'DOE25'!K242</f>
        <v>71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150112</v>
      </c>
      <c r="D14" s="20">
        <f>'DOE25'!L208+'DOE25'!L226+'DOE25'!L244-F14-G14-H14</f>
        <v>149123</v>
      </c>
      <c r="E14" s="242"/>
      <c r="F14" s="243"/>
      <c r="G14" s="53">
        <f>'DOE25'!J208+'DOE25'!J226+'DOE25'!J244</f>
        <v>989</v>
      </c>
      <c r="H14" s="53">
        <f>'DOE25'!K208+'DOE25'!K226+'DOE25'!K244</f>
        <v>0</v>
      </c>
      <c r="I14" s="255"/>
    </row>
    <row r="15" spans="1:9" x14ac:dyDescent="0.2">
      <c r="A15" s="32">
        <v>2700</v>
      </c>
      <c r="B15" t="s">
        <v>799</v>
      </c>
      <c r="C15" s="274">
        <f t="shared" si="0"/>
        <v>134430</v>
      </c>
      <c r="D15" s="20">
        <f>'DOE25'!L209+'DOE25'!L227+'DOE25'!L245-F15-G15-H15</f>
        <v>53941</v>
      </c>
      <c r="E15" s="242"/>
      <c r="F15" s="243">
        <f>34163-25000+96326-25000</f>
        <v>80489</v>
      </c>
      <c r="G15" s="53">
        <f>'DOE25'!J209+'DOE25'!J227+'DOE25'!J245</f>
        <v>0</v>
      </c>
      <c r="H15" s="53">
        <f>'DOE25'!K209+'DOE25'!K227+'DOE25'!K245</f>
        <v>0</v>
      </c>
      <c r="I15" s="255"/>
    </row>
    <row r="16" spans="1:9" x14ac:dyDescent="0.2">
      <c r="A16" s="32">
        <v>2800</v>
      </c>
      <c r="B16" t="s">
        <v>800</v>
      </c>
      <c r="C16" s="274">
        <f t="shared" si="0"/>
        <v>10337</v>
      </c>
      <c r="D16" s="242"/>
      <c r="E16" s="20">
        <f>'DOE25'!L210+'DOE25'!L228+'DOE25'!L246-F16-G16-H16</f>
        <v>8970</v>
      </c>
      <c r="F16" s="243"/>
      <c r="G16" s="53">
        <f>'DOE25'!J210+'DOE25'!J228+'DOE25'!J246</f>
        <v>1367</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62272</v>
      </c>
      <c r="D29" s="282">
        <f>'DOE25'!L359+'DOE25'!L360+'DOE25'!L361-'DOE25'!I368-F29-G29-H29</f>
        <v>24265</v>
      </c>
      <c r="E29" s="242"/>
      <c r="F29" s="243">
        <f>54557+8450-25000</f>
        <v>38007</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171842</v>
      </c>
      <c r="D31" s="20">
        <f>'DOE25'!L291+'DOE25'!L310+'DOE25'!L329+'DOE25'!L334+'DOE25'!L335+'DOE25'!L336-F31-G31-H31</f>
        <v>167531</v>
      </c>
      <c r="E31" s="242"/>
      <c r="F31" s="243"/>
      <c r="G31" s="53">
        <f>'DOE25'!J291+'DOE25'!J310+'DOE25'!J329+'DOE25'!J334+'DOE25'!J335+'DOE25'!J336</f>
        <v>4311</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2107468</v>
      </c>
      <c r="E33" s="244">
        <f t="shared" si="1"/>
        <v>122493</v>
      </c>
      <c r="F33" s="244">
        <f t="shared" si="1"/>
        <v>118496</v>
      </c>
      <c r="G33" s="244">
        <f t="shared" si="1"/>
        <v>18867</v>
      </c>
      <c r="H33" s="244">
        <f t="shared" si="1"/>
        <v>4357</v>
      </c>
      <c r="I33" s="244">
        <f t="shared" si="1"/>
        <v>0</v>
      </c>
    </row>
    <row r="35" spans="1:9" ht="12" thickBot="1" x14ac:dyDescent="0.25">
      <c r="B35" s="250" t="s">
        <v>831</v>
      </c>
      <c r="D35" s="251">
        <f>E33</f>
        <v>122493</v>
      </c>
      <c r="E35" s="247"/>
      <c r="F35" s="328" t="s">
        <v>1617</v>
      </c>
      <c r="G35" s="329"/>
      <c r="H35" s="329"/>
      <c r="I35" s="329"/>
    </row>
    <row r="36" spans="1:9" ht="12" thickTop="1" x14ac:dyDescent="0.2">
      <c r="B36" t="s">
        <v>810</v>
      </c>
      <c r="D36" s="20">
        <f>D33</f>
        <v>2107468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5" sqref="E3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Warren</v>
      </c>
      <c r="B2" s="126">
        <f>'DOE25'!B2</f>
        <v>549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1758092</v>
      </c>
      <c r="G4" s="299">
        <f>'DOE25'!L212+'DOE25'!L291</f>
        <v>1758092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Warren Village School</v>
      </c>
      <c r="B6" s="300">
        <f>IFERROR(VLOOKUP(A6,'School Tables'!$C$3:$D$365,2,FALSE),"")</f>
        <v>20900</v>
      </c>
      <c r="C6" s="293" t="str">
        <f>IFERROR(INDEX('School Tables'!$B$3:$B$365,MATCH('School Level Expenditures'!B6,'School Tables'!$D$3:$D$365,0)),"")</f>
        <v>Warren</v>
      </c>
      <c r="D6" s="290">
        <v>1586250</v>
      </c>
      <c r="E6" s="290">
        <v>171842</v>
      </c>
      <c r="F6" s="303">
        <f t="shared" ref="F6:F20" si="0">D6+E6</f>
        <v>1758092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1586250</v>
      </c>
      <c r="E21" s="338">
        <f>SUM(E5:E20)</f>
        <v>171842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23106</v>
      </c>
      <c r="G24" s="299">
        <f>'DOE25'!L230+'DOE25'!L310</f>
        <v>23106</v>
      </c>
      <c r="H24" s="340">
        <f>F24-G24</f>
        <v>0</v>
      </c>
      <c r="I24" s="383" t="str">
        <f>IF(H24=0,"","ISSUES!! Please review page 8 and 12 totals in comparison with total on this page")</f>
        <v/>
      </c>
      <c r="N24"/>
    </row>
    <row r="25" spans="1:14" x14ac:dyDescent="0.2">
      <c r="A25" s="126" t="s">
        <v>1548</v>
      </c>
      <c r="B25" s="300">
        <v>99999</v>
      </c>
      <c r="C25" s="293" t="s">
        <v>1548</v>
      </c>
      <c r="D25" s="290">
        <v>23106</v>
      </c>
      <c r="E25" s="290">
        <v>0</v>
      </c>
      <c r="F25" s="303">
        <f>D25+E25</f>
        <v>23106</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23106</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520111</v>
      </c>
      <c r="G36" s="299">
        <f>'DOE25'!L248+'DOE25'!L329</f>
        <v>520111</v>
      </c>
      <c r="H36" s="340">
        <f>F36-G36</f>
        <v>0</v>
      </c>
      <c r="I36" s="383" t="str">
        <f>IF(H36=0,"","ISSUES!! Please review page 9 and 13 totals in comparison with total on this page")</f>
        <v/>
      </c>
      <c r="N36"/>
    </row>
    <row r="37" spans="1:14" x14ac:dyDescent="0.2">
      <c r="A37" s="126" t="s">
        <v>1548</v>
      </c>
      <c r="B37" s="300">
        <v>99999</v>
      </c>
      <c r="C37" s="293" t="s">
        <v>1548</v>
      </c>
      <c r="D37" s="290">
        <v>520111</v>
      </c>
      <c r="E37" s="290">
        <v>0</v>
      </c>
      <c r="F37" s="303">
        <f t="shared" ref="F37:F42" si="2">D37+E37</f>
        <v>520111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520111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37" zoomScale="80" zoomScaleNormal="80" workbookViewId="0">
      <selection activeCell="F37" sqref="F3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Warren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186629</v>
      </c>
      <c r="D8" s="95">
        <f>'DOE25'!G9</f>
        <v>0</v>
      </c>
      <c r="E8" s="95">
        <f>'DOE25'!H9</f>
        <v>0</v>
      </c>
      <c r="F8" s="95">
        <f>'DOE25'!I9</f>
        <v>0</v>
      </c>
      <c r="G8" s="95">
        <f>'DOE25'!J9</f>
        <v>0</v>
      </c>
      <c r="H8" s="124">
        <f>SUM(C8:G8)</f>
        <v>186629</v>
      </c>
      <c r="I8" s="124"/>
    </row>
    <row r="9" spans="1:9" x14ac:dyDescent="0.2">
      <c r="A9" s="1" t="s">
        <v>140</v>
      </c>
      <c r="B9" s="6">
        <v>110</v>
      </c>
      <c r="C9" s="95">
        <f>'DOE25'!F10</f>
        <v>0</v>
      </c>
      <c r="D9" s="95">
        <f>'DOE25'!G10</f>
        <v>0</v>
      </c>
      <c r="E9" s="95">
        <f>'DOE25'!H10</f>
        <v>0</v>
      </c>
      <c r="F9" s="95">
        <f>'DOE25'!I10</f>
        <v>0</v>
      </c>
      <c r="G9" s="95">
        <f>'DOE25'!J10</f>
        <v>242029</v>
      </c>
      <c r="H9" s="124">
        <f t="shared" ref="H9:H18" si="0">SUM(C9:G9)</f>
        <v>242029</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19040</v>
      </c>
      <c r="F11" s="95">
        <f>'DOE25'!I12</f>
        <v>0</v>
      </c>
      <c r="G11" s="95">
        <f>'DOE25'!J12</f>
        <v>0</v>
      </c>
      <c r="H11" s="124">
        <f t="shared" si="0"/>
        <v>19040</v>
      </c>
      <c r="I11" s="124"/>
    </row>
    <row r="12" spans="1:9" x14ac:dyDescent="0.2">
      <c r="A12" s="1" t="s">
        <v>143</v>
      </c>
      <c r="B12" s="6">
        <v>140</v>
      </c>
      <c r="C12" s="95">
        <f>'DOE25'!F13</f>
        <v>10155</v>
      </c>
      <c r="D12" s="95">
        <f>'DOE25'!G13</f>
        <v>9264</v>
      </c>
      <c r="E12" s="95">
        <f>'DOE25'!H13</f>
        <v>18034</v>
      </c>
      <c r="F12" s="95">
        <f>'DOE25'!I13</f>
        <v>0</v>
      </c>
      <c r="G12" s="95">
        <f>'DOE25'!J13</f>
        <v>0</v>
      </c>
      <c r="H12" s="124">
        <f t="shared" si="0"/>
        <v>37453</v>
      </c>
      <c r="I12" s="124"/>
    </row>
    <row r="13" spans="1:9" x14ac:dyDescent="0.2">
      <c r="A13" s="1" t="s">
        <v>144</v>
      </c>
      <c r="B13" s="6">
        <v>150</v>
      </c>
      <c r="C13" s="95">
        <f>'DOE25'!F14</f>
        <v>6648</v>
      </c>
      <c r="D13" s="95">
        <f>'DOE25'!G14</f>
        <v>0</v>
      </c>
      <c r="E13" s="95">
        <f>'DOE25'!H14</f>
        <v>0</v>
      </c>
      <c r="F13" s="95">
        <f>'DOE25'!I14</f>
        <v>0</v>
      </c>
      <c r="G13" s="95">
        <f>'DOE25'!J14</f>
        <v>0</v>
      </c>
      <c r="H13" s="124">
        <f t="shared" si="0"/>
        <v>6648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203432</v>
      </c>
      <c r="D18" s="41">
        <f>SUM(D8:D17)</f>
        <v>9264</v>
      </c>
      <c r="E18" s="41">
        <f>SUM(E8:E17)</f>
        <v>37074</v>
      </c>
      <c r="F18" s="41">
        <f>SUM(F8:F17)</f>
        <v>0</v>
      </c>
      <c r="G18" s="41">
        <f>SUM(G8:G17)</f>
        <v>242029</v>
      </c>
      <c r="H18" s="41">
        <f t="shared" si="0"/>
        <v>491799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17998</v>
      </c>
      <c r="D21" s="95">
        <f>'DOE25'!G22</f>
        <v>1042</v>
      </c>
      <c r="E21" s="95">
        <f>'DOE25'!H22</f>
        <v>0</v>
      </c>
      <c r="F21" s="95">
        <f>'DOE25'!I22</f>
        <v>0</v>
      </c>
      <c r="G21" s="95">
        <f>'DOE25'!J22</f>
        <v>0</v>
      </c>
      <c r="H21" s="124">
        <f t="shared" ref="H21:H31" si="1">SUM(C21:G21)</f>
        <v>19040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17285</v>
      </c>
      <c r="D23" s="95">
        <f>'DOE25'!G24</f>
        <v>8222</v>
      </c>
      <c r="E23" s="95">
        <f>'DOE25'!H24</f>
        <v>900</v>
      </c>
      <c r="F23" s="95">
        <f>'DOE25'!I24</f>
        <v>0</v>
      </c>
      <c r="G23" s="95">
        <f>'DOE25'!J24</f>
        <v>0</v>
      </c>
      <c r="H23" s="124">
        <f t="shared" si="1"/>
        <v>26407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36174</v>
      </c>
      <c r="F29" s="95">
        <f>'DOE25'!I30</f>
        <v>0</v>
      </c>
      <c r="G29" s="24" t="s">
        <v>288</v>
      </c>
      <c r="H29" s="124">
        <f t="shared" si="1"/>
        <v>36174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35283</v>
      </c>
      <c r="D31" s="41">
        <f>SUM(D21:D30)</f>
        <v>9264</v>
      </c>
      <c r="E31" s="41">
        <f>SUM(E21:E30)</f>
        <v>37074</v>
      </c>
      <c r="F31" s="41">
        <f>SUM(F21:F30)</f>
        <v>0</v>
      </c>
      <c r="G31" s="41">
        <f>SUM(G21:G30)</f>
        <v>0</v>
      </c>
      <c r="H31" s="41">
        <f t="shared" si="1"/>
        <v>81621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20000</v>
      </c>
      <c r="D43" s="95">
        <f>'DOE25'!G44</f>
        <v>0</v>
      </c>
      <c r="E43" s="95">
        <f>'DOE25'!H44</f>
        <v>0</v>
      </c>
      <c r="F43" s="95">
        <f>'DOE25'!I44</f>
        <v>0</v>
      </c>
      <c r="G43" s="24" t="s">
        <v>288</v>
      </c>
      <c r="H43" s="124">
        <f t="shared" si="2"/>
        <v>20000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53216</v>
      </c>
      <c r="D45" s="24" t="s">
        <v>288</v>
      </c>
      <c r="E45" s="24" t="s">
        <v>288</v>
      </c>
      <c r="F45" s="24" t="s">
        <v>288</v>
      </c>
      <c r="G45" s="24" t="s">
        <v>288</v>
      </c>
      <c r="H45" s="124">
        <f t="shared" si="2"/>
        <v>53216</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242029</v>
      </c>
      <c r="H47" s="124">
        <f t="shared" si="2"/>
        <v>242029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94933</v>
      </c>
      <c r="D49" s="24" t="s">
        <v>288</v>
      </c>
      <c r="E49" s="24" t="s">
        <v>288</v>
      </c>
      <c r="F49" s="24" t="s">
        <v>288</v>
      </c>
      <c r="G49" s="24" t="s">
        <v>288</v>
      </c>
      <c r="H49" s="124">
        <f t="shared" si="2"/>
        <v>94933</v>
      </c>
      <c r="I49" s="124"/>
    </row>
    <row r="50" spans="1:9" ht="12.75" thickTop="1" thickBot="1" x14ac:dyDescent="0.25">
      <c r="A50" s="38" t="s">
        <v>884</v>
      </c>
      <c r="B50" s="48"/>
      <c r="C50" s="41">
        <f>SUM(C34:C49)</f>
        <v>168149</v>
      </c>
      <c r="D50" s="41">
        <f>SUM(D34:D49)</f>
        <v>0</v>
      </c>
      <c r="E50" s="41">
        <f>SUM(E34:E49)</f>
        <v>0</v>
      </c>
      <c r="F50" s="41">
        <f>SUM(F34:F49)</f>
        <v>0</v>
      </c>
      <c r="G50" s="41">
        <f>SUM(G34:G49)</f>
        <v>242029</v>
      </c>
      <c r="H50" s="41">
        <f t="shared" si="2"/>
        <v>410178</v>
      </c>
      <c r="I50" s="124"/>
    </row>
    <row r="51" spans="1:9" ht="12" thickTop="1" x14ac:dyDescent="0.2">
      <c r="A51" s="38" t="s">
        <v>885</v>
      </c>
      <c r="B51" s="2"/>
      <c r="C51" s="41">
        <f>C50+C31</f>
        <v>203432</v>
      </c>
      <c r="D51" s="41">
        <f>D50+D31</f>
        <v>9264</v>
      </c>
      <c r="E51" s="41">
        <f>E50+E31</f>
        <v>37074</v>
      </c>
      <c r="F51" s="41">
        <f>F50+F31</f>
        <v>0</v>
      </c>
      <c r="G51" s="41">
        <f>G50+G31</f>
        <v>242029</v>
      </c>
      <c r="H51" s="41">
        <f t="shared" si="2"/>
        <v>491799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1196357</v>
      </c>
      <c r="D56" s="95">
        <f>'DOE25'!G60</f>
        <v>0</v>
      </c>
      <c r="E56" s="95">
        <f>'DOE25'!H60</f>
        <v>0</v>
      </c>
      <c r="F56" s="95">
        <f>'DOE25'!I60</f>
        <v>0</v>
      </c>
      <c r="G56" s="95">
        <f>'DOE25'!J60</f>
        <v>0</v>
      </c>
      <c r="H56" s="124">
        <f t="shared" ref="H56:H63" si="3">SUM(C56:G56)</f>
        <v>1196357</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312</v>
      </c>
      <c r="D59" s="95">
        <f>'DOE25'!G96</f>
        <v>0</v>
      </c>
      <c r="E59" s="95">
        <f>'DOE25'!H96</f>
        <v>0</v>
      </c>
      <c r="F59" s="95">
        <f>'DOE25'!I96</f>
        <v>0</v>
      </c>
      <c r="G59" s="95">
        <f>'DOE25'!J96</f>
        <v>474</v>
      </c>
      <c r="H59" s="124">
        <f t="shared" si="3"/>
        <v>786</v>
      </c>
      <c r="I59"/>
    </row>
    <row r="60" spans="1:9" x14ac:dyDescent="0.2">
      <c r="A60" s="1" t="s">
        <v>170</v>
      </c>
      <c r="B60" s="118" t="s">
        <v>171</v>
      </c>
      <c r="C60" s="24" t="s">
        <v>288</v>
      </c>
      <c r="D60" s="95">
        <f>'DOE25'!G97</f>
        <v>301</v>
      </c>
      <c r="E60" s="24" t="s">
        <v>288</v>
      </c>
      <c r="F60" s="24" t="s">
        <v>288</v>
      </c>
      <c r="G60" s="24" t="s">
        <v>288</v>
      </c>
      <c r="H60" s="124">
        <f t="shared" si="3"/>
        <v>301</v>
      </c>
      <c r="I60"/>
    </row>
    <row r="61" spans="1:9" ht="12" thickBot="1" x14ac:dyDescent="0.25">
      <c r="A61" s="1" t="s">
        <v>172</v>
      </c>
      <c r="B61" s="118" t="s">
        <v>173</v>
      </c>
      <c r="C61" s="95">
        <f>SUM('DOE25'!F98:F110)</f>
        <v>7831</v>
      </c>
      <c r="D61" s="95">
        <f>SUM('DOE25'!G98:G110)</f>
        <v>0</v>
      </c>
      <c r="E61" s="95">
        <f>SUM('DOE25'!H98:H110)</f>
        <v>38507</v>
      </c>
      <c r="F61" s="95">
        <f>SUM('DOE25'!I98:I110)</f>
        <v>0</v>
      </c>
      <c r="G61" s="95">
        <f>SUM('DOE25'!J98:J110)</f>
        <v>0</v>
      </c>
      <c r="H61" s="124">
        <f t="shared" si="3"/>
        <v>46338</v>
      </c>
      <c r="I61"/>
    </row>
    <row r="62" spans="1:9" ht="12.75" thickTop="1" thickBot="1" x14ac:dyDescent="0.25">
      <c r="A62" s="29" t="s">
        <v>174</v>
      </c>
      <c r="B62" s="6"/>
      <c r="C62" s="130">
        <f>SUM(C57:C61)</f>
        <v>8143</v>
      </c>
      <c r="D62" s="130">
        <f>SUM(D57:D61)</f>
        <v>301</v>
      </c>
      <c r="E62" s="130">
        <f>SUM(E57:E61)</f>
        <v>38507</v>
      </c>
      <c r="F62" s="130">
        <f>SUM(F57:F61)</f>
        <v>0</v>
      </c>
      <c r="G62" s="130">
        <f>SUM(G57:G61)</f>
        <v>474</v>
      </c>
      <c r="H62" s="124">
        <f t="shared" si="3"/>
        <v>47425</v>
      </c>
      <c r="I62"/>
    </row>
    <row r="63" spans="1:9" ht="12" thickTop="1" x14ac:dyDescent="0.2">
      <c r="A63" s="29" t="s">
        <v>175</v>
      </c>
      <c r="B63" s="6"/>
      <c r="C63" s="22">
        <f>C56+C62</f>
        <v>1204500</v>
      </c>
      <c r="D63" s="22">
        <f>D56+D62</f>
        <v>301</v>
      </c>
      <c r="E63" s="22">
        <f>E56+E62</f>
        <v>38507</v>
      </c>
      <c r="F63" s="22">
        <f>F56+F62</f>
        <v>0</v>
      </c>
      <c r="G63" s="22">
        <f>G56+G62</f>
        <v>474</v>
      </c>
      <c r="H63" s="124">
        <f t="shared" si="3"/>
        <v>1243782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789100</v>
      </c>
      <c r="D66" s="24" t="s">
        <v>288</v>
      </c>
      <c r="E66" s="24" t="s">
        <v>288</v>
      </c>
      <c r="F66" s="24" t="s">
        <v>288</v>
      </c>
      <c r="G66" s="24" t="s">
        <v>288</v>
      </c>
      <c r="H66" s="124">
        <f t="shared" ref="H66:H81" si="4">SUM(C66:G66)</f>
        <v>789100</v>
      </c>
      <c r="I66"/>
    </row>
    <row r="67" spans="1:9" x14ac:dyDescent="0.2">
      <c r="A67" s="1" t="s">
        <v>770</v>
      </c>
      <c r="B67" s="6">
        <v>3112</v>
      </c>
      <c r="C67" s="95">
        <f>'DOE25'!F118</f>
        <v>134031</v>
      </c>
      <c r="D67" s="24"/>
      <c r="E67" s="24"/>
      <c r="F67" s="24"/>
      <c r="G67" s="24"/>
      <c r="H67" s="124">
        <f t="shared" si="4"/>
        <v>134031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923131</v>
      </c>
      <c r="D70" s="139">
        <f>D69</f>
        <v>0</v>
      </c>
      <c r="E70" s="139">
        <f>E69</f>
        <v>0</v>
      </c>
      <c r="F70" s="139">
        <f>F69</f>
        <v>0</v>
      </c>
      <c r="G70" s="139">
        <f>G69</f>
        <v>0</v>
      </c>
      <c r="H70" s="124">
        <f t="shared" si="4"/>
        <v>923131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554</v>
      </c>
      <c r="E77" s="95">
        <f>SUM('DOE25'!H131:H135)</f>
        <v>0</v>
      </c>
      <c r="F77" s="95">
        <f>SUM('DOE25'!I131:I135)</f>
        <v>0</v>
      </c>
      <c r="G77" s="95">
        <f>SUM('DOE25'!J131:J135)</f>
        <v>0</v>
      </c>
      <c r="H77" s="124">
        <f t="shared" si="4"/>
        <v>554</v>
      </c>
      <c r="I77"/>
    </row>
    <row r="78" spans="1:9" ht="12.75" thickTop="1" thickBot="1" x14ac:dyDescent="0.25">
      <c r="A78" s="29" t="s">
        <v>259</v>
      </c>
      <c r="B78" s="6"/>
      <c r="C78" s="130">
        <f>SUM(C72:C77)</f>
        <v>0</v>
      </c>
      <c r="D78" s="130">
        <f>SUM(D72:D77)</f>
        <v>554</v>
      </c>
      <c r="E78" s="130">
        <f>SUM(E72:E77)</f>
        <v>0</v>
      </c>
      <c r="F78" s="130">
        <f>SUM(F72:F77)</f>
        <v>0</v>
      </c>
      <c r="G78" s="130">
        <f>SUM(G72:G77)</f>
        <v>0</v>
      </c>
      <c r="H78" s="124">
        <f t="shared" si="4"/>
        <v>554</v>
      </c>
      <c r="I78"/>
    </row>
    <row r="79" spans="1:9" ht="12" thickTop="1" x14ac:dyDescent="0.2">
      <c r="A79" s="1" t="s">
        <v>260</v>
      </c>
      <c r="B79" s="6">
        <v>3700</v>
      </c>
      <c r="C79" s="95">
        <f>'DOE25'!F137</f>
        <v>0</v>
      </c>
      <c r="D79" s="95">
        <f>'DOE25'!G137</f>
        <v>0</v>
      </c>
      <c r="E79" s="95">
        <f>'DOE25'!H137</f>
        <v>4500</v>
      </c>
      <c r="F79" s="24" t="s">
        <v>288</v>
      </c>
      <c r="G79" s="24" t="s">
        <v>288</v>
      </c>
      <c r="H79" s="124">
        <f t="shared" si="4"/>
        <v>4500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923131</v>
      </c>
      <c r="D81" s="130">
        <f>SUM(D79:D80)+D78+D70</f>
        <v>554</v>
      </c>
      <c r="E81" s="130">
        <f>SUM(E79:E80)+E78+E70</f>
        <v>4500</v>
      </c>
      <c r="F81" s="130">
        <f>SUM(F79:F80)+F78+F70</f>
        <v>0</v>
      </c>
      <c r="G81" s="130">
        <f>SUM(G79:G80)+G78+G70</f>
        <v>0</v>
      </c>
      <c r="H81" s="130">
        <f t="shared" si="4"/>
        <v>928185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12721</v>
      </c>
      <c r="F87" s="95">
        <f>SUM('DOE25'!I149:I152)</f>
        <v>0</v>
      </c>
      <c r="G87" s="24" t="s">
        <v>288</v>
      </c>
      <c r="H87" s="124">
        <f t="shared" si="5"/>
        <v>12721</v>
      </c>
    </row>
    <row r="88" spans="1:9" x14ac:dyDescent="0.2">
      <c r="A88" s="287" t="s">
        <v>747</v>
      </c>
      <c r="B88" s="325" t="s">
        <v>184</v>
      </c>
      <c r="C88" s="326">
        <f>SUM('DOE25'!F153:F162)</f>
        <v>17951</v>
      </c>
      <c r="D88" s="326">
        <f>SUM('DOE25'!G153:G162)</f>
        <v>54301</v>
      </c>
      <c r="E88" s="326">
        <f>SUM('DOE25'!H153:H162)</f>
        <v>116114</v>
      </c>
      <c r="F88" s="326">
        <f>SUM('DOE25'!I153:I162)</f>
        <v>0</v>
      </c>
      <c r="G88" s="24" t="s">
        <v>288</v>
      </c>
      <c r="H88" s="124">
        <f t="shared" si="5"/>
        <v>188366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8585</v>
      </c>
      <c r="D90" s="24" t="s">
        <v>288</v>
      </c>
      <c r="E90" s="24" t="s">
        <v>288</v>
      </c>
      <c r="F90" s="24" t="s">
        <v>288</v>
      </c>
      <c r="G90" s="24" t="s">
        <v>288</v>
      </c>
      <c r="H90" s="124">
        <f t="shared" si="5"/>
        <v>8585</v>
      </c>
    </row>
    <row r="91" spans="1:9" ht="12.75" thickTop="1" thickBot="1" x14ac:dyDescent="0.25">
      <c r="A91" s="33" t="s">
        <v>750</v>
      </c>
      <c r="C91" s="131">
        <f>SUM(C85:C90)</f>
        <v>26536</v>
      </c>
      <c r="D91" s="131">
        <f>SUM(D85:D90)</f>
        <v>54301</v>
      </c>
      <c r="E91" s="131">
        <f>SUM(E85:E90)</f>
        <v>128835</v>
      </c>
      <c r="F91" s="131">
        <f>SUM(F85:F90)</f>
        <v>0</v>
      </c>
      <c r="G91" s="24" t="s">
        <v>288</v>
      </c>
      <c r="H91" s="124">
        <f t="shared" si="5"/>
        <v>209672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7116</v>
      </c>
      <c r="E96" s="95">
        <f>'DOE25'!H180</f>
        <v>0</v>
      </c>
      <c r="F96" s="95">
        <f>'DOE25'!I180</f>
        <v>0</v>
      </c>
      <c r="G96" s="95">
        <f>'DOE25'!J180</f>
        <v>33277</v>
      </c>
      <c r="H96" s="124">
        <f t="shared" si="5"/>
        <v>40393</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7116</v>
      </c>
      <c r="E103" s="86">
        <f>SUM(E93:E102)</f>
        <v>0</v>
      </c>
      <c r="F103" s="86">
        <f>SUM(F93:F102)</f>
        <v>0</v>
      </c>
      <c r="G103" s="86">
        <f>SUM(G93:G102)</f>
        <v>33277</v>
      </c>
      <c r="H103" s="86">
        <f t="shared" si="5"/>
        <v>40393</v>
      </c>
    </row>
    <row r="104" spans="1:8" ht="12.75" thickTop="1" thickBot="1" x14ac:dyDescent="0.25">
      <c r="A104" s="33" t="s">
        <v>761</v>
      </c>
      <c r="C104" s="86">
        <f>C63+C81+C91+C103</f>
        <v>2154167</v>
      </c>
      <c r="D104" s="86">
        <f>D63+D81+D91+D103</f>
        <v>62272</v>
      </c>
      <c r="E104" s="86">
        <f>E63+E81+E91+E103</f>
        <v>171842</v>
      </c>
      <c r="F104" s="86">
        <f>F63+F81+F91+F103</f>
        <v>0</v>
      </c>
      <c r="G104" s="86">
        <f>G63+G81+G103</f>
        <v>33751</v>
      </c>
      <c r="H104" s="86">
        <f t="shared" si="5"/>
        <v>2422032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1066499</v>
      </c>
      <c r="D109" s="24" t="s">
        <v>288</v>
      </c>
      <c r="E109" s="95">
        <f>('DOE25'!L277)+('DOE25'!L296)+('DOE25'!L315)</f>
        <v>54639</v>
      </c>
      <c r="F109" s="24" t="s">
        <v>288</v>
      </c>
      <c r="G109" s="24" t="s">
        <v>288</v>
      </c>
      <c r="H109" s="124">
        <f t="shared" ref="H109:H115" si="6">SUM(C109:G109)</f>
        <v>1121138</v>
      </c>
    </row>
    <row r="110" spans="1:8" x14ac:dyDescent="0.2">
      <c r="A110" t="s">
        <v>198</v>
      </c>
      <c r="B110" s="32" t="s">
        <v>199</v>
      </c>
      <c r="C110" s="95">
        <f>('DOE25'!L199)+('DOE25'!L217)+('DOE25'!L235)</f>
        <v>217064</v>
      </c>
      <c r="D110" s="24" t="s">
        <v>288</v>
      </c>
      <c r="E110" s="95">
        <f>('DOE25'!L278)+('DOE25'!L297)+('DOE25'!L316)</f>
        <v>14576</v>
      </c>
      <c r="F110" s="24" t="s">
        <v>288</v>
      </c>
      <c r="G110" s="24" t="s">
        <v>288</v>
      </c>
      <c r="H110" s="124">
        <f t="shared" si="6"/>
        <v>231640</v>
      </c>
    </row>
    <row r="111" spans="1:8" x14ac:dyDescent="0.2">
      <c r="A111" t="s">
        <v>200</v>
      </c>
      <c r="B111" s="32" t="s">
        <v>165</v>
      </c>
      <c r="C111" s="95">
        <f>('DOE25'!L200)+('DOE25'!L218)+('DOE25'!L236)</f>
        <v>36094</v>
      </c>
      <c r="D111" s="24" t="s">
        <v>288</v>
      </c>
      <c r="E111" s="95">
        <f>('DOE25'!L279)+('DOE25'!L298)+('DOE25'!L317)</f>
        <v>0</v>
      </c>
      <c r="F111" s="24" t="s">
        <v>288</v>
      </c>
      <c r="G111" s="24" t="s">
        <v>288</v>
      </c>
      <c r="H111" s="124">
        <f t="shared" si="6"/>
        <v>36094</v>
      </c>
    </row>
    <row r="112" spans="1:8" x14ac:dyDescent="0.2">
      <c r="A112" t="s">
        <v>201</v>
      </c>
      <c r="B112" s="32" t="s">
        <v>167</v>
      </c>
      <c r="C112" s="95">
        <f>('DOE25'!L201)+('DOE25'!L219)+('DOE25'!L237)</f>
        <v>6048</v>
      </c>
      <c r="D112" s="24" t="s">
        <v>288</v>
      </c>
      <c r="E112" s="95">
        <f>+('DOE25'!L280)+('DOE25'!L299)+('DOE25'!L318)</f>
        <v>6888</v>
      </c>
      <c r="F112" s="24" t="s">
        <v>288</v>
      </c>
      <c r="G112" s="24" t="s">
        <v>288</v>
      </c>
      <c r="H112" s="124">
        <f t="shared" si="6"/>
        <v>12936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1325705</v>
      </c>
      <c r="D115" s="86">
        <f>SUM(D109:D114)</f>
        <v>0</v>
      </c>
      <c r="E115" s="86">
        <f>SUM(E109:E114)</f>
        <v>76103</v>
      </c>
      <c r="F115" s="86">
        <f>SUM(F109:F114)</f>
        <v>0</v>
      </c>
      <c r="G115" s="86">
        <f>SUM(G109:G114)</f>
        <v>0</v>
      </c>
      <c r="H115" s="86">
        <f t="shared" si="6"/>
        <v>1401808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170513</v>
      </c>
      <c r="D118" s="24" t="s">
        <v>288</v>
      </c>
      <c r="E118" s="95">
        <f>+('DOE25'!L282)+('DOE25'!L301)+('DOE25'!L320)</f>
        <v>15676</v>
      </c>
      <c r="F118" s="24" t="s">
        <v>288</v>
      </c>
      <c r="G118" s="24" t="s">
        <v>288</v>
      </c>
      <c r="H118" s="124">
        <f t="shared" ref="H118:H145" si="7">SUM(C118:G118)</f>
        <v>186189</v>
      </c>
    </row>
    <row r="119" spans="1:8" x14ac:dyDescent="0.2">
      <c r="A119" t="s">
        <v>208</v>
      </c>
      <c r="B119" s="32" t="s">
        <v>209</v>
      </c>
      <c r="C119" s="95">
        <f>('DOE25'!L204)+('DOE25'!L222)+('DOE25'!L240)</f>
        <v>27147</v>
      </c>
      <c r="D119" s="24" t="s">
        <v>288</v>
      </c>
      <c r="E119" s="95">
        <f>+('DOE25'!L283)+('DOE25'!L302)+('DOE25'!L321)</f>
        <v>64809</v>
      </c>
      <c r="F119" s="24" t="s">
        <v>288</v>
      </c>
      <c r="G119" s="24" t="s">
        <v>288</v>
      </c>
      <c r="H119" s="124">
        <f t="shared" si="7"/>
        <v>91956</v>
      </c>
    </row>
    <row r="120" spans="1:8" x14ac:dyDescent="0.2">
      <c r="A120" t="s">
        <v>210</v>
      </c>
      <c r="B120" s="32" t="s">
        <v>211</v>
      </c>
      <c r="C120" s="95">
        <f>('DOE25'!L205)+('DOE25'!L223)+('DOE25'!L241)</f>
        <v>141473</v>
      </c>
      <c r="D120" s="24" t="s">
        <v>288</v>
      </c>
      <c r="E120" s="95">
        <f>+('DOE25'!L284)+('DOE25'!L303)+('DOE25'!L322)</f>
        <v>1073</v>
      </c>
      <c r="F120" s="24" t="s">
        <v>288</v>
      </c>
      <c r="G120" s="24" t="s">
        <v>288</v>
      </c>
      <c r="H120" s="124">
        <f t="shared" si="7"/>
        <v>142546</v>
      </c>
    </row>
    <row r="121" spans="1:8" x14ac:dyDescent="0.2">
      <c r="A121" t="s">
        <v>212</v>
      </c>
      <c r="B121" s="32" t="s">
        <v>213</v>
      </c>
      <c r="C121" s="95">
        <f>('DOE25'!L206)+('DOE25'!L224)+('DOE25'!L242)</f>
        <v>169750</v>
      </c>
      <c r="D121" s="24" t="s">
        <v>288</v>
      </c>
      <c r="E121" s="95">
        <f>+('DOE25'!L285)+('DOE25'!L304)+('DOE25'!L323)</f>
        <v>0</v>
      </c>
      <c r="F121" s="24" t="s">
        <v>288</v>
      </c>
      <c r="G121" s="24" t="s">
        <v>288</v>
      </c>
      <c r="H121" s="124">
        <f t="shared" si="7"/>
        <v>169750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150112</v>
      </c>
      <c r="D123" s="24" t="s">
        <v>288</v>
      </c>
      <c r="E123" s="95">
        <f>+('DOE25'!L287)+('DOE25'!L306)+('DOE25'!L325)</f>
        <v>14048</v>
      </c>
      <c r="F123" s="24" t="s">
        <v>288</v>
      </c>
      <c r="G123" s="24" t="s">
        <v>288</v>
      </c>
      <c r="H123" s="124">
        <f t="shared" si="7"/>
        <v>164160</v>
      </c>
    </row>
    <row r="124" spans="1:8" x14ac:dyDescent="0.2">
      <c r="A124" t="s">
        <v>218</v>
      </c>
      <c r="B124" s="32" t="s">
        <v>219</v>
      </c>
      <c r="C124" s="95">
        <f>('DOE25'!L209)+('DOE25'!L227)+('DOE25'!L245+'DOE25'!L255)</f>
        <v>134430</v>
      </c>
      <c r="D124" s="24" t="s">
        <v>288</v>
      </c>
      <c r="E124" s="95">
        <f>+('DOE25'!L288)+('DOE25'!L307)+('DOE25'!L326)</f>
        <v>0</v>
      </c>
      <c r="F124" s="24" t="s">
        <v>288</v>
      </c>
      <c r="G124" s="24" t="s">
        <v>288</v>
      </c>
      <c r="H124" s="124">
        <f t="shared" si="7"/>
        <v>134430</v>
      </c>
    </row>
    <row r="125" spans="1:8" x14ac:dyDescent="0.2">
      <c r="A125" t="s">
        <v>220</v>
      </c>
      <c r="B125" s="32" t="s">
        <v>221</v>
      </c>
      <c r="C125" s="95">
        <f>('DOE25'!L210)+('DOE25'!L228)+('DOE25'!L246)</f>
        <v>10337</v>
      </c>
      <c r="D125" s="24" t="s">
        <v>288</v>
      </c>
      <c r="E125" s="95">
        <f>+('DOE25'!L289)+('DOE25'!L308)+('DOE25'!L327)</f>
        <v>133</v>
      </c>
      <c r="F125" s="24" t="s">
        <v>288</v>
      </c>
      <c r="G125" s="24" t="s">
        <v>288</v>
      </c>
      <c r="H125" s="124">
        <f t="shared" si="7"/>
        <v>10470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62272</v>
      </c>
      <c r="E127" s="24" t="s">
        <v>288</v>
      </c>
      <c r="F127" s="24" t="s">
        <v>288</v>
      </c>
      <c r="G127" s="24" t="s">
        <v>288</v>
      </c>
      <c r="H127" s="124">
        <f t="shared" si="7"/>
        <v>62272</v>
      </c>
    </row>
    <row r="128" spans="1:8" ht="12.75" thickTop="1" thickBot="1" x14ac:dyDescent="0.25">
      <c r="A128" s="33" t="s">
        <v>226</v>
      </c>
      <c r="C128" s="86">
        <f>SUM(C118:C127)</f>
        <v>803762</v>
      </c>
      <c r="D128" s="86">
        <f>SUM(D118:D127)</f>
        <v>62272</v>
      </c>
      <c r="E128" s="86">
        <f>SUM(E118:E127)</f>
        <v>95739</v>
      </c>
      <c r="F128" s="86">
        <f>SUM(F118:F127)</f>
        <v>0</v>
      </c>
      <c r="G128" s="86">
        <f>SUM(G118:G127)</f>
        <v>0</v>
      </c>
      <c r="H128" s="86">
        <f t="shared" si="7"/>
        <v>961773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7116</v>
      </c>
      <c r="D135" s="24" t="s">
        <v>288</v>
      </c>
      <c r="E135" s="129">
        <f>'DOE25'!L346</f>
        <v>0</v>
      </c>
      <c r="F135" s="24" t="s">
        <v>288</v>
      </c>
      <c r="G135" s="24" t="s">
        <v>288</v>
      </c>
      <c r="H135" s="124">
        <f t="shared" si="7"/>
        <v>7116</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33751</v>
      </c>
      <c r="D139" s="24" t="s">
        <v>288</v>
      </c>
      <c r="E139" s="24" t="s">
        <v>288</v>
      </c>
      <c r="F139" s="24" t="s">
        <v>288</v>
      </c>
      <c r="G139" s="24" t="s">
        <v>288</v>
      </c>
      <c r="H139" s="124">
        <f t="shared" si="7"/>
        <v>33751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-474</v>
      </c>
      <c r="D141" s="24" t="s">
        <v>288</v>
      </c>
      <c r="E141" s="24" t="s">
        <v>288</v>
      </c>
      <c r="F141" s="24" t="s">
        <v>288</v>
      </c>
      <c r="G141" s="24" t="s">
        <v>288</v>
      </c>
      <c r="H141" s="124">
        <f t="shared" si="7"/>
        <v>-474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40393</v>
      </c>
      <c r="D144" s="141">
        <f>SUM(D130:D143)</f>
        <v>0</v>
      </c>
      <c r="E144" s="141">
        <f>SUM(E130:E143)</f>
        <v>0</v>
      </c>
      <c r="F144" s="141">
        <f>SUM(F130:F143)</f>
        <v>0</v>
      </c>
      <c r="G144" s="141">
        <f>SUM(G130:G143)</f>
        <v>0</v>
      </c>
      <c r="H144" s="141">
        <f t="shared" si="7"/>
        <v>40393</v>
      </c>
    </row>
    <row r="145" spans="1:9" ht="12.75" thickTop="1" thickBot="1" x14ac:dyDescent="0.25">
      <c r="A145" s="33" t="s">
        <v>244</v>
      </c>
      <c r="C145" s="86">
        <f>(C115+C128+C144)</f>
        <v>2169860</v>
      </c>
      <c r="D145" s="86">
        <f>(D115+D128+D144)</f>
        <v>62272</v>
      </c>
      <c r="E145" s="86">
        <f>(E115+E128+E144)</f>
        <v>171842</v>
      </c>
      <c r="F145" s="86">
        <f>(F115+F128+F144)</f>
        <v>0</v>
      </c>
      <c r="G145" s="86">
        <f>(G115+G128+G144)</f>
        <v>0</v>
      </c>
      <c r="H145" s="86">
        <f t="shared" si="7"/>
        <v>2403974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77"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Warren</v>
      </c>
    </row>
    <row r="3" spans="1:4" x14ac:dyDescent="0.2">
      <c r="B3" s="187" t="s">
        <v>1799</v>
      </c>
    </row>
    <row r="4" spans="1:4" x14ac:dyDescent="0.2">
      <c r="B4" t="s">
        <v>61</v>
      </c>
      <c r="C4" s="178">
        <f>IF('DOE25'!F666+'DOE25'!F671=0,0,ROUND('DOE25'!F673,0))</f>
        <v>26962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26962</v>
      </c>
    </row>
    <row r="9" spans="1:4" x14ac:dyDescent="0.2">
      <c r="A9" s="186" t="s">
        <v>94</v>
      </c>
      <c r="B9" s="187" t="s">
        <v>1800</v>
      </c>
      <c r="C9" s="180" t="s">
        <v>720</v>
      </c>
      <c r="D9" s="180" t="s">
        <v>721</v>
      </c>
    </row>
    <row r="10" spans="1:4" x14ac:dyDescent="0.2">
      <c r="A10">
        <v>1100</v>
      </c>
      <c r="B10" t="s">
        <v>702</v>
      </c>
      <c r="C10" s="178">
        <f>ROUND('DOE25'!L198+'DOE25'!L216+'DOE25'!L234+'DOE25'!L277+'DOE25'!L296+'DOE25'!L315,0)</f>
        <v>1121138</v>
      </c>
      <c r="D10" s="181">
        <f>ROUND((C10/$C$28)*100,1)</f>
        <v>47.4</v>
      </c>
    </row>
    <row r="11" spans="1:4" x14ac:dyDescent="0.2">
      <c r="A11">
        <v>1200</v>
      </c>
      <c r="B11" t="s">
        <v>703</v>
      </c>
      <c r="C11" s="178">
        <f>ROUND('DOE25'!L199+'DOE25'!L217+'DOE25'!L235+'DOE25'!L278+'DOE25'!L297+'DOE25'!L316,0)</f>
        <v>231640</v>
      </c>
      <c r="D11" s="181">
        <f>ROUND((C11/$C$28)*100,1)</f>
        <v>9.8000000000000007</v>
      </c>
    </row>
    <row r="12" spans="1:4" x14ac:dyDescent="0.2">
      <c r="A12">
        <v>1300</v>
      </c>
      <c r="B12" t="s">
        <v>704</v>
      </c>
      <c r="C12" s="178">
        <f>ROUND('DOE25'!L200+'DOE25'!L218+'DOE25'!L236+'DOE25'!L279+'DOE25'!L298+'DOE25'!L317,0)</f>
        <v>36094</v>
      </c>
      <c r="D12" s="181">
        <f>ROUND((C12/$C$28)*100,1)</f>
        <v>1.5</v>
      </c>
    </row>
    <row r="13" spans="1:4" x14ac:dyDescent="0.2">
      <c r="A13">
        <v>1400</v>
      </c>
      <c r="B13" t="s">
        <v>705</v>
      </c>
      <c r="C13" s="178">
        <f>ROUND('DOE25'!L201+'DOE25'!L219+'DOE25'!L237+'DOE25'!L280+'DOE25'!L299+'DOE25'!L318,0)</f>
        <v>12936</v>
      </c>
      <c r="D13" s="181">
        <f>ROUND((C13/$C$28)*100,1)</f>
        <v>0.5</v>
      </c>
    </row>
    <row r="14" spans="1:4" x14ac:dyDescent="0.2">
      <c r="D14" s="181"/>
    </row>
    <row r="15" spans="1:4" x14ac:dyDescent="0.2">
      <c r="A15">
        <v>2100</v>
      </c>
      <c r="B15" t="s">
        <v>706</v>
      </c>
      <c r="C15" s="178">
        <f>ROUND('DOE25'!L203+'DOE25'!L221+'DOE25'!L239+'DOE25'!L282+'DOE25'!L301+'DOE25'!L320,0)</f>
        <v>186189</v>
      </c>
      <c r="D15" s="181">
        <f t="shared" ref="D15:D27" si="0">ROUND((C15/$C$28)*100,1)</f>
        <v>7.9</v>
      </c>
    </row>
    <row r="16" spans="1:4" x14ac:dyDescent="0.2">
      <c r="A16">
        <v>2200</v>
      </c>
      <c r="B16" t="s">
        <v>707</v>
      </c>
      <c r="C16" s="178">
        <f>ROUND('DOE25'!L204+'DOE25'!L222+'DOE25'!L240+'DOE25'!L283+'DOE25'!L302+'DOE25'!L321,0)</f>
        <v>91956</v>
      </c>
      <c r="D16" s="181">
        <f t="shared" si="0"/>
        <v>3.9</v>
      </c>
    </row>
    <row r="17" spans="1:4" x14ac:dyDescent="0.2">
      <c r="A17" s="182" t="s">
        <v>723</v>
      </c>
      <c r="B17" t="s">
        <v>738</v>
      </c>
      <c r="C17" s="178">
        <f>ROUND('DOE25'!L205+'DOE25'!L210+'DOE25'!L223+'DOE25'!L228+'DOE25'!L241+'DOE25'!L246+'DOE25'!L284+'DOE25'!L289+'DOE25'!L303+'DOE25'!L308+'DOE25'!L322+'DOE25'!L327,0)</f>
        <v>153016</v>
      </c>
      <c r="D17" s="181">
        <f t="shared" si="0"/>
        <v>6.5</v>
      </c>
    </row>
    <row r="18" spans="1:4" x14ac:dyDescent="0.2">
      <c r="A18">
        <v>2400</v>
      </c>
      <c r="B18" t="s">
        <v>711</v>
      </c>
      <c r="C18" s="178">
        <f>ROUND('DOE25'!L206+'DOE25'!L224+'DOE25'!L242+'DOE25'!L285+'DOE25'!L304+'DOE25'!L323,0)</f>
        <v>169750</v>
      </c>
      <c r="D18" s="181">
        <f t="shared" si="0"/>
        <v>7.2</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164160</v>
      </c>
      <c r="D20" s="181">
        <f t="shared" si="0"/>
        <v>6.9</v>
      </c>
    </row>
    <row r="21" spans="1:4" x14ac:dyDescent="0.2">
      <c r="A21">
        <v>2700</v>
      </c>
      <c r="B21" t="s">
        <v>710</v>
      </c>
      <c r="C21" s="178">
        <f>ROUND('DOE25'!L209+'DOE25'!L227+'DOE25'!L245+'DOE25'!L288+'DOE25'!L307+'DOE25'!L326,0)</f>
        <v>134430</v>
      </c>
      <c r="D21" s="181">
        <f t="shared" si="0"/>
        <v>5.7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61971</v>
      </c>
      <c r="D27" s="181">
        <f t="shared" si="0"/>
        <v>2.6</v>
      </c>
    </row>
    <row r="28" spans="1:4" x14ac:dyDescent="0.2">
      <c r="B28" s="186" t="s">
        <v>719</v>
      </c>
      <c r="C28" s="179">
        <f>SUM(C10:C27)</f>
        <v>2363280</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2363280</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1196357</v>
      </c>
      <c r="D35" s="181">
        <f t="shared" ref="D35:D40" si="1">ROUND((C35/$C$41)*100,1)</f>
        <v>50.2</v>
      </c>
    </row>
    <row r="36" spans="1:4" x14ac:dyDescent="0.2">
      <c r="B36" s="184" t="s">
        <v>739</v>
      </c>
      <c r="C36" s="178">
        <f>SUM('DOE25'!F112:J112)-SUM('DOE25'!G97:G110)+('DOE25'!F175+'DOE25'!F176+'DOE25'!I175+'DOE25'!I176)-C35</f>
        <v>47124</v>
      </c>
      <c r="D36" s="181">
        <f t="shared" si="1"/>
        <v>2</v>
      </c>
    </row>
    <row r="37" spans="1:4" x14ac:dyDescent="0.2">
      <c r="A37" s="182" t="s">
        <v>835</v>
      </c>
      <c r="B37" s="184" t="s">
        <v>728</v>
      </c>
      <c r="C37" s="178">
        <f>ROUND('DOE25'!F117+'DOE25'!F118,0)</f>
        <v>923131</v>
      </c>
      <c r="D37" s="181">
        <f t="shared" si="1"/>
        <v>38.799999999999997</v>
      </c>
    </row>
    <row r="38" spans="1:4" x14ac:dyDescent="0.2">
      <c r="A38" s="182" t="s">
        <v>734</v>
      </c>
      <c r="B38" s="184" t="s">
        <v>729</v>
      </c>
      <c r="C38" s="178">
        <f>ROUND(SUM('DOE25'!F140:J140)-SUM('DOE25'!F117:F119),0)</f>
        <v>5054</v>
      </c>
      <c r="D38" s="181">
        <f t="shared" si="1"/>
        <v>0.2</v>
      </c>
    </row>
    <row r="39" spans="1:4" x14ac:dyDescent="0.2">
      <c r="A39">
        <v>4000</v>
      </c>
      <c r="B39" s="184" t="s">
        <v>730</v>
      </c>
      <c r="C39" s="178">
        <f>ROUND('DOE25'!F170+'DOE25'!G170+'DOE25'!H170+'DOE25'!I170,0)</f>
        <v>209672</v>
      </c>
      <c r="D39" s="181">
        <f t="shared" si="1"/>
        <v>8.8000000000000007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2381338</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Warren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303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f>IF('School Level Expenditures'!$B$2=A306,'School Tables'!H306,"")</f>
        <v>303</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2022-08-12T14:26:48Z</cp:lastPrinted>
  <dcterms:created xsi:type="dcterms:W3CDTF">1997-12-04T19:04:30Z</dcterms:created>
  <dcterms:modified xsi:type="dcterms:W3CDTF">2022-09-06T18:58:19Z</dcterms:modified>
</cp:coreProperties>
</file>