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2AC7D64-2312-4DB4-965D-DFD9ECF7A1D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99" i="1" l="1"/>
  <c r="H198" i="1"/>
  <c r="E22" i="17" l="1"/>
  <c r="E13" i="17"/>
  <c r="E9" i="17"/>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E21" i="14"/>
  <c r="G36" i="13" l="1"/>
  <c r="G29" i="13"/>
  <c r="B22" i="12" l="1"/>
  <c r="B5" i="14" l="1"/>
  <c r="C5" i="14" s="1"/>
  <c r="F88" i="2" l="1"/>
  <c r="E88" i="2"/>
  <c r="D88" i="2"/>
  <c r="C88" i="2"/>
  <c r="I163" i="1"/>
  <c r="H163" i="1"/>
  <c r="G163" i="1"/>
  <c r="F163" i="1"/>
  <c r="B31" i="16" l="1"/>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25" i="14"/>
  <c r="F5" i="14"/>
  <c r="F24" i="14" l="1"/>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C110" i="2" s="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I409" i="1" l="1"/>
  <c r="C12" i="10"/>
  <c r="G646" i="1"/>
  <c r="E121" i="2"/>
  <c r="A40" i="12"/>
  <c r="H477" i="1"/>
  <c r="H625" i="1" s="1"/>
  <c r="G477" i="1"/>
  <c r="C121" i="2"/>
  <c r="C120" i="2"/>
  <c r="E119" i="2"/>
  <c r="H409" i="1"/>
  <c r="H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D37" i="14" s="1"/>
  <c r="L212" i="1"/>
  <c r="D6" i="14" s="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D21" i="14" l="1"/>
  <c r="F6" i="14"/>
  <c r="F4" i="14" s="1"/>
  <c r="D43" i="14"/>
  <c r="F37" i="14"/>
  <c r="F36" i="14" s="1"/>
  <c r="F661" i="1"/>
  <c r="F665" i="1" s="1"/>
  <c r="F668" i="1" s="1"/>
  <c r="E115" i="2"/>
  <c r="E145" i="2" s="1"/>
  <c r="D51" i="2"/>
  <c r="H661" i="1"/>
  <c r="H665" i="1" s="1"/>
  <c r="H668" i="1" s="1"/>
  <c r="H194" i="1"/>
  <c r="G630" i="1" s="1"/>
  <c r="J630" i="1" s="1"/>
  <c r="H649" i="1"/>
  <c r="C141" i="2"/>
  <c r="C144" i="2"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<sst xmlns="http://schemas.openxmlformats.org/spreadsheetml/2006/main" count="6504" uniqueCount="1802">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</sst>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1459</v>
      </c>
      <c r="B2" s="126">
        <f>INDEX('School Tables'!$AH$3:$AH$208,MATCH('DOE25'!A2,'School Tables'!$AJ$3:$AJ$208,0))</f>
        <v>553</v>
      </c>
      <c r="C2" s="126">
        <f>INDEX('School Tables'!$AI$3:$AI$208,MATCH('DOE25'!A2,'School Tables'!$AJ$3:$AJ$208,0))</f>
        <v>553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336289.95</v>
      </c>
      <c r="G9" s="18">
        <v>170.46</v>
      </c>
      <c r="H9" s="18">
        <v>-2799.25</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98.35</v>
      </c>
      <c r="G13" s="18"/>
      <c r="H13" s="18">
        <v>3047.26</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43.79</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1418.81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337850.89999999997</v>
      </c>
      <c r="G19" s="41">
        <f>SUM(G9:G18)</f>
        <v>170.46</v>
      </c>
      <c r="H19" s="41">
        <f>SUM(H9:H18)</f>
        <v>248.01000000000022</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9826.4500000000007</v>
      </c>
      <c r="G24" s="18"/>
      <c r="H24" s="18">
        <v>248.01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840.48</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10666.93</v>
      </c>
      <c r="G32" s="41">
        <f>SUM(G22:G31)</f>
        <v>0</v>
      </c>
      <c r="H32" s="41">
        <f>SUM(H22:H31)</f>
        <v>248.01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83187</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170.46</v>
      </c>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v>85100</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158896.97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327183.96999999997</v>
      </c>
      <c r="G51" s="41">
        <f>SUM(G35:G50)</f>
        <v>170.46</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337850.89999999997</v>
      </c>
      <c r="G52" s="41">
        <f>G51+G32</f>
        <v>170.46</v>
      </c>
      <c r="H52" s="41">
        <f>H51+H32</f>
        <v>248.01</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1060739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1060739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4625</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1870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11555.56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18050.559999999998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27.84</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0</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8327.51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12843.13</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21198.48</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1099988.04</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602993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602993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602993</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13532.83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10740.95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11360.69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5265.5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40899.97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19728.2</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19728.2</v>
      </c>
      <c r="G170" s="41">
        <f>G147+G163+SUM(G164:G169)</f>
        <v>0</v>
      </c>
      <c r="H170" s="41">
        <f>H147+H163+SUM(H164:H169)</f>
        <v>40899.97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1722709.24</v>
      </c>
      <c r="G194" s="47">
        <f>G112+G140+G170+G193</f>
        <v>0</v>
      </c>
      <c r="H194" s="47">
        <f>H112+H140+H170+H193</f>
        <v>40899.97</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367032.84</v>
      </c>
      <c r="G198" s="18">
        <v>199148.82</v>
      </c>
      <c r="H198" s="18">
        <f>67154.95-61317</f>
        <v>5837.9499999999971</v>
      </c>
      <c r="I198" s="18">
        <v>28852.78</v>
      </c>
      <c r="J198" s="18">
        <v>4750.0600000000004</v>
      </c>
      <c r="K198" s="18">
        <v>155</v>
      </c>
      <c r="L198" s="19">
        <f>SUM(F198:K198)</f>
        <v>605777.45000000007</v>
      </c>
      <c r="M198" s="8"/>
      <c r="N198" s="265"/>
    </row>
    <row r="199" spans="1:14" s="3" customFormat="1" ht="12.2" customHeight="1" x14ac:dyDescent="0.15">
      <c r="A199" s="1" t="s">
        <v>439</v>
      </c>
      <c r="B199" s="2" t="s">
        <v>341</v>
      </c>
      <c r="C199" s="2" t="s">
        <v>291</v>
      </c>
      <c r="D199" s="2" t="s">
        <v>431</v>
      </c>
      <c r="E199" s="6">
        <v>1200</v>
      </c>
      <c r="F199" s="18">
        <v>111079.03999999999</v>
      </c>
      <c r="G199" s="18">
        <v>59582.39</v>
      </c>
      <c r="H199" s="18">
        <f>15833.05-7446.29</f>
        <v>8386.7599999999984</v>
      </c>
      <c r="I199" s="18">
        <v>412.15</v>
      </c>
      <c r="J199" s="18"/>
      <c r="K199" s="18"/>
      <c r="L199" s="19">
        <f>SUM(F199:K199)</f>
        <v>179460.34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3052.65</v>
      </c>
      <c r="G201" s="18">
        <v>1224.7</v>
      </c>
      <c r="H201" s="18"/>
      <c r="I201" s="18">
        <v>5329.78</v>
      </c>
      <c r="J201" s="18"/>
      <c r="K201" s="18"/>
      <c r="L201" s="19">
        <f>SUM(F201:K201)</f>
        <v>9607.130000000001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16919.599999999999</v>
      </c>
      <c r="G203" s="18">
        <v>8309.15</v>
      </c>
      <c r="H203" s="18">
        <v>25337.32</v>
      </c>
      <c r="I203" s="18">
        <v>364.15</v>
      </c>
      <c r="J203" s="18"/>
      <c r="K203" s="18"/>
      <c r="L203" s="19">
        <f t="shared" ref="L203:L209" si="0">SUM(F203:K203)</f>
        <v>50930.22</v>
      </c>
      <c r="M203" s="8"/>
      <c r="N203" s="265"/>
    </row>
    <row r="204" spans="1:14" s="3" customFormat="1" ht="12.2" customHeight="1" x14ac:dyDescent="0.15">
      <c r="A204" s="1" t="s">
        <v>443</v>
      </c>
      <c r="B204" s="2" t="s">
        <v>341</v>
      </c>
      <c r="C204" s="2" t="s">
        <v>295</v>
      </c>
      <c r="D204" s="2" t="s">
        <v>431</v>
      </c>
      <c r="E204" s="6">
        <v>2200</v>
      </c>
      <c r="F204" s="18">
        <v>15235.8</v>
      </c>
      <c r="G204" s="18">
        <v>14737.32</v>
      </c>
      <c r="H204" s="18">
        <v>5231.5600000000004</v>
      </c>
      <c r="I204" s="18">
        <v>4884.46</v>
      </c>
      <c r="J204" s="18">
        <v>19.989999999999998</v>
      </c>
      <c r="K204" s="18"/>
      <c r="L204" s="19">
        <f t="shared" si="0"/>
        <v>40109.129999999997</v>
      </c>
      <c r="M204" s="8"/>
      <c r="N204" s="265"/>
    </row>
    <row r="205" spans="1:14" s="3" customFormat="1" ht="12.2" customHeight="1" x14ac:dyDescent="0.15">
      <c r="A205" s="1" t="s">
        <v>444</v>
      </c>
      <c r="B205" s="2" t="s">
        <v>341</v>
      </c>
      <c r="C205" s="2" t="s">
        <v>296</v>
      </c>
      <c r="D205" s="2" t="s">
        <v>431</v>
      </c>
      <c r="E205" s="6">
        <v>2300</v>
      </c>
      <c r="F205" s="18">
        <v>1320</v>
      </c>
      <c r="G205" s="18">
        <v>91.8</v>
      </c>
      <c r="H205" s="18">
        <v>108577.59</v>
      </c>
      <c r="I205" s="18"/>
      <c r="J205" s="18"/>
      <c r="K205" s="18">
        <v>2030.12</v>
      </c>
      <c r="L205" s="19">
        <f t="shared" si="0"/>
        <v>112019.51</v>
      </c>
      <c r="M205" s="8"/>
      <c r="N205" s="265"/>
    </row>
    <row r="206" spans="1:14" s="3" customFormat="1" ht="12.2" customHeight="1" x14ac:dyDescent="0.15">
      <c r="A206" s="1" t="s">
        <v>445</v>
      </c>
      <c r="B206" s="2" t="s">
        <v>341</v>
      </c>
      <c r="C206" s="2" t="s">
        <v>297</v>
      </c>
      <c r="D206" s="2" t="s">
        <v>431</v>
      </c>
      <c r="E206" s="6">
        <v>2400</v>
      </c>
      <c r="F206" s="18">
        <v>139520.1</v>
      </c>
      <c r="G206" s="18">
        <v>65595.19</v>
      </c>
      <c r="H206" s="18">
        <v>337.01</v>
      </c>
      <c r="I206" s="18">
        <v>4841.88</v>
      </c>
      <c r="J206" s="18"/>
      <c r="K206" s="18">
        <v>2016.46</v>
      </c>
      <c r="L206" s="19">
        <f t="shared" si="0"/>
        <v>212310.64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54772.25</v>
      </c>
      <c r="G208" s="18">
        <v>17201.57</v>
      </c>
      <c r="H208" s="18">
        <v>33683.589999999997</v>
      </c>
      <c r="I208" s="18">
        <v>37250.71</v>
      </c>
      <c r="J208" s="18">
        <v>21206.26</v>
      </c>
      <c r="K208" s="18"/>
      <c r="L208" s="19">
        <f t="shared" si="0"/>
        <v>164114.38</v>
      </c>
      <c r="M208" s="8"/>
      <c r="N208" s="265"/>
    </row>
    <row r="209" spans="1:14" s="3" customFormat="1" ht="12.2" customHeight="1" x14ac:dyDescent="0.15">
      <c r="A209" s="1" t="s">
        <v>448</v>
      </c>
      <c r="B209" s="2" t="s">
        <v>341</v>
      </c>
      <c r="C209" s="2" t="s">
        <v>300</v>
      </c>
      <c r="D209" s="2" t="s">
        <v>431</v>
      </c>
      <c r="E209" s="6">
        <v>2700</v>
      </c>
      <c r="F209" s="18"/>
      <c r="G209" s="18"/>
      <c r="H209" s="18">
        <v>3996.38</v>
      </c>
      <c r="I209" s="18"/>
      <c r="J209" s="18"/>
      <c r="K209" s="18"/>
      <c r="L209" s="19">
        <f t="shared" si="0"/>
        <v>3996.38</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708932.28</v>
      </c>
      <c r="G212" s="41">
        <f t="shared" si="1"/>
        <v>365890.94000000006</v>
      </c>
      <c r="H212" s="41">
        <f t="shared" si="1"/>
        <v>191388.16</v>
      </c>
      <c r="I212" s="41">
        <f t="shared" si="1"/>
        <v>81935.91</v>
      </c>
      <c r="J212" s="41">
        <f t="shared" si="1"/>
        <v>25976.309999999998</v>
      </c>
      <c r="K212" s="41">
        <f t="shared" si="1"/>
        <v>4201.58</v>
      </c>
      <c r="L212" s="41">
        <f t="shared" si="1"/>
        <v>1378325.1799999997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61317</v>
      </c>
      <c r="I234" s="18"/>
      <c r="J234" s="18"/>
      <c r="K234" s="18"/>
      <c r="L234" s="19">
        <f>SUM(F234:K234)</f>
        <v>61317</v>
      </c>
      <c r="M234" s="8"/>
      <c r="N234" s="265"/>
    </row>
    <row r="235" spans="1:14" s="3" customFormat="1" ht="12.2" customHeight="1" x14ac:dyDescent="0.15">
      <c r="A235" s="1" t="s">
        <v>439</v>
      </c>
      <c r="B235" s="2" t="s">
        <v>350</v>
      </c>
      <c r="C235" s="2" t="s">
        <v>291</v>
      </c>
      <c r="D235" s="2" t="s">
        <v>431</v>
      </c>
      <c r="E235" s="6">
        <v>1200</v>
      </c>
      <c r="F235" s="18"/>
      <c r="G235" s="18"/>
      <c r="H235" s="18">
        <v>7446.29</v>
      </c>
      <c r="I235" s="18"/>
      <c r="J235" s="18"/>
      <c r="K235" s="18"/>
      <c r="L235" s="19">
        <f>SUM(F235:K235)</f>
        <v>7446.29</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68763.289999999994</v>
      </c>
      <c r="I248" s="41">
        <f t="shared" si="5"/>
        <v>0</v>
      </c>
      <c r="J248" s="41">
        <f t="shared" si="5"/>
        <v>0</v>
      </c>
      <c r="K248" s="41">
        <f t="shared" si="5"/>
        <v>0</v>
      </c>
      <c r="L248" s="41">
        <f t="shared" si="5"/>
        <v>68763.289999999994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71986.789999999994</v>
      </c>
      <c r="I256" s="18"/>
      <c r="J256" s="18"/>
      <c r="K256" s="18"/>
      <c r="L256" s="19">
        <f t="shared" si="6"/>
        <v>71986.789999999994</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71986.789999999994</v>
      </c>
      <c r="I257" s="41">
        <f t="shared" si="7"/>
        <v>0</v>
      </c>
      <c r="J257" s="41">
        <f t="shared" si="7"/>
        <v>0</v>
      </c>
      <c r="K257" s="41">
        <f t="shared" si="7"/>
        <v>0</v>
      </c>
      <c r="L257" s="41">
        <f>SUM(F257:K257)</f>
        <v>71986.789999999994</v>
      </c>
      <c r="M257" s="8"/>
      <c r="N257" s="265"/>
    </row>
    <row r="258" spans="1:14" s="3" customFormat="1" ht="12.2" customHeight="1" thickTop="1" x14ac:dyDescent="0.15">
      <c r="A258" s="38" t="s">
        <v>462</v>
      </c>
      <c r="B258" s="40">
        <v>10</v>
      </c>
      <c r="C258" s="40">
        <v>8</v>
      </c>
      <c r="D258" s="39" t="s">
        <v>431</v>
      </c>
      <c r="E258" s="40"/>
      <c r="F258" s="41">
        <f t="shared" ref="F258:L258" si="8">F212+F230+F248+F257</f>
        <v>708932.28</v>
      </c>
      <c r="G258" s="41">
        <f t="shared" si="8"/>
        <v>365890.94000000006</v>
      </c>
      <c r="H258" s="41">
        <f t="shared" si="8"/>
        <v>332138.23999999999</v>
      </c>
      <c r="I258" s="41">
        <f t="shared" si="8"/>
        <v>81935.91</v>
      </c>
      <c r="J258" s="41">
        <f t="shared" si="8"/>
        <v>25976.309999999998</v>
      </c>
      <c r="K258" s="41">
        <f t="shared" si="8"/>
        <v>4201.58</v>
      </c>
      <c r="L258" s="41">
        <f t="shared" si="8"/>
        <v>1519075.2599999998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708932.28</v>
      </c>
      <c r="G272" s="42">
        <f t="shared" si="11"/>
        <v>365890.94000000006</v>
      </c>
      <c r="H272" s="42">
        <f t="shared" si="11"/>
        <v>332138.23999999999</v>
      </c>
      <c r="I272" s="42">
        <f t="shared" si="11"/>
        <v>81935.91</v>
      </c>
      <c r="J272" s="42">
        <f t="shared" si="11"/>
        <v>25976.309999999998</v>
      </c>
      <c r="K272" s="42">
        <f t="shared" si="11"/>
        <v>4201.58</v>
      </c>
      <c r="L272" s="42">
        <f t="shared" si="11"/>
        <v>1519075.2599999998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v>3675.5</v>
      </c>
      <c r="J277" s="18">
        <v>4677.63</v>
      </c>
      <c r="K277" s="18"/>
      <c r="L277" s="19">
        <f>SUM(F277:K277)</f>
        <v>8353.130000000001</v>
      </c>
      <c r="M277" s="8"/>
      <c r="N277" s="265"/>
    </row>
    <row r="278" spans="1:14" s="3" customFormat="1" ht="12.2" customHeight="1" x14ac:dyDescent="0.15">
      <c r="A278" s="1" t="s">
        <v>439</v>
      </c>
      <c r="B278" s="2" t="s">
        <v>357</v>
      </c>
      <c r="C278" s="2" t="s">
        <v>291</v>
      </c>
      <c r="D278" s="2" t="s">
        <v>431</v>
      </c>
      <c r="E278" s="6">
        <v>1200</v>
      </c>
      <c r="F278" s="18">
        <v>929.3</v>
      </c>
      <c r="G278" s="18">
        <v>666.57</v>
      </c>
      <c r="H278" s="18">
        <v>8929.89</v>
      </c>
      <c r="I278" s="18">
        <v>676.96</v>
      </c>
      <c r="J278" s="18"/>
      <c r="K278" s="18"/>
      <c r="L278" s="19">
        <f>SUM(F278:K278)</f>
        <v>11202.719999999998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9425</v>
      </c>
      <c r="G280" s="18">
        <v>2123.2199999999998</v>
      </c>
      <c r="H280" s="18">
        <v>630</v>
      </c>
      <c r="I280" s="18">
        <v>3367.77</v>
      </c>
      <c r="J280" s="18"/>
      <c r="K280" s="18">
        <v>150</v>
      </c>
      <c r="L280" s="19">
        <f>SUM(F280:K280)</f>
        <v>15695.99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375</v>
      </c>
      <c r="G283" s="18">
        <v>26.28</v>
      </c>
      <c r="H283" s="18">
        <v>3751</v>
      </c>
      <c r="I283" s="18">
        <v>299</v>
      </c>
      <c r="J283" s="18"/>
      <c r="K283" s="18"/>
      <c r="L283" s="19">
        <f t="shared" si="12"/>
        <v>4451.28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v>217.57</v>
      </c>
      <c r="J285" s="18"/>
      <c r="K285" s="18"/>
      <c r="L285" s="19">
        <f t="shared" si="12"/>
        <v>217.57</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979.28</v>
      </c>
      <c r="L286" s="19">
        <f t="shared" si="12"/>
        <v>979.28</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10729.3</v>
      </c>
      <c r="G291" s="42">
        <f t="shared" si="13"/>
        <v>2816.07</v>
      </c>
      <c r="H291" s="42">
        <f t="shared" si="13"/>
        <v>13310.89</v>
      </c>
      <c r="I291" s="42">
        <f t="shared" si="13"/>
        <v>8236.7999999999993</v>
      </c>
      <c r="J291" s="42">
        <f t="shared" si="13"/>
        <v>4677.63</v>
      </c>
      <c r="K291" s="42">
        <f t="shared" si="13"/>
        <v>1129.28</v>
      </c>
      <c r="L291" s="41">
        <f t="shared" si="13"/>
        <v>40899.969999999994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10729.3</v>
      </c>
      <c r="G339" s="41">
        <f t="shared" si="20"/>
        <v>2816.07</v>
      </c>
      <c r="H339" s="41">
        <f t="shared" si="20"/>
        <v>13310.89</v>
      </c>
      <c r="I339" s="41">
        <f t="shared" si="20"/>
        <v>8236.7999999999993</v>
      </c>
      <c r="J339" s="41">
        <f t="shared" si="20"/>
        <v>4677.63</v>
      </c>
      <c r="K339" s="41">
        <f t="shared" si="20"/>
        <v>1129.28</v>
      </c>
      <c r="L339" s="41">
        <f t="shared" si="20"/>
        <v>40899.969999999994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10729.3</v>
      </c>
      <c r="G353" s="41">
        <f>G339</f>
        <v>2816.07</v>
      </c>
      <c r="H353" s="41">
        <f>H339</f>
        <v>13310.89</v>
      </c>
      <c r="I353" s="41">
        <f>I339</f>
        <v>8236.7999999999993</v>
      </c>
      <c r="J353" s="41">
        <f>J339</f>
        <v>4677.63</v>
      </c>
      <c r="K353" s="47">
        <f>K339+K352</f>
        <v>1129.28</v>
      </c>
      <c r="L353" s="41">
        <f>L339+L352</f>
        <v>40899.969999999994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123549.99</v>
      </c>
      <c r="G466" s="18">
        <v>170.46</v>
      </c>
      <c r="H466" s="18">
        <v>0</v>
      </c>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1722709.24</v>
      </c>
      <c r="G469" s="18">
        <v>0</v>
      </c>
      <c r="H469" s="18">
        <v>40899.97</v>
      </c>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1722709.24</v>
      </c>
      <c r="G471" s="53">
        <f>SUM(G469:G470)</f>
        <v>0</v>
      </c>
      <c r="H471" s="53">
        <f>SUM(H469:H470)</f>
        <v>40899.97</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1519075.26</v>
      </c>
      <c r="G473" s="18">
        <v>0</v>
      </c>
      <c r="H473" s="18">
        <v>40899.97</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1519075.26</v>
      </c>
      <c r="G475" s="53">
        <f>SUM(G473:G474)</f>
        <v>0</v>
      </c>
      <c r="H475" s="53">
        <f>SUM(H473:H474)</f>
        <v>40899.97</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327183.96999999997</v>
      </c>
      <c r="G477" s="53">
        <f>(G466+G471)- G475</f>
        <v>170.46</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112008.34</v>
      </c>
      <c r="G522" s="18">
        <v>60248.959999999999</v>
      </c>
      <c r="H522" s="18">
        <v>24762.94</v>
      </c>
      <c r="I522" s="18">
        <v>1089.1099999999999</v>
      </c>
      <c r="J522" s="18"/>
      <c r="K522" s="18"/>
      <c r="L522" s="88">
        <f>SUM(F522:K522)</f>
        <v>198109.34999999998</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112008.34</v>
      </c>
      <c r="G525" s="108">
        <f t="shared" ref="G525:L525" si="36">SUM(G522:G524)</f>
        <v>60248.959999999999</v>
      </c>
      <c r="H525" s="108">
        <f t="shared" si="36"/>
        <v>24762.94</v>
      </c>
      <c r="I525" s="108">
        <f t="shared" si="36"/>
        <v>1089.1099999999999</v>
      </c>
      <c r="J525" s="108">
        <f t="shared" si="36"/>
        <v>0</v>
      </c>
      <c r="K525" s="108">
        <f t="shared" si="36"/>
        <v>0</v>
      </c>
      <c r="L525" s="89">
        <f t="shared" si="36"/>
        <v>198109.34999999998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3383.92</v>
      </c>
      <c r="G527" s="18">
        <v>1661.83</v>
      </c>
      <c r="H527" s="18">
        <v>3218.25</v>
      </c>
      <c r="I527" s="18">
        <v>23.96</v>
      </c>
      <c r="J527" s="18"/>
      <c r="K527" s="18"/>
      <c r="L527" s="88">
        <f>SUM(F527:K527)</f>
        <v>8287.9599999999991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3383.92</v>
      </c>
      <c r="G530" s="89">
        <f t="shared" ref="G530:L530" si="37">SUM(G527:G529)</f>
        <v>1661.83</v>
      </c>
      <c r="H530" s="89">
        <f t="shared" si="37"/>
        <v>3218.25</v>
      </c>
      <c r="I530" s="89">
        <f t="shared" si="37"/>
        <v>23.96</v>
      </c>
      <c r="J530" s="89">
        <f t="shared" si="37"/>
        <v>0</v>
      </c>
      <c r="K530" s="89">
        <f t="shared" si="37"/>
        <v>0</v>
      </c>
      <c r="L530" s="89">
        <f t="shared" si="37"/>
        <v>8287.9599999999991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7002.72</v>
      </c>
      <c r="G532" s="18">
        <v>3421.4</v>
      </c>
      <c r="H532" s="18"/>
      <c r="I532" s="18"/>
      <c r="J532" s="18"/>
      <c r="K532" s="18"/>
      <c r="L532" s="88">
        <f>SUM(F532:K532)</f>
        <v>10424.120000000001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7002.72</v>
      </c>
      <c r="G535" s="89">
        <f t="shared" ref="G535:L535" si="38">SUM(G532:G534)</f>
        <v>3421.4</v>
      </c>
      <c r="H535" s="89">
        <f t="shared" si="38"/>
        <v>0</v>
      </c>
      <c r="I535" s="89">
        <f t="shared" si="38"/>
        <v>0</v>
      </c>
      <c r="J535" s="89">
        <f t="shared" si="38"/>
        <v>0</v>
      </c>
      <c r="K535" s="89">
        <f t="shared" si="38"/>
        <v>0</v>
      </c>
      <c r="L535" s="89">
        <f t="shared" si="38"/>
        <v>10424.120000000001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5808</v>
      </c>
      <c r="I537" s="18"/>
      <c r="J537" s="18"/>
      <c r="K537" s="18"/>
      <c r="L537" s="88">
        <f>SUM(F537:K537)</f>
        <v>5808</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5808</v>
      </c>
      <c r="I540" s="89">
        <f t="shared" si="39"/>
        <v>0</v>
      </c>
      <c r="J540" s="89">
        <f t="shared" si="39"/>
        <v>0</v>
      </c>
      <c r="K540" s="89">
        <f t="shared" si="39"/>
        <v>0</v>
      </c>
      <c r="L540" s="89">
        <f t="shared" si="39"/>
        <v>5808</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122394.98</v>
      </c>
      <c r="G546" s="89">
        <f t="shared" ref="G546:L546" si="41">G525+G530+G535+G540+G545</f>
        <v>65332.19</v>
      </c>
      <c r="H546" s="89">
        <f t="shared" si="41"/>
        <v>33789.19</v>
      </c>
      <c r="I546" s="89">
        <f t="shared" si="41"/>
        <v>1113.07</v>
      </c>
      <c r="J546" s="89">
        <f t="shared" si="41"/>
        <v>0</v>
      </c>
      <c r="K546" s="89">
        <f t="shared" si="41"/>
        <v>0</v>
      </c>
      <c r="L546" s="89">
        <f t="shared" si="41"/>
        <v>222629.42999999996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198109.34999999998</v>
      </c>
      <c r="G550" s="87">
        <f>L527</f>
        <v>8287.9599999999991</v>
      </c>
      <c r="H550" s="87">
        <f>L532</f>
        <v>10424.120000000001</v>
      </c>
      <c r="I550" s="87">
        <f>L537</f>
        <v>5808</v>
      </c>
      <c r="J550" s="87">
        <f>L542</f>
        <v>0</v>
      </c>
      <c r="K550" s="87">
        <f>SUM(F550:J550)</f>
        <v>222629.42999999996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198109.34999999998</v>
      </c>
      <c r="G553" s="89">
        <f t="shared" si="42"/>
        <v>8287.9599999999991</v>
      </c>
      <c r="H553" s="89">
        <f t="shared" si="42"/>
        <v>10424.120000000001</v>
      </c>
      <c r="I553" s="89">
        <f t="shared" si="42"/>
        <v>5808</v>
      </c>
      <c r="J553" s="89">
        <f t="shared" si="42"/>
        <v>0</v>
      </c>
      <c r="K553" s="89">
        <f t="shared" si="42"/>
        <v>222629.42999999996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61317</v>
      </c>
      <c r="I576" s="87">
        <f>SUM(F576:H576)</f>
        <v>61317</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7446.29</v>
      </c>
      <c r="I580" s="87">
        <f t="shared" si="47"/>
        <v>7446.29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3996.38</v>
      </c>
      <c r="I596" s="18"/>
      <c r="J596" s="18"/>
      <c r="K596" s="104">
        <f t="shared" si="48"/>
        <v>3996.38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3996.38</v>
      </c>
      <c r="I599" s="108">
        <f>SUM(I592:I598)</f>
        <v>0</v>
      </c>
      <c r="J599" s="108">
        <f>SUM(J592:J598)</f>
        <v>0</v>
      </c>
      <c r="K599" s="108">
        <f>SUM(K592:K598)</f>
        <v>3996.38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30653.94</v>
      </c>
      <c r="I605" s="18"/>
      <c r="J605" s="18"/>
      <c r="K605" s="104">
        <f>SUM(H605:J605)</f>
        <v>30653.94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30653.94</v>
      </c>
      <c r="I606" s="108">
        <f>SUM(I603:I605)</f>
        <v>0</v>
      </c>
      <c r="J606" s="108">
        <f>SUM(J603:J605)</f>
        <v>0</v>
      </c>
      <c r="K606" s="108">
        <f>SUM(K603:K605)</f>
        <v>30653.94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4725</v>
      </c>
      <c r="G612" s="18">
        <v>1354.68</v>
      </c>
      <c r="H612" s="18"/>
      <c r="I612" s="18">
        <v>27.44</v>
      </c>
      <c r="J612" s="18"/>
      <c r="K612" s="18"/>
      <c r="L612" s="88">
        <f>SUM(F612:K612)</f>
        <v>6107.12</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4725</v>
      </c>
      <c r="G615" s="108">
        <f t="shared" si="49"/>
        <v>1354.68</v>
      </c>
      <c r="H615" s="108">
        <f t="shared" si="49"/>
        <v>0</v>
      </c>
      <c r="I615" s="108">
        <f t="shared" si="49"/>
        <v>27.44</v>
      </c>
      <c r="J615" s="108">
        <f t="shared" si="49"/>
        <v>0</v>
      </c>
      <c r="K615" s="108">
        <f t="shared" si="49"/>
        <v>0</v>
      </c>
      <c r="L615" s="89">
        <f t="shared" si="49"/>
        <v>6107.12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337850.89999999997</v>
      </c>
      <c r="H618" s="109">
        <f>SUM(F52)</f>
        <v>337850.89999999997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170.46</v>
      </c>
      <c r="H619" s="109">
        <f>SUM(G52)</f>
        <v>170.46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248.01000000000022</v>
      </c>
      <c r="H620" s="109">
        <f>SUM(H52)</f>
        <v>248.01</v>
      </c>
      <c r="I620" s="121" t="s">
        <v>877</v>
      </c>
      <c r="J620" s="109">
        <f>G620-H620</f>
        <v>2.2737367544323206E-13</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327183.96999999997</v>
      </c>
      <c r="H623" s="109">
        <f>F477</f>
        <v>327183.96999999997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170.46</v>
      </c>
      <c r="H624" s="109">
        <f>G477</f>
        <v>170.46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1722709.24</v>
      </c>
      <c r="H628" s="104">
        <f>SUM(F469)</f>
        <v>1722709.24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40899.97</v>
      </c>
      <c r="H630" s="104">
        <f>SUM(H469)</f>
        <v>40899.97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1519075.2599999998</v>
      </c>
      <c r="H633" s="104">
        <f>SUM(F473)</f>
        <v>1519075.26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40899.969999999994</v>
      </c>
      <c r="H634" s="104">
        <f>SUM(H473)</f>
        <v>40899.97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3996.38</v>
      </c>
      <c r="H648" s="104">
        <f>L209+L227+L245</f>
        <v>3996.38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30653.94</v>
      </c>
      <c r="H649" s="104">
        <f>(J258+J339)-(J256+J337)</f>
        <v>30653.94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3996.38</v>
      </c>
      <c r="H650" s="104">
        <f>H599</f>
        <v>3996.38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1419225.1499999997</v>
      </c>
      <c r="G661" s="19">
        <f>(L230+L310+L360)</f>
        <v>0</v>
      </c>
      <c r="H661" s="19">
        <f>(L248+L329+L361)</f>
        <v>68763.289999999994</v>
      </c>
      <c r="I661" s="19">
        <f>SUM(F661:H661)</f>
        <v>1487988.4399999997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3996.38</v>
      </c>
      <c r="G663" s="19">
        <f>(L227+L307)-(J227+J307)</f>
        <v>0</v>
      </c>
      <c r="H663" s="19">
        <f>(L245+L326)-(J245+J326)</f>
        <v>0</v>
      </c>
      <c r="I663" s="19">
        <f>SUM(F663:H663)</f>
        <v>3996.38</v>
      </c>
      <c r="J663"/>
      <c r="K663" s="13"/>
      <c r="L663" s="13"/>
      <c r="M663" s="9"/>
    </row>
    <row r="664" spans="1:13" s="3" customFormat="1" ht="12.2" customHeight="1" x14ac:dyDescent="0.15">
      <c r="A664" s="197" t="s">
        <v>129</v>
      </c>
      <c r="B664" s="169"/>
      <c r="C664" s="169"/>
      <c r="D664" s="169"/>
      <c r="E664" s="169"/>
      <c r="F664" s="198">
        <f>SUM(F576:F588)+SUM(H603:H605)+SUM(L612)</f>
        <v>36761.06</v>
      </c>
      <c r="G664" s="198">
        <f>SUM(G576:G588)+SUM(I603:I605)+L613</f>
        <v>0</v>
      </c>
      <c r="H664" s="198">
        <f>SUM(H576:H588)+SUM(J603:J605)+L614</f>
        <v>68763.289999999994</v>
      </c>
      <c r="I664" s="19">
        <f>SUM(F664:H664)</f>
        <v>105524.34999999999</v>
      </c>
      <c r="J664" s="13"/>
      <c r="K664" s="13"/>
      <c r="L664" s="13"/>
      <c r="M664" s="9"/>
    </row>
    <row r="665" spans="1:13" s="3" customFormat="1" ht="12.2" customHeight="1" x14ac:dyDescent="0.15">
      <c r="A665" s="1" t="s">
        <v>130</v>
      </c>
      <c r="F665" s="19">
        <f>F661-SUM(F662:F664)</f>
        <v>1378467.7099999997</v>
      </c>
      <c r="G665" s="19">
        <f>G661-SUM(G662:G664)</f>
        <v>0</v>
      </c>
      <c r="H665" s="19">
        <f>H661-SUM(H662:H664)</f>
        <v>0</v>
      </c>
      <c r="I665" s="19">
        <f>I661-SUM(I662:I664)</f>
        <v>1378467.7099999997</v>
      </c>
      <c r="J665" s="13"/>
      <c r="K665" s="13"/>
      <c r="L665" s="13"/>
      <c r="M665" s="8"/>
    </row>
    <row r="666" spans="1:13" s="3" customFormat="1" ht="12.2" customHeight="1" x14ac:dyDescent="0.2">
      <c r="A666" s="1" t="s">
        <v>131</v>
      </c>
      <c r="F666" s="245">
        <v>54.1</v>
      </c>
      <c r="G666" s="246"/>
      <c r="H666" s="246"/>
      <c r="I666" s="19">
        <f>SUM(F666:H666)</f>
        <v>54.1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25479.99</v>
      </c>
      <c r="G668" s="19" t="e">
        <f>ROUND(G665/G666,2)</f>
        <v>#DIV/0!</v>
      </c>
      <c r="H668" s="19" t="e">
        <f>ROUND(H665/H666,2)</f>
        <v>#DIV/0!</v>
      </c>
      <c r="I668" s="19">
        <f>ROUND(I665/I666,2)</f>
        <v>25479.99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25479.99</v>
      </c>
      <c r="G673" s="19" t="e">
        <f>ROUND((G665+G670)/(G666+G671),2)</f>
        <v>#DIV/0!</v>
      </c>
      <c r="H673" s="19" t="e">
        <f>ROUND((H665+H670)/(H666+H671),2)</f>
        <v>#DIV/0!</v>
      </c>
      <c r="I673" s="19">
        <f>ROUND((I665+I670)/(I666+I671),2)</f>
        <v>25479.99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10740.95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1130.79+403.69</f>
        <v>1534.48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9206.47</f>
        <v>9206.4699999999993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f>8499.34+5033.49</f>
        <v>13532.83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Waterville Valley</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170.46</v>
      </c>
      <c r="F31" s="310" t="s">
        <v>1592</v>
      </c>
    </row>
    <row r="33" spans="1:6" ht="15" x14ac:dyDescent="0.2">
      <c r="A33" s="310" t="s">
        <v>1635</v>
      </c>
      <c r="B33" s="313">
        <f>'DOE25'!G477</f>
        <v>170.46</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6" sqref="E3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Waterville Valley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367032.84</v>
      </c>
      <c r="C9" s="228">
        <f>'DOE25'!G198+'DOE25'!G216+'DOE25'!G234+'DOE25'!G277+'DOE25'!G296+'DOE25'!G315</f>
        <v>199148.82</v>
      </c>
    </row>
    <row r="10" spans="1:3" x14ac:dyDescent="0.2">
      <c r="A10" t="s">
        <v>775</v>
      </c>
      <c r="B10" s="239">
        <v>359552.84</v>
      </c>
      <c r="C10" s="239">
        <v>198561.75</v>
      </c>
    </row>
    <row r="11" spans="1:3" x14ac:dyDescent="0.2">
      <c r="A11" t="s">
        <v>776</v>
      </c>
      <c r="B11" s="239"/>
      <c r="C11" s="239"/>
    </row>
    <row r="12" spans="1:3" x14ac:dyDescent="0.2">
      <c r="A12" t="s">
        <v>777</v>
      </c>
      <c r="B12" s="239">
        <v>7480</v>
      </c>
      <c r="C12" s="239">
        <v>587.07000000000005</v>
      </c>
    </row>
    <row r="13" spans="1:3" x14ac:dyDescent="0.2">
      <c r="A13" t="str">
        <f>IF(B9=B13,IF(C9=C13,"Check Total OK","Check Total Error"),"Check Total Error")</f>
        <v>Check Total OK</v>
      </c>
      <c r="B13" s="230">
        <f>SUM(B10:B12)</f>
        <v>367032.84</v>
      </c>
      <c r="C13" s="230">
        <f>SUM(C10:C12)</f>
        <v>199148.82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112008.34</v>
      </c>
      <c r="C18" s="228">
        <f>'DOE25'!G199+'DOE25'!G217+'DOE25'!G235+'DOE25'!G278+'DOE25'!G297+'DOE25'!G316</f>
        <v>60248.959999999999</v>
      </c>
    </row>
    <row r="19" spans="1:3" x14ac:dyDescent="0.2">
      <c r="A19" t="s">
        <v>775</v>
      </c>
      <c r="B19" s="239">
        <v>74178.3</v>
      </c>
      <c r="C19" s="239">
        <v>53966.16</v>
      </c>
    </row>
    <row r="20" spans="1:3" x14ac:dyDescent="0.2">
      <c r="A20" t="s">
        <v>776</v>
      </c>
      <c r="B20" s="239">
        <v>37550.04</v>
      </c>
      <c r="C20" s="239">
        <v>6282.8</v>
      </c>
    </row>
    <row r="21" spans="1:3" x14ac:dyDescent="0.2">
      <c r="A21" t="s">
        <v>777</v>
      </c>
      <c r="B21" s="239">
        <v>280</v>
      </c>
      <c r="C21" s="239"/>
    </row>
    <row r="22" spans="1:3" x14ac:dyDescent="0.2">
      <c r="A22" t="str">
        <f>IF(B18=B22,IF(C18=C22,"Check Total OK","Check Total Error"),"Check Total Error")</f>
        <v>Check Total OK</v>
      </c>
      <c r="B22" s="230">
        <f>SUM(B19:B21)</f>
        <v>112008.34</v>
      </c>
      <c r="C22" s="230">
        <f>SUM(C19:C21)</f>
        <v>60248.960000000006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12477.65</v>
      </c>
      <c r="C36" s="234">
        <f>'DOE25'!G201+'DOE25'!G219+'DOE25'!G237+'DOE25'!G280+'DOE25'!G299+'DOE25'!G318</f>
        <v>3347.92</v>
      </c>
    </row>
    <row r="37" spans="1:3" x14ac:dyDescent="0.2">
      <c r="A37" t="s">
        <v>775</v>
      </c>
      <c r="B37" s="239">
        <v>12477.65</v>
      </c>
      <c r="C37" s="239">
        <v>3347.92</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12477.65</v>
      </c>
      <c r="C40" s="230">
        <f>SUM(C37:C39)</f>
        <v>3347.92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Waterville Valley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863608.21000000008</v>
      </c>
      <c r="D5" s="20">
        <f>SUM('DOE25'!L198:L201)+SUM('DOE25'!L216:L219)+SUM('DOE25'!L234:L237)-F5-G5-H5</f>
        <v>858703.15</v>
      </c>
      <c r="E5" s="242"/>
      <c r="F5" s="243"/>
      <c r="G5" s="53">
        <f>SUM('DOE25'!J198:J201)+SUM('DOE25'!J216:J219)+SUM('DOE25'!J234:J237)</f>
        <v>4750.0600000000004</v>
      </c>
      <c r="H5" s="53">
        <f>SUM('DOE25'!K198:K201)+SUM('DOE25'!K216:K219)+SUM('DOE25'!K234:K237)</f>
        <v>155</v>
      </c>
      <c r="I5" s="255"/>
    </row>
    <row r="6" spans="1:9" x14ac:dyDescent="0.2">
      <c r="A6" s="32">
        <v>2100</v>
      </c>
      <c r="B6" t="s">
        <v>796</v>
      </c>
      <c r="C6" s="274">
        <f t="shared" si="0"/>
        <v>50930.22</v>
      </c>
      <c r="D6" s="20">
        <f>'DOE25'!L203+'DOE25'!L221+'DOE25'!L239-F6-G6-H6</f>
        <v>20488.22</v>
      </c>
      <c r="E6" s="242"/>
      <c r="F6" s="243">
        <v>30442</v>
      </c>
      <c r="G6" s="53">
        <f>'DOE25'!J203+'DOE25'!J221+'DOE25'!J239</f>
        <v>0</v>
      </c>
      <c r="H6" s="53">
        <f>'DOE25'!K203+'DOE25'!K221+'DOE25'!K239</f>
        <v>0</v>
      </c>
      <c r="I6" s="255"/>
    </row>
    <row r="7" spans="1:9" x14ac:dyDescent="0.2">
      <c r="A7" s="32">
        <v>2200</v>
      </c>
      <c r="B7" t="s">
        <v>821</v>
      </c>
      <c r="C7" s="274">
        <f t="shared" si="0"/>
        <v>40109.129999999997</v>
      </c>
      <c r="D7" s="20">
        <f>'DOE25'!L204+'DOE25'!L222+'DOE25'!L240-F7-G7-H7</f>
        <v>40089.14</v>
      </c>
      <c r="E7" s="242"/>
      <c r="F7" s="243"/>
      <c r="G7" s="53">
        <f>'DOE25'!J204+'DOE25'!J222+'DOE25'!J240</f>
        <v>19.989999999999998</v>
      </c>
      <c r="H7" s="53">
        <f>'DOE25'!K204+'DOE25'!K222+'DOE25'!K240</f>
        <v>0</v>
      </c>
      <c r="I7" s="255"/>
    </row>
    <row r="8" spans="1:9" x14ac:dyDescent="0.2">
      <c r="A8" s="32">
        <v>2300</v>
      </c>
      <c r="B8" t="s">
        <v>797</v>
      </c>
      <c r="C8" s="274">
        <f t="shared" si="0"/>
        <v>64407.98</v>
      </c>
      <c r="D8" s="242"/>
      <c r="E8" s="20">
        <f>'DOE25'!L205+'DOE25'!L223+'DOE25'!L241-F8-G8-H8-D9-D11</f>
        <v>62377.86</v>
      </c>
      <c r="F8" s="243"/>
      <c r="G8" s="53">
        <f>'DOE25'!J205+'DOE25'!J223+'DOE25'!J241</f>
        <v>0</v>
      </c>
      <c r="H8" s="53">
        <f>'DOE25'!K205+'DOE25'!K223+'DOE25'!K241</f>
        <v>2030.12</v>
      </c>
      <c r="I8" s="255"/>
    </row>
    <row r="9" spans="1:9" ht="14.25" x14ac:dyDescent="0.2">
      <c r="A9" s="32">
        <v>2310</v>
      </c>
      <c r="B9" s="184" t="s">
        <v>888</v>
      </c>
      <c r="C9" s="274">
        <f t="shared" si="0"/>
        <v>16381.51</v>
      </c>
      <c r="D9" s="243">
        <v>16381.51</v>
      </c>
      <c r="E9" s="242"/>
      <c r="F9" s="252"/>
      <c r="G9" s="252"/>
      <c r="H9" s="252"/>
      <c r="I9" s="255"/>
    </row>
    <row r="10" spans="1:9" ht="14.25" x14ac:dyDescent="0.2">
      <c r="A10" s="32">
        <v>2317</v>
      </c>
      <c r="B10" s="184" t="s">
        <v>889</v>
      </c>
      <c r="C10" s="274">
        <f t="shared" si="0"/>
        <v>5950</v>
      </c>
      <c r="D10" s="242"/>
      <c r="E10" s="243">
        <v>5950</v>
      </c>
      <c r="F10" s="252"/>
      <c r="G10" s="252"/>
      <c r="H10" s="252"/>
      <c r="I10" s="255"/>
    </row>
    <row r="11" spans="1:9" ht="14.25" x14ac:dyDescent="0.2">
      <c r="A11" s="32">
        <v>2321</v>
      </c>
      <c r="B11" s="184" t="s">
        <v>890</v>
      </c>
      <c r="C11" s="274">
        <f t="shared" si="0"/>
        <v>31230.02</v>
      </c>
      <c r="D11" s="243">
        <v>31230.02</v>
      </c>
      <c r="E11" s="242"/>
      <c r="F11" s="252"/>
      <c r="G11" s="252"/>
      <c r="H11" s="252"/>
      <c r="I11" s="255"/>
    </row>
    <row r="12" spans="1:9" x14ac:dyDescent="0.2">
      <c r="A12" s="32">
        <v>2400</v>
      </c>
      <c r="B12" t="s">
        <v>711</v>
      </c>
      <c r="C12" s="274">
        <f t="shared" si="0"/>
        <v>212310.64</v>
      </c>
      <c r="D12" s="20">
        <f>'DOE25'!L206+'DOE25'!L224+'DOE25'!L242-F12-G12-H12</f>
        <v>210294.18000000002</v>
      </c>
      <c r="E12" s="242"/>
      <c r="F12" s="243"/>
      <c r="G12" s="53">
        <f>'DOE25'!J206+'DOE25'!J224+'DOE25'!J242</f>
        <v>0</v>
      </c>
      <c r="H12" s="53">
        <f>'DOE25'!K206+'DOE25'!K224+'DOE25'!K242</f>
        <v>2016.46</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164114.38</v>
      </c>
      <c r="D14" s="20">
        <f>'DOE25'!L208+'DOE25'!L226+'DOE25'!L244-F14-G14-H14</f>
        <v>142908.12</v>
      </c>
      <c r="E14" s="242"/>
      <c r="F14" s="243"/>
      <c r="G14" s="53">
        <f>'DOE25'!J208+'DOE25'!J226+'DOE25'!J244</f>
        <v>21206.26</v>
      </c>
      <c r="H14" s="53">
        <f>'DOE25'!K208+'DOE25'!K226+'DOE25'!K244</f>
        <v>0</v>
      </c>
      <c r="I14" s="255"/>
    </row>
    <row r="15" spans="1:9" x14ac:dyDescent="0.2">
      <c r="A15" s="32">
        <v>2700</v>
      </c>
      <c r="B15" t="s">
        <v>799</v>
      </c>
      <c r="C15" s="274">
        <f t="shared" si="0"/>
        <v>3996.38</v>
      </c>
      <c r="D15" s="20">
        <f>'DOE25'!L209+'DOE25'!L227+'DOE25'!L245-F15-G15-H15</f>
        <v>3996.38</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71986.789999999994</v>
      </c>
      <c r="D22" s="242"/>
      <c r="E22" s="242"/>
      <c r="F22" s="242"/>
      <c r="G22" s="53">
        <f>'DOE25'!L256+'DOE25'!L337</f>
        <v>71986.789999999994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40899.969999999994</v>
      </c>
      <c r="D31" s="20">
        <f>'DOE25'!L291+'DOE25'!L310+'DOE25'!L329+'DOE25'!L334+'DOE25'!L335+'DOE25'!L336-F31-G31-H31</f>
        <v>35093.06</v>
      </c>
      <c r="E31" s="242"/>
      <c r="F31" s="243"/>
      <c r="G31" s="53">
        <f>'DOE25'!J291+'DOE25'!J310+'DOE25'!J329+'DOE25'!J334+'DOE25'!J335+'DOE25'!J336</f>
        <v>4677.63</v>
      </c>
      <c r="H31" s="53">
        <f>'DOE25'!K291+'DOE25'!K310+'DOE25'!K329+'DOE25'!K334+'DOE25'!K335+'DOE25'!K336</f>
        <v>1129.28</v>
      </c>
      <c r="I31" s="255"/>
    </row>
    <row r="32" spans="1:9" ht="12" thickBot="1" x14ac:dyDescent="0.25">
      <c r="C32" s="275"/>
      <c r="G32" s="250"/>
      <c r="H32" s="250"/>
      <c r="I32" s="257"/>
    </row>
    <row r="33" spans="1:9" ht="12" thickTop="1" x14ac:dyDescent="0.2">
      <c r="B33" t="s">
        <v>809</v>
      </c>
      <c r="D33" s="244">
        <f t="shared" ref="D33:I33" si="1">SUM(D5:D31)</f>
        <v>1359183.7799999998</v>
      </c>
      <c r="E33" s="244">
        <f t="shared" si="1"/>
        <v>68327.86</v>
      </c>
      <c r="F33" s="244">
        <f t="shared" si="1"/>
        <v>30442</v>
      </c>
      <c r="G33" s="244">
        <f t="shared" si="1"/>
        <v>102640.73</v>
      </c>
      <c r="H33" s="244">
        <f t="shared" si="1"/>
        <v>5330.86</v>
      </c>
      <c r="I33" s="244">
        <f t="shared" si="1"/>
        <v>0</v>
      </c>
    </row>
    <row r="35" spans="1:9" ht="12" thickBot="1" x14ac:dyDescent="0.25">
      <c r="B35" s="250" t="s">
        <v>831</v>
      </c>
      <c r="D35" s="251">
        <f>E33</f>
        <v>68327.86</v>
      </c>
      <c r="E35" s="247"/>
      <c r="F35" s="328" t="s">
        <v>1617</v>
      </c>
      <c r="G35" s="329"/>
      <c r="H35" s="329"/>
      <c r="I35" s="329"/>
    </row>
    <row r="36" spans="1:9" ht="12" thickTop="1" x14ac:dyDescent="0.2">
      <c r="B36" t="s">
        <v>810</v>
      </c>
      <c r="D36" s="20">
        <f>D33</f>
        <v>1359183.7799999998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Waterville Valley</v>
      </c>
      <c r="B2" s="126">
        <f>'DOE25'!B2</f>
        <v>553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1419225.1499999997</v>
      </c>
      <c r="G4" s="299">
        <f>'DOE25'!L212+'DOE25'!L291</f>
        <v>1419225.1499999997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Waterville Valley Elementary School</v>
      </c>
      <c r="B6" s="300">
        <f>IFERROR(VLOOKUP(A6,'School Tables'!$C$3:$D$365,2,FALSE),"")</f>
        <v>22385</v>
      </c>
      <c r="C6" s="293" t="str">
        <f>IFERROR(INDEX('School Tables'!$B$3:$B$365,MATCH('School Level Expenditures'!B6,'School Tables'!$D$3:$D$365,0)),"")</f>
        <v>Waterville Valley</v>
      </c>
      <c r="D6" s="290">
        <f>'DOE25'!L212</f>
        <v>1378325.1799999997</v>
      </c>
      <c r="E6" s="290">
        <v>40899.97</v>
      </c>
      <c r="F6" s="303">
        <f t="shared" ref="F6:F20" si="0">D6+E6</f>
        <v>1419225.1499999997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1378325.1799999997</v>
      </c>
      <c r="E21" s="338">
        <f>SUM(E5:E20)</f>
        <v>40899.97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68763.289999999994</v>
      </c>
      <c r="G36" s="299">
        <f>'DOE25'!L248+'DOE25'!L329</f>
        <v>68763.289999999994</v>
      </c>
      <c r="H36" s="340">
        <f>F36-G36</f>
        <v>0</v>
      </c>
      <c r="I36" s="383" t="str">
        <f>IF(H36=0,"","ISSUES!! Please review page 9 and 13 totals in comparison with total on this page")</f>
        <v/>
      </c>
      <c r="N36"/>
    </row>
    <row r="37" spans="1:14" x14ac:dyDescent="0.2">
      <c r="A37" s="126" t="s">
        <v>1548</v>
      </c>
      <c r="B37" s="300">
        <v>99999</v>
      </c>
      <c r="C37" s="293" t="s">
        <v>1548</v>
      </c>
      <c r="D37" s="290">
        <f>'DOE25'!L248</f>
        <v>68763.289999999994</v>
      </c>
      <c r="E37" s="290"/>
      <c r="F37" s="303">
        <f t="shared" ref="F37:F42" si="2">D37+E37</f>
        <v>68763.289999999994</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68763.289999999994</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Waterville Valley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336289.95</v>
      </c>
      <c r="D8" s="95">
        <f>'DOE25'!G9</f>
        <v>170.46</v>
      </c>
      <c r="E8" s="95">
        <f>'DOE25'!H9</f>
        <v>-2799.25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98.35</v>
      </c>
      <c r="D12" s="95">
        <f>'DOE25'!G13</f>
        <v>0</v>
      </c>
      <c r="E12" s="95">
        <f>'DOE25'!H13</f>
        <v>3047.26</v>
      </c>
      <c r="F12" s="95">
        <f>'DOE25'!I13</f>
        <v>0</v>
      </c>
      <c r="G12" s="95">
        <f>'DOE25'!J13</f>
        <v>0</v>
      </c>
      <c r="H12" s="124"/>
      <c r="I12" s="124"/>
    </row>
    <row r="13" spans="1:9" x14ac:dyDescent="0.2">
      <c r="A13" s="1" t="s">
        <v>144</v>
      </c>
      <c r="B13" s="6">
        <v>150</v>
      </c>
      <c r="C13" s="95">
        <f>'DOE25'!F14</f>
        <v>43.79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1418.81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337850.89999999997</v>
      </c>
      <c r="D18" s="41">
        <f>SUM(D8:D17)</f>
        <v>170.46</v>
      </c>
      <c r="E18" s="41">
        <f>SUM(E8:E17)</f>
        <v>248.01000000000022</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9826.4500000000007</v>
      </c>
      <c r="D23" s="95">
        <f>'DOE25'!G24</f>
        <v>0</v>
      </c>
      <c r="E23" s="95">
        <f>'DOE25'!H24</f>
        <v>248.01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840.48</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10666.93</v>
      </c>
      <c r="D31" s="41">
        <f>SUM(D21:D30)</f>
        <v>0</v>
      </c>
      <c r="E31" s="41">
        <f>SUM(E21:E30)</f>
        <v>248.01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83187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170.46</v>
      </c>
      <c r="E47" s="95">
        <f>'DOE25'!H48</f>
        <v>0</v>
      </c>
      <c r="F47" s="95">
        <f>'DOE25'!I48</f>
        <v>0</v>
      </c>
      <c r="G47" s="95">
        <f>'DOE25'!J48</f>
        <v>0</v>
      </c>
      <c r="H47" s="124"/>
      <c r="I47" s="124"/>
    </row>
    <row r="48" spans="1:9" x14ac:dyDescent="0.2">
      <c r="A48" s="1" t="s">
        <v>882</v>
      </c>
      <c r="B48" s="6">
        <v>753</v>
      </c>
      <c r="C48" s="95">
        <f>'DOE25'!F49</f>
        <v>85100</v>
      </c>
      <c r="D48" s="95">
        <f>'DOE25'!G49</f>
        <v>0</v>
      </c>
      <c r="E48" s="95">
        <f>'DOE25'!H49</f>
        <v>0</v>
      </c>
      <c r="F48" s="95">
        <f>'DOE25'!I49</f>
        <v>0</v>
      </c>
      <c r="G48" s="95">
        <f>'DOE25'!J49</f>
        <v>0</v>
      </c>
      <c r="H48" s="124"/>
      <c r="I48" s="124"/>
    </row>
    <row r="49" spans="1:9" ht="12" thickBot="1" x14ac:dyDescent="0.25">
      <c r="A49" s="29" t="s">
        <v>883</v>
      </c>
      <c r="B49" s="71">
        <v>770</v>
      </c>
      <c r="C49" s="95">
        <f>'DOE25'!F50</f>
        <v>158896.97</v>
      </c>
      <c r="D49" s="24" t="s">
        <v>288</v>
      </c>
      <c r="E49" s="24" t="s">
        <v>288</v>
      </c>
      <c r="F49" s="24" t="s">
        <v>288</v>
      </c>
      <c r="G49" s="24" t="s">
        <v>288</v>
      </c>
      <c r="H49" s="124"/>
      <c r="I49" s="124"/>
    </row>
    <row r="50" spans="1:9" ht="12.75" thickTop="1" thickBot="1" x14ac:dyDescent="0.25">
      <c r="A50" s="38" t="s">
        <v>884</v>
      </c>
      <c r="B50" s="48"/>
      <c r="C50" s="41">
        <f>SUM(C34:C49)</f>
        <v>327183.96999999997</v>
      </c>
      <c r="D50" s="41">
        <f>SUM(D34:D49)</f>
        <v>170.46</v>
      </c>
      <c r="E50" s="41">
        <f>SUM(E34:E49)</f>
        <v>0</v>
      </c>
      <c r="F50" s="41">
        <f>SUM(F34:F49)</f>
        <v>0</v>
      </c>
      <c r="G50" s="41">
        <f>SUM(G34:G49)</f>
        <v>0</v>
      </c>
      <c r="H50" s="124"/>
      <c r="I50" s="124"/>
    </row>
    <row r="51" spans="1:9" ht="12" thickTop="1" x14ac:dyDescent="0.2">
      <c r="A51" s="38" t="s">
        <v>885</v>
      </c>
      <c r="B51" s="2"/>
      <c r="C51" s="41">
        <f>C50+C31</f>
        <v>337850.89999999997</v>
      </c>
      <c r="D51" s="41">
        <f>D50+D31</f>
        <v>170.46</v>
      </c>
      <c r="E51" s="41">
        <f>E50+E31</f>
        <v>248.01</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1060739</v>
      </c>
      <c r="D56" s="95">
        <f>'DOE25'!G60</f>
        <v>0</v>
      </c>
      <c r="E56" s="95">
        <f>'DOE25'!H60</f>
        <v>0</v>
      </c>
      <c r="F56" s="95">
        <f>'DOE25'!I60</f>
        <v>0</v>
      </c>
      <c r="G56" s="95">
        <f>'DOE25'!J60</f>
        <v>0</v>
      </c>
      <c r="H56"/>
      <c r="I56"/>
    </row>
    <row r="57" spans="1:9" x14ac:dyDescent="0.2">
      <c r="A57" s="1" t="s">
        <v>164</v>
      </c>
      <c r="B57" s="6" t="s">
        <v>165</v>
      </c>
      <c r="C57" s="95">
        <f>'DOE25'!F79</f>
        <v>18050.559999999998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27.84</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21170.639999999999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39249.039999999994</v>
      </c>
      <c r="D62" s="130">
        <f>SUM(D57:D61)</f>
        <v>0</v>
      </c>
      <c r="E62" s="130">
        <f>SUM(E57:E61)</f>
        <v>0</v>
      </c>
      <c r="F62" s="130">
        <f>SUM(F57:F61)</f>
        <v>0</v>
      </c>
      <c r="G62" s="130">
        <f>SUM(G57:G61)</f>
        <v>0</v>
      </c>
      <c r="H62"/>
      <c r="I62"/>
    </row>
    <row r="63" spans="1:9" ht="12" thickTop="1" x14ac:dyDescent="0.2">
      <c r="A63" s="29" t="s">
        <v>175</v>
      </c>
      <c r="B63" s="6"/>
      <c r="C63" s="22">
        <f>C56+C62</f>
        <v>1099988.04</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602993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602993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602993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13532.83</v>
      </c>
      <c r="F87" s="95">
        <f>SUM('DOE25'!I149:I152)</f>
        <v>0</v>
      </c>
      <c r="G87" s="24" t="s">
        <v>288</v>
      </c>
    </row>
    <row r="88" spans="1:9" x14ac:dyDescent="0.2">
      <c r="A88" s="287" t="s">
        <v>747</v>
      </c>
      <c r="B88" s="325" t="s">
        <v>184</v>
      </c>
      <c r="C88" s="326">
        <f>SUM('DOE25'!F153:F162)</f>
        <v>0</v>
      </c>
      <c r="D88" s="326">
        <f>SUM('DOE25'!G153:G162)</f>
        <v>0</v>
      </c>
      <c r="E88" s="326">
        <f>SUM('DOE25'!H153:H162)</f>
        <v>27367.14</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19728.2</v>
      </c>
      <c r="D90" s="24" t="s">
        <v>288</v>
      </c>
      <c r="E90" s="24" t="s">
        <v>288</v>
      </c>
      <c r="F90" s="24" t="s">
        <v>288</v>
      </c>
      <c r="G90" s="24" t="s">
        <v>288</v>
      </c>
    </row>
    <row r="91" spans="1:9" ht="12.75" thickTop="1" thickBot="1" x14ac:dyDescent="0.25">
      <c r="A91" s="33" t="s">
        <v>750</v>
      </c>
      <c r="C91" s="131">
        <f>SUM(C85:C90)</f>
        <v>19728.2</v>
      </c>
      <c r="D91" s="131">
        <f>SUM(D85:D90)</f>
        <v>0</v>
      </c>
      <c r="E91" s="131">
        <f>SUM(E85:E90)</f>
        <v>40899.97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1722709.24</v>
      </c>
      <c r="D104" s="86">
        <f>D63+D81+D91+D103</f>
        <v>0</v>
      </c>
      <c r="E104" s="86">
        <f>E63+E81+E91+E103</f>
        <v>40899.97</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667094.45000000007</v>
      </c>
      <c r="D109" s="24" t="s">
        <v>288</v>
      </c>
      <c r="E109" s="95">
        <f>('DOE25'!L277)+('DOE25'!L296)+('DOE25'!L315)</f>
        <v>8353.130000000001</v>
      </c>
      <c r="F109" s="24" t="s">
        <v>288</v>
      </c>
      <c r="G109" s="24" t="s">
        <v>288</v>
      </c>
    </row>
    <row r="110" spans="1:7" x14ac:dyDescent="0.2">
      <c r="A110" t="s">
        <v>198</v>
      </c>
      <c r="B110" s="32" t="s">
        <v>199</v>
      </c>
      <c r="C110" s="95">
        <f>('DOE25'!L199)+('DOE25'!L217)+('DOE25'!L235)</f>
        <v>186906.63</v>
      </c>
      <c r="D110" s="24" t="s">
        <v>288</v>
      </c>
      <c r="E110" s="95">
        <f>('DOE25'!L278)+('DOE25'!L297)+('DOE25'!L316)</f>
        <v>11202.719999999998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9607.130000000001</v>
      </c>
      <c r="D112" s="24" t="s">
        <v>288</v>
      </c>
      <c r="E112" s="95">
        <f>+('DOE25'!L280)+('DOE25'!L299)+('DOE25'!L318)</f>
        <v>15695.99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863608.21000000008</v>
      </c>
      <c r="D115" s="86">
        <f>SUM(D109:D114)</f>
        <v>0</v>
      </c>
      <c r="E115" s="86">
        <f>SUM(E109:E114)</f>
        <v>35251.839999999997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50930.22</v>
      </c>
      <c r="D118" s="24" t="s">
        <v>288</v>
      </c>
      <c r="E118" s="95">
        <f>+('DOE25'!L282)+('DOE25'!L301)+('DOE25'!L320)</f>
        <v>0</v>
      </c>
      <c r="F118" s="24" t="s">
        <v>288</v>
      </c>
      <c r="G118" s="24" t="s">
        <v>288</v>
      </c>
    </row>
    <row r="119" spans="1:7" x14ac:dyDescent="0.2">
      <c r="A119" t="s">
        <v>208</v>
      </c>
      <c r="B119" s="32" t="s">
        <v>209</v>
      </c>
      <c r="C119" s="95">
        <f>('DOE25'!L204)+('DOE25'!L222)+('DOE25'!L240)</f>
        <v>40109.129999999997</v>
      </c>
      <c r="D119" s="24" t="s">
        <v>288</v>
      </c>
      <c r="E119" s="95">
        <f>+('DOE25'!L283)+('DOE25'!L302)+('DOE25'!L321)</f>
        <v>4451.28</v>
      </c>
      <c r="F119" s="24" t="s">
        <v>288</v>
      </c>
      <c r="G119" s="24" t="s">
        <v>288</v>
      </c>
    </row>
    <row r="120" spans="1:7" x14ac:dyDescent="0.2">
      <c r="A120" t="s">
        <v>210</v>
      </c>
      <c r="B120" s="32" t="s">
        <v>211</v>
      </c>
      <c r="C120" s="95">
        <f>('DOE25'!L205)+('DOE25'!L223)+('DOE25'!L241)</f>
        <v>112019.51</v>
      </c>
      <c r="D120" s="24" t="s">
        <v>288</v>
      </c>
      <c r="E120" s="95">
        <f>+('DOE25'!L284)+('DOE25'!L303)+('DOE25'!L322)</f>
        <v>0</v>
      </c>
      <c r="F120" s="24" t="s">
        <v>288</v>
      </c>
      <c r="G120" s="24" t="s">
        <v>288</v>
      </c>
    </row>
    <row r="121" spans="1:7" x14ac:dyDescent="0.2">
      <c r="A121" t="s">
        <v>212</v>
      </c>
      <c r="B121" s="32" t="s">
        <v>213</v>
      </c>
      <c r="C121" s="95">
        <f>('DOE25'!L206)+('DOE25'!L224)+('DOE25'!L242)</f>
        <v>212310.64</v>
      </c>
      <c r="D121" s="24" t="s">
        <v>288</v>
      </c>
      <c r="E121" s="95">
        <f>+('DOE25'!L285)+('DOE25'!L304)+('DOE25'!L323)</f>
        <v>217.57</v>
      </c>
      <c r="F121" s="24" t="s">
        <v>288</v>
      </c>
      <c r="G121" s="24" t="s">
        <v>288</v>
      </c>
    </row>
    <row r="122" spans="1:7" x14ac:dyDescent="0.2">
      <c r="A122" t="s">
        <v>214</v>
      </c>
      <c r="B122" s="32" t="s">
        <v>215</v>
      </c>
      <c r="C122" s="95">
        <f>('DOE25'!L207)+('DOE25'!L225)+('DOE25'!L243)</f>
        <v>0</v>
      </c>
      <c r="D122" s="24" t="s">
        <v>288</v>
      </c>
      <c r="E122" s="95">
        <f>+('DOE25'!L286)+('DOE25'!L305)+('DOE25'!L324)</f>
        <v>979.28</v>
      </c>
      <c r="F122" s="24" t="s">
        <v>288</v>
      </c>
      <c r="G122" s="24" t="s">
        <v>288</v>
      </c>
    </row>
    <row r="123" spans="1:7" x14ac:dyDescent="0.2">
      <c r="A123" t="s">
        <v>216</v>
      </c>
      <c r="B123" s="32" t="s">
        <v>217</v>
      </c>
      <c r="C123" s="95">
        <f>('DOE25'!L208)+('DOE25'!L226)+('DOE25'!L244)</f>
        <v>164114.38</v>
      </c>
      <c r="D123" s="24" t="s">
        <v>288</v>
      </c>
      <c r="E123" s="95">
        <f>+('DOE25'!L287)+('DOE25'!L306)+('DOE25'!L325)</f>
        <v>0</v>
      </c>
      <c r="F123" s="24" t="s">
        <v>288</v>
      </c>
      <c r="G123" s="24" t="s">
        <v>288</v>
      </c>
    </row>
    <row r="124" spans="1:7" x14ac:dyDescent="0.2">
      <c r="A124" t="s">
        <v>218</v>
      </c>
      <c r="B124" s="32" t="s">
        <v>219</v>
      </c>
      <c r="C124" s="95">
        <f>('DOE25'!L209)+('DOE25'!L227)+('DOE25'!L245+'DOE25'!L255)</f>
        <v>3996.38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583480.26</v>
      </c>
      <c r="D128" s="86">
        <f>SUM(D118:D127)</f>
        <v>0</v>
      </c>
      <c r="E128" s="86">
        <f>SUM(E118:E127)</f>
        <v>5648.1299999999992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71986.789999999994</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71986.789999999994</v>
      </c>
      <c r="D144" s="141">
        <f>SUM(D130:D143)</f>
        <v>0</v>
      </c>
      <c r="E144" s="141">
        <f>SUM(E130:E143)</f>
        <v>0</v>
      </c>
      <c r="F144" s="141">
        <f>SUM(F130:F143)</f>
        <v>0</v>
      </c>
      <c r="G144" s="141">
        <f>SUM(G130:G143)</f>
        <v>0</v>
      </c>
    </row>
    <row r="145" spans="1:9" ht="12.75" thickTop="1" thickBot="1" x14ac:dyDescent="0.25">
      <c r="A145" s="33" t="s">
        <v>244</v>
      </c>
      <c r="C145" s="86">
        <f>(C115+C128+C144)</f>
        <v>1519075.2600000002</v>
      </c>
      <c r="D145" s="86">
        <f>(D115+D128+D144)</f>
        <v>0</v>
      </c>
      <c r="E145" s="86">
        <f>(E115+E128+E144)</f>
        <v>40899.969999999994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Waterville Valley</v>
      </c>
    </row>
    <row r="3" spans="1:4" x14ac:dyDescent="0.2">
      <c r="B3" s="187" t="s">
        <v>1799</v>
      </c>
    </row>
    <row r="4" spans="1:4" x14ac:dyDescent="0.2">
      <c r="B4" t="s">
        <v>61</v>
      </c>
      <c r="C4" s="178">
        <f>IF('DOE25'!F666+'DOE25'!F671=0,0,ROUND('DOE25'!F673,0))</f>
        <v>25480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25480</v>
      </c>
    </row>
    <row r="9" spans="1:4" x14ac:dyDescent="0.2">
      <c r="A9" s="186" t="s">
        <v>94</v>
      </c>
      <c r="B9" s="187" t="s">
        <v>1800</v>
      </c>
      <c r="C9" s="180" t="s">
        <v>720</v>
      </c>
      <c r="D9" s="180" t="s">
        <v>721</v>
      </c>
    </row>
    <row r="10" spans="1:4" x14ac:dyDescent="0.2">
      <c r="A10">
        <v>1100</v>
      </c>
      <c r="B10" t="s">
        <v>702</v>
      </c>
      <c r="C10" s="178">
        <f>ROUND('DOE25'!L198+'DOE25'!L216+'DOE25'!L234+'DOE25'!L277+'DOE25'!L296+'DOE25'!L315,0)</f>
        <v>675448</v>
      </c>
      <c r="D10" s="181">
        <f>ROUND((C10/$C$28)*100,1)</f>
        <v>45.4</v>
      </c>
    </row>
    <row r="11" spans="1:4" x14ac:dyDescent="0.2">
      <c r="A11">
        <v>1200</v>
      </c>
      <c r="B11" t="s">
        <v>703</v>
      </c>
      <c r="C11" s="178">
        <f>ROUND('DOE25'!L199+'DOE25'!L217+'DOE25'!L235+'DOE25'!L278+'DOE25'!L297+'DOE25'!L316,0)</f>
        <v>198109</v>
      </c>
      <c r="D11" s="181">
        <f>ROUND((C11/$C$28)*100,1)</f>
        <v>13.3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25303</v>
      </c>
      <c r="D13" s="181">
        <f>ROUND((C13/$C$28)*100,1)</f>
        <v>1.7</v>
      </c>
    </row>
    <row r="14" spans="1:4" x14ac:dyDescent="0.2">
      <c r="D14" s="181"/>
    </row>
    <row r="15" spans="1:4" x14ac:dyDescent="0.2">
      <c r="A15">
        <v>2100</v>
      </c>
      <c r="B15" t="s">
        <v>706</v>
      </c>
      <c r="C15" s="178">
        <f>ROUND('DOE25'!L203+'DOE25'!L221+'DOE25'!L239+'DOE25'!L282+'DOE25'!L301+'DOE25'!L320,0)</f>
        <v>50930</v>
      </c>
      <c r="D15" s="181">
        <f t="shared" ref="D15:D27" si="0">ROUND((C15/$C$28)*100,1)</f>
        <v>3.4</v>
      </c>
    </row>
    <row r="16" spans="1:4" x14ac:dyDescent="0.2">
      <c r="A16">
        <v>2200</v>
      </c>
      <c r="B16" t="s">
        <v>707</v>
      </c>
      <c r="C16" s="178">
        <f>ROUND('DOE25'!L204+'DOE25'!L222+'DOE25'!L240+'DOE25'!L283+'DOE25'!L302+'DOE25'!L321,0)</f>
        <v>44560</v>
      </c>
      <c r="D16" s="181">
        <f t="shared" si="0"/>
        <v>3</v>
      </c>
    </row>
    <row r="17" spans="1:4" x14ac:dyDescent="0.2">
      <c r="A17" s="182" t="s">
        <v>723</v>
      </c>
      <c r="B17" t="s">
        <v>738</v>
      </c>
      <c r="C17" s="178">
        <f>ROUND('DOE25'!L205+'DOE25'!L210+'DOE25'!L223+'DOE25'!L228+'DOE25'!L241+'DOE25'!L246+'DOE25'!L284+'DOE25'!L289+'DOE25'!L303+'DOE25'!L308+'DOE25'!L322+'DOE25'!L327,0)</f>
        <v>112020</v>
      </c>
      <c r="D17" s="181">
        <f t="shared" si="0"/>
        <v>7.5</v>
      </c>
    </row>
    <row r="18" spans="1:4" x14ac:dyDescent="0.2">
      <c r="A18">
        <v>2400</v>
      </c>
      <c r="B18" t="s">
        <v>711</v>
      </c>
      <c r="C18" s="178">
        <f>ROUND('DOE25'!L206+'DOE25'!L224+'DOE25'!L242+'DOE25'!L285+'DOE25'!L304+'DOE25'!L323,0)</f>
        <v>212528</v>
      </c>
      <c r="D18" s="181">
        <f t="shared" si="0"/>
        <v>14.3</v>
      </c>
    </row>
    <row r="19" spans="1:4" x14ac:dyDescent="0.2">
      <c r="A19">
        <v>2500</v>
      </c>
      <c r="B19" t="s">
        <v>708</v>
      </c>
      <c r="C19" s="178">
        <f>ROUND('DOE25'!L207+'DOE25'!L225+'DOE25'!L243+'DOE25'!L286+'DOE25'!L305+'DOE25'!L324,0)</f>
        <v>979</v>
      </c>
      <c r="D19" s="181">
        <f t="shared" si="0"/>
        <v>0.1</v>
      </c>
    </row>
    <row r="20" spans="1:4" x14ac:dyDescent="0.2">
      <c r="A20">
        <v>2600</v>
      </c>
      <c r="B20" t="s">
        <v>709</v>
      </c>
      <c r="C20" s="178">
        <f>ROUND('DOE25'!L208+'DOE25'!L226+'DOE25'!L244+'DOE25'!L287+'DOE25'!L306+'DOE25'!L325,0)</f>
        <v>164114</v>
      </c>
      <c r="D20" s="181">
        <f t="shared" si="0"/>
        <v>11</v>
      </c>
    </row>
    <row r="21" spans="1:4" x14ac:dyDescent="0.2">
      <c r="A21">
        <v>2700</v>
      </c>
      <c r="B21" t="s">
        <v>710</v>
      </c>
      <c r="C21" s="178">
        <f>ROUND('DOE25'!L209+'DOE25'!L227+'DOE25'!L245+'DOE25'!L288+'DOE25'!L307+'DOE25'!L326,0)</f>
        <v>3996</v>
      </c>
      <c r="D21" s="181">
        <f t="shared" si="0"/>
        <v>0.3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1487987</v>
      </c>
      <c r="D28" s="183">
        <f>ROUND(SUM(D10:D27),0)</f>
        <v>100</v>
      </c>
    </row>
    <row r="29" spans="1:4" x14ac:dyDescent="0.2">
      <c r="A29">
        <v>4000</v>
      </c>
      <c r="B29" t="s">
        <v>724</v>
      </c>
      <c r="C29" s="178">
        <f>ROUND('DOE25'!L256+'DOE25'!L337+'DOE25'!L375+'DOE25'!L376+'DOE25'!L377+'DOE25'!L378+'DOE25'!L379+'DOE25'!L380+'DOE25'!L381,0)</f>
        <v>71987</v>
      </c>
    </row>
    <row r="30" spans="1:4" x14ac:dyDescent="0.2">
      <c r="B30" s="186" t="s">
        <v>725</v>
      </c>
      <c r="C30" s="179">
        <f>SUM(C28:C29)</f>
        <v>1559974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1060739</v>
      </c>
      <c r="D35" s="181">
        <f t="shared" ref="D35:D40" si="1">ROUND((C35/$C$41)*100,1)</f>
        <v>60.1</v>
      </c>
    </row>
    <row r="36" spans="1:4" x14ac:dyDescent="0.2">
      <c r="B36" s="184" t="s">
        <v>739</v>
      </c>
      <c r="C36" s="178">
        <f>SUM('DOE25'!F112:J112)-SUM('DOE25'!G97:G110)+('DOE25'!F175+'DOE25'!F176+'DOE25'!I175+'DOE25'!I176)-C35</f>
        <v>39249.040000000037</v>
      </c>
      <c r="D36" s="181">
        <f t="shared" si="1"/>
        <v>2.2000000000000002</v>
      </c>
    </row>
    <row r="37" spans="1:4" x14ac:dyDescent="0.2">
      <c r="A37" s="182" t="s">
        <v>835</v>
      </c>
      <c r="B37" s="184" t="s">
        <v>728</v>
      </c>
      <c r="C37" s="178">
        <f>ROUND('DOE25'!F117+'DOE25'!F118,0)</f>
        <v>602993</v>
      </c>
      <c r="D37" s="181">
        <f t="shared" si="1"/>
        <v>34.200000000000003</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60628</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1763609.04</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Waterville Valley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305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f>IF('School Level Expenditures'!$B$2=A308,'School Tables'!H308,"")</f>
        <v>305</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2022-08-23T14:32:48Z</cp:lastPrinted>
  <dcterms:created xsi:type="dcterms:W3CDTF">1997-12-04T19:04:30Z</dcterms:created>
  <dcterms:modified xsi:type="dcterms:W3CDTF">2022-12-20T17:33:03Z</dcterms:modified>
</cp:coreProperties>
</file>