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A580BAE-CD9B-49A7-B0D6-C48D5E6CC9F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1" i="13" l="1"/>
  <c r="F6" i="13"/>
  <c r="F14" i="13"/>
  <c r="F15" i="13"/>
  <c r="G524" i="1"/>
  <c r="G522" i="1"/>
  <c r="F524" i="1"/>
  <c r="F522" i="1"/>
  <c r="H527" i="1"/>
  <c r="H529" i="1"/>
  <c r="K264" i="1"/>
  <c r="F50" i="1"/>
  <c r="F14" i="1"/>
  <c r="G22" i="1"/>
  <c r="H48" i="1"/>
  <c r="J605" i="1" l="1"/>
  <c r="J321" i="1"/>
  <c r="I315" i="1"/>
  <c r="G473" i="1"/>
  <c r="G359" i="1"/>
  <c r="F359" i="1"/>
  <c r="G198" i="1"/>
  <c r="F198" i="1"/>
  <c r="H605" i="1" l="1"/>
  <c r="J593" i="1"/>
  <c r="H593" i="1"/>
  <c r="K267" i="1" l="1"/>
  <c r="F440"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E112" i="2" s="1"/>
  <c r="L320" i="1"/>
  <c r="L321" i="1"/>
  <c r="L322" i="1"/>
  <c r="L323" i="1"/>
  <c r="L324" i="1"/>
  <c r="L325" i="1"/>
  <c r="L326" i="1"/>
  <c r="L327" i="1"/>
  <c r="E125" i="2" s="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4"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H12" i="2" l="1"/>
  <c r="H137" i="2"/>
  <c r="H93" i="2"/>
  <c r="H80" i="2"/>
  <c r="H143" i="2"/>
  <c r="H113" i="2"/>
  <c r="E121" i="2"/>
  <c r="H96" i="2"/>
  <c r="H89" i="2"/>
  <c r="H101" i="2"/>
  <c r="H99" i="2"/>
  <c r="H79" i="2"/>
  <c r="H76" i="2"/>
  <c r="H58" i="2"/>
  <c r="H132" i="2"/>
  <c r="H36" i="2"/>
  <c r="H44" i="2"/>
  <c r="H48" i="2"/>
  <c r="H97" i="2"/>
  <c r="H87" i="2"/>
  <c r="H26" i="2"/>
  <c r="H35" i="2"/>
  <c r="H13" i="2"/>
  <c r="H9" i="2"/>
  <c r="H69" i="2"/>
  <c r="H47" i="2"/>
  <c r="H30" i="2"/>
  <c r="H25" i="2"/>
  <c r="H17" i="2"/>
  <c r="H102" i="2"/>
  <c r="H100" i="2"/>
  <c r="H98" i="2"/>
  <c r="H73" i="2"/>
  <c r="H23" i="2"/>
  <c r="H15" i="2"/>
  <c r="H38" i="2"/>
  <c r="H43" i="2"/>
  <c r="H29" i="2"/>
  <c r="H34" i="2"/>
  <c r="J652" i="1"/>
  <c r="G662" i="1"/>
  <c r="H477" i="1"/>
  <c r="H625" i="1" s="1"/>
  <c r="E120" i="2"/>
  <c r="H112" i="2"/>
  <c r="H61" i="2"/>
  <c r="H22" i="2"/>
  <c r="H11" i="2"/>
  <c r="G477" i="1"/>
  <c r="H624" i="1" s="1"/>
  <c r="J624" i="1" s="1"/>
  <c r="D78" i="2"/>
  <c r="H77" i="2"/>
  <c r="H28" i="2"/>
  <c r="G409" i="1"/>
  <c r="H646" i="1" s="1"/>
  <c r="J646" i="1" s="1"/>
  <c r="C125" i="2"/>
  <c r="H125" i="2" s="1"/>
  <c r="D15" i="13"/>
  <c r="C15" i="13" s="1"/>
  <c r="E13" i="13"/>
  <c r="C13" i="13" s="1"/>
  <c r="D6" i="13"/>
  <c r="C6" i="13" s="1"/>
  <c r="C13" i="10"/>
  <c r="C12" i="10"/>
  <c r="C110" i="2"/>
  <c r="C121" i="2"/>
  <c r="H121" i="2" s="1"/>
  <c r="C120" i="2"/>
  <c r="A40" i="12"/>
  <c r="H59" i="2"/>
  <c r="H8" i="2"/>
  <c r="G62"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B33" i="16"/>
  <c r="E144" i="2"/>
  <c r="H57" i="2"/>
  <c r="H16" i="2"/>
  <c r="H85" i="2"/>
  <c r="H114" i="2"/>
  <c r="H42" i="2"/>
  <c r="H21" i="2"/>
  <c r="H120" i="2"/>
  <c r="D128" i="2"/>
  <c r="D145" i="2" s="1"/>
  <c r="H127" i="2"/>
  <c r="H122" i="2"/>
  <c r="E128" i="2"/>
  <c r="H110" i="2"/>
  <c r="H118" i="2"/>
  <c r="E115" i="2"/>
  <c r="H109" i="2"/>
  <c r="F661" i="1"/>
  <c r="F665" i="1" s="1"/>
  <c r="F668" i="1" s="1"/>
  <c r="E51" i="2"/>
  <c r="D51" i="2"/>
  <c r="H91" i="2"/>
  <c r="H50" i="2"/>
  <c r="I663" i="1"/>
  <c r="H103" i="2"/>
  <c r="H62" i="2"/>
  <c r="C81" i="2"/>
  <c r="H81" i="2" s="1"/>
  <c r="F194" i="1"/>
  <c r="G628" i="1" s="1"/>
  <c r="J628" i="1" s="1"/>
  <c r="H31" i="2"/>
  <c r="H18" i="2"/>
  <c r="G144" i="2"/>
  <c r="G145" i="2" s="1"/>
  <c r="H134"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H63"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E145" i="2"/>
  <c r="H115" i="2"/>
  <c r="H51" i="2"/>
  <c r="H673" i="1"/>
  <c r="C6" i="10" s="1"/>
  <c r="C144" i="2"/>
  <c r="C145" i="2" s="1"/>
  <c r="H141" i="2"/>
  <c r="C104" i="2"/>
  <c r="H104" i="2"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6A442E25-66FA-4D62-AB60-D791F94F2CB7}">
      <text>
        <r>
          <rPr>
            <sz val="8"/>
            <color indexed="81"/>
            <rFont val="Tahoma"/>
            <family val="2"/>
          </rPr>
          <t xml:space="preserve">Only report the state’s share of the revenue on this page.  Do not lump sum the state and federal revenues.
</t>
        </r>
      </text>
    </comment>
    <comment ref="G158" authorId="0" shapeId="0" xr:uid="{7747B423-F926-4C9A-9448-0360C1320161}">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<sst xmlns="http://schemas.openxmlformats.org/spreadsheetml/2006/main" count="6531" uniqueCount="1803">
  <si>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</si>
  <si>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</si>
  <si>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</si>
  <si>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</si>
  <si>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</si>
  <si>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</si>
  <si>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</si>
  <si>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</si>
  <si>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</si>
  <si>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</si>
  <si>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</si>
  <si>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</si>
  <si>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</si>
  <si>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</si>
  <si>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</si>
  <si>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</si>
  <si>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</si>
  <si>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</si>
  <si>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</si>
  <si>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</si>
  <si>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</si>
  <si>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</si>
  <si>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</si>
  <si>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</si>
  <si>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</si>
  <si>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</si>
  <si>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</si>
  <si>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</si>
  <si>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</si>
  <si>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</si>
  <si>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</si>
  <si>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</si>
  <si>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</si>
  <si>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</si>
  <si>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</si>
  <si>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</si>
  <si>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</si>
  <si>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</si>
  <si>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</si>
  <si>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</si>
  <si>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</si>
  <si>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</si>
  <si>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</si>
  <si>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</si>
  <si>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</si>
  <si>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</si>
  <si>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</si>
  <si>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</si>
  <si>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</si>
  <si>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</si>
  <si>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</si>
  <si>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</si>
  <si>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</si>
  <si>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</si>
  <si>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</si>
  <si>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</si>
  <si>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</si>
  <si>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</si>
  <si>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</si>
  <si>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</si>
  <si>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</si>
  <si>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</si>
  <si>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</si>
  <si>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</si>
  <si>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</si>
  <si>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</si>
  <si>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</si>
  <si>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</si>
  <si>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</si>
  <si>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</si>
  <si>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</si>
  <si>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</si>
  <si>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</si>
  <si>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</si>
  <si>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</si>
  <si>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</si>
  <si>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</si>
  <si>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</si>
  <si>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</si>
  <si>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</si>
  <si>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</si>
  <si>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</si>
  <si>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</si>
  <si>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</si>
  <si>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</si>
  <si>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</si>
  <si>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</si>
  <si>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</si>
  <si>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</si>
  <si>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</si>
  <si>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</si>
  <si>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</si>
  <si>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</si>
  <si>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</si>
  <si>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</si>
  <si>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</si>
  <si>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</si>
  <si>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</si>
  <si>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</si>
  <si>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</si>
  <si>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</si>
  <si>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</si>
  <si>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</si>
  <si>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</si>
  <si>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</si>
  <si>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</si>
  <si>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</si>
  <si>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</si>
  <si>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</si>
  <si>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</si>
  <si>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</si>
  <si>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</si>
  <si>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</si>
  <si>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</si>
  <si>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</si>
  <si>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</si>
  <si>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</si>
  <si>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</si>
  <si>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</si>
  <si>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</si>
  <si>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</si>
  <si>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</si>
  <si>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</si>
  <si>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</si>
  <si>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</si>
  <si>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</si>
  <si>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</si>
  <si>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</si>
  <si>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</si>
  <si>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</si>
  <si>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</si>
  <si>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</si>
  <si>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</si>
  <si>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</si>
  <si>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</si>
  <si>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</si>
  <si>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</si>
  <si>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</si>
  <si>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</si>
  <si>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</si>
  <si>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</si>
  <si>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</si>
  <si>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</si>
  <si>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</si>
  <si>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</si>
  <si>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</si>
  <si>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</si>
  <si>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</si>
  <si>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</si>
  <si>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</si>
  <si>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</si>
  <si>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</si>
  <si>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</si>
  <si>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</si>
  <si>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</si>
  <si>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</si>
  <si>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</si>
  <si>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</si>
  <si>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</si>
  <si>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</si>
  <si>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</si>
  <si>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</si>
  <si>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</si>
  <si>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</si>
  <si>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</si>
  <si>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</si>
  <si>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</si>
  <si>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</si>
  <si>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</si>
  <si>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</si>
  <si>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</si>
  <si>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</si>
  <si>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</si>
  <si>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</si>
  <si>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</si>
  <si>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</si>
  <si>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</si>
  <si>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</si>
  <si>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</si>
  <si>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</si>
  <si>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</si>
  <si>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</si>
  <si>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</si>
  <si>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</si>
  <si>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</si>
  <si>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</si>
  <si>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</si>
  <si>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</si>
  <si>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</si>
  <si>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</si>
  <si>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</si>
  <si>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</si>
  <si>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</si>
  <si>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</si>
  <si>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</si>
  <si>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</si>
  <si>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</si>
  <si>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</si>
  <si>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</si>
  <si>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</si>
  <si>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</si>
  <si>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</si>
  <si>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</si>
  <si>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</si>
  <si>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</si>
  <si>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</si>
  <si>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</si>
  <si>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</si>
  <si>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</si>
  <si>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</si>
  <si>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</si>
  <si>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</si>
  <si>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</si>
  <si>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</si>
  <si>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</si>
  <si>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</si>
  <si>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</si>
  <si>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</si>
  <si>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</si>
  <si>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</si>
  <si>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</si>
  <si>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</si>
  <si>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</si>
  <si>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</si>
  <si>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</si>
  <si>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</si>
  <si>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</si>
  <si>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</si>
  <si>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</si>
  <si>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</si>
  <si>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</si>
  <si>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</si>
  <si>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</si>
  <si>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</si>
  <si>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</si>
  <si>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</si>
  <si>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</si>
  <si>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</si>
  <si>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</si>
  <si>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</si>
  <si>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</si>
  <si>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</si>
  <si>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</si>
  <si>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</si>
  <si>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</si>
  <si>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</si>
  <si>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</si>
  <si>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</si>
  <si>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</si>
  <si>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</si>
  <si>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</si>
  <si>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</si>
  <si>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</si>
  <si>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</si>
  <si>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</si>
  <si>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</si>
  <si>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</si>
  <si>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</si>
  <si>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</si>
  <si>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</si>
  <si>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</si>
  <si>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</si>
  <si>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</si>
  <si>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</si>
  <si>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</si>
  <si>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</si>
  <si>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</si>
  <si>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</si>
  <si>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</si>
  <si>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</si>
  <si>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</si>
  <si>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</si>
  <si>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</si>
  <si>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</si>
  <si>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</si>
  <si>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</si>
  <si>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</si>
  <si>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</si>
  <si>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</si>
  <si>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</si>
  <si>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</si>
  <si>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</si>
  <si>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</si>
  <si>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</si>
  <si>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</si>
  <si>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</si>
  <si>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</si>
  <si>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</si>
  <si>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</si>
  <si>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</si>
  <si>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</si>
  <si>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</si>
  <si>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</si>
  <si>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</si>
  <si>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</si>
  <si>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</si>
  <si>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</si>
  <si>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</si>
  <si>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</si>
  <si>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</si>
  <si>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</si>
  <si>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</si>
  <si>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</si>
  <si>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</si>
  <si>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</si>
  <si>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</si>
  <si>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</si>
  <si>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</si>
  <si>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</si>
  <si>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</si>
  <si>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</si>
  <si>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</si>
  <si>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</si>
  <si>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</si>
  <si>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</si>
  <si>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</si>
  <si>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</si>
  <si>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</si>
  <si>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</si>
  <si>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</si>
  <si>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</si>
  <si>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</si>
  <si>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</si>
  <si>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</si>
  <si>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</si>
  <si>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</si>
  <si>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</si>
  <si>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</si>
  <si>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</si>
  <si>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</si>
  <si>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</si>
  <si>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</si>
  <si>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</si>
  <si>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</si>
  <si>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</si>
  <si>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</si>
  <si>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</si>
  <si>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</si>
  <si>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</si>
  <si>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</si>
  <si>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</si>
  <si>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</si>
  <si>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</si>
  <si>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</si>
  <si>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</si>
  <si>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</si>
  <si>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</si>
  <si>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</si>
  <si>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</si>
  <si>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</si>
  <si>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</si>
  <si>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</si>
  <si>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</si>
  <si>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</si>
  <si>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</si>
  <si>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</si>
  <si>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</si>
  <si>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</si>
  <si>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</si>
  <si>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</si>
  <si>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</si>
  <si>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</si>
  <si>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</si>
  <si>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</si>
  <si>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</si>
  <si>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</si>
  <si>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</si>
  <si>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</si>
  <si>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</si>
  <si>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</si>
  <si>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</si>
  <si>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</si>
  <si>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</si>
  <si>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</si>
  <si>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</si>
  <si>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</si>
  <si>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</si>
  <si>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</si>
  <si>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</si>
  <si>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</si>
  <si>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</si>
  <si>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</si>
  <si>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</si>
  <si>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</si>
  <si>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</si>
  <si>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</si>
  <si>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</si>
  <si>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</si>
  <si>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</si>
  <si>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</si>
  <si>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</si>
  <si>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</si>
  <si>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</si>
  <si>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</si>
  <si>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</si>
  <si>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</si>
  <si>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</si>
  <si>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</si>
  <si>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</si>
  <si>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</si>
  <si>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</si>
  <si>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</si>
  <si>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</si>
  <si>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</si>
  <si>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</si>
  <si>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</si>
  <si>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</si>
  <si>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</si>
  <si>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</si>
  <si>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</si>
  <si>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</si>
  <si>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</si>
  <si>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</si>
  <si>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</si>
  <si>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</si>
  <si>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</si>
  <si>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</si>
  <si>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</si>
  <si>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</si>
  <si>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</si>
  <si>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</si>
  <si>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</si>
  <si>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</si>
  <si>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</si>
  <si>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</si>
  <si>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</si>
  <si>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</si>
  <si>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</si>
  <si>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</si>
  <si>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</si>
  <si>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</si>
  <si>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</si>
  <si>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</si>
  <si>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</si>
  <si>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</si>
  <si>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</si>
  <si>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</si>
  <si>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</si>
  <si>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</si>
  <si>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</si>
  <si>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</si>
  <si>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</si>
  <si>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</si>
  <si>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</si>
  <si>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</si>
  <si>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</si>
  <si>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</si>
  <si>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</si>
  <si>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</si>
  <si>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</si>
  <si>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</si>
  <si>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</si>
  <si>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</si>
  <si>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</si>
  <si>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</si>
  <si>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</si>
  <si>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</si>
  <si>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</si>
  <si>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</si>
  <si>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</si>
  <si>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</si>
  <si>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</si>
  <si>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</si>
  <si>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</si>
  <si>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</si>
  <si>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</si>
  <si>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</si>
  <si>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</si>
  <si>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</si>
  <si>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</si>
  <si>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</si>
  <si>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</si>
  <si>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</si>
  <si>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</si>
  <si>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</si>
  <si>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</si>
  <si>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</si>
  <si>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</si>
  <si>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</si>
  <si>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</si>
  <si>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</si>
  <si>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</si>
  <si>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</si>
  <si>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</si>
  <si>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</si>
  <si>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</si>
  <si>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</si>
  <si>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</si>
  <si>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</si>
  <si>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</si>
  <si>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</si>
  <si>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</si>
  <si>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</si>
  <si>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</si>
  <si>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</si>
  <si>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</si>
  <si>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</si>
  <si>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</si>
  <si>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</si>
  <si>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</si>
  <si>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</si>
  <si>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</si>
  <si>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</si>
  <si>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</si>
  <si>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</si>
  <si>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</si>
  <si>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</si>
  <si>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</si>
  <si>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</si>
  <si>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</si>
  <si>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</si>
  <si>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</si>
  <si>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</si>
  <si>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</si>
  <si>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</si>
  <si>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</si>
  <si>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</si>
  <si>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</si>
  <si>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</si>
  <si>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</si>
  <si>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</si>
  <si>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</si>
  <si>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</si>
  <si>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</si>
  <si>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</si>
  <si>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</si>
  <si>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</si>
  <si>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</si>
  <si>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</si>
  <si>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</si>
  <si>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</si>
  <si>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</si>
  <si>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</si>
  <si>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</si>
  <si>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</si>
  <si>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</si>
  <si>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</si>
  <si>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</si>
  <si>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</si>
  <si>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</si>
  <si>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</si>
  <si>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</si>
  <si>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</si>
  <si>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</si>
  <si>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</si>
  <si>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</si>
  <si>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</si>
  <si>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</si>
  <si>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</si>
  <si>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</si>
  <si>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</si>
  <si>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</si>
  <si>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</si>
  <si>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</si>
  <si>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</si>
  <si>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</si>
  <si>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</si>
  <si>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</si>
  <si>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</si>
  <si>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</si>
  <si>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</si>
  <si>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</si>
  <si>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</si>
  <si>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</si>
  <si>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</si>
  <si>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</si>
  <si>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</si>
  <si>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</si>
  <si>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</si>
  <si>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</si>
  <si>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</si>
  <si>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</si>
  <si>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</si>
  <si>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</si>
  <si>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</si>
  <si>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</si>
  <si>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</si>
  <si>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</si>
  <si>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</si>
  <si>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</si>
  <si>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</si>
  <si>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</si>
  <si>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</si>
  <si>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</si>
  <si>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</si>
  <si>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</si>
  <si>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</si>
  <si>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</si>
  <si>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</si>
  <si>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</si>
  <si>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</si>
  <si>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</si>
  <si>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</si>
  <si>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</si>
  <si>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</si>
  <si>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</si>
  <si>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</si>
  <si>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</si>
  <si>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</si>
  <si>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</si>
  <si>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</si>
  <si>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</si>
  <si>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</si>
  <si>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</si>
  <si>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</si>
  <si>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</si>
  <si>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</si>
  <si>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</si>
  <si>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</si>
  <si>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</si>
  <si>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</si>
  <si>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</si>
  <si>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</si>
  <si>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</si>
  <si>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</si>
  <si>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</si>
  <si>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</si>
  <si>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</si>
  <si>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</si>
  <si>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</si>
  <si>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</si>
  <si>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</si>
  <si>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</si>
  <si>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</si>
  <si>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</si>
  <si>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</si>
  <si>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</si>
  <si>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</si>
  <si>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</si>
  <si>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</si>
  <si>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</si>
  <si>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</si>
  <si>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</si>
  <si>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</si>
  <si>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</si>
  <si>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</si>
  <si>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</si>
  <si>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</si>
  <si>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</si>
  <si>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</si>
  <si>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</si>
  <si>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</si>
  <si>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</si>
  <si>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</si>
  <si>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</si>
  <si>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</si>
  <si>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</si>
  <si>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</si>
  <si>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</si>
  <si>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</si>
  <si>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</si>
  <si>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</si>
  <si>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</si>
  <si>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</si>
  <si>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</si>
  <si>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</si>
  <si>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</si>
  <si>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</si>
  <si>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</si>
  <si>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</si>
  <si>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</si>
  <si>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</si>
  <si>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</si>
  <si>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</si>
  <si>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</si>
  <si>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</si>
  <si>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</si>
  <si>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</si>
  <si>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</si>
  <si>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</si>
  <si>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</si>
  <si>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</si>
  <si>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</si>
  <si>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</si>
  <si>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</si>
  <si>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</si>
  <si>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</si>
  <si>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</si>
  <si>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</si>
  <si>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</si>
  <si>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</si>
  <si>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</si>
  <si>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</si>
  <si>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</si>
  <si>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</si>
  <si>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</si>
  <si>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</si>
  <si>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</si>
  <si>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</si>
  <si>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</si>
  <si>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</si>
  <si>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</si>
  <si>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</si>
  <si>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</si>
  <si>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</si>
  <si>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</si>
  <si>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</si>
  <si>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</si>
  <si>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</si>
  <si>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</si>
  <si>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</si>
  <si>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</si>
  <si>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</si>
  <si>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</si>
  <si>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</si>
  <si>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</si>
  <si>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</si>
  <si>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</si>
  <si>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</si>
  <si>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</si>
  <si>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</si>
  <si>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</si>
  <si>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</si>
  <si>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</si>
  <si>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</si>
  <si>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</si>
  <si>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</si>
  <si>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</si>
  <si>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</si>
  <si>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</si>
  <si>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</si>
  <si>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</si>
  <si>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</si>
  <si>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</si>
  <si>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</si>
  <si>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</si>
  <si>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</si>
  <si>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</si>
  <si>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</si>
  <si>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</si>
  <si>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</si>
  <si>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</si>
  <si>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</si>
  <si>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</si>
  <si>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</si>
  <si>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</si>
  <si>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</si>
  <si>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</si>
  <si>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</si>
  <si>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</si>
  <si>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</si>
  <si>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</si>
  <si>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</si>
  <si>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</si>
  <si>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</si>
  <si>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</si>
  <si>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</si>
  <si>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</si>
  <si>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</si>
  <si>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</si>
  <si>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</si>
  <si>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</si>
  <si>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</si>
  <si>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</si>
  <si>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</si>
  <si>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</si>
  <si>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</si>
  <si>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</si>
  <si>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</si>
  <si>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</si>
  <si>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</si>
  <si>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</si>
  <si>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</si>
  <si>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</si>
  <si>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</si>
  <si>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</si>
  <si>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</si>
  <si>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</si>
  <si>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</si>
  <si>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</si>
  <si>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</si>
  <si>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</si>
  <si>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</si>
  <si>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</si>
  <si>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</si>
  <si>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</si>
  <si>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</si>
  <si>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</si>
  <si>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</si>
  <si>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</si>
  <si>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</si>
  <si>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</si>
  <si>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</si>
  <si>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</si>
  <si>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</si>
  <si>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</si>
  <si>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</si>
  <si>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</si>
  <si>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</si>
  <si>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</si>
  <si>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</si>
  <si>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</si>
  <si>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</si>
  <si>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</si>
  <si>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</si>
  <si>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</si>
  <si>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</si>
  <si>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</si>
  <si>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</si>
  <si>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</si>
  <si>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</si>
  <si>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</si>
  <si>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</si>
  <si>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</si>
  <si>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</si>
  <si>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</si>
  <si>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</si>
  <si>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</si>
  <si>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</si>
  <si>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</si>
  <si>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</si>
  <si>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</si>
  <si>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</si>
  <si>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</si>
  <si>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</si>
  <si>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</si>
  <si>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</si>
  <si>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</si>
  <si>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</si>
  <si>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</si>
  <si>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</si>
  <si>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</si>
  <si>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</si>
  <si>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</si>
  <si>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</si>
  <si>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</si>
  <si>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</si>
  <si>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</si>
  <si>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</si>
  <si>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</si>
  <si>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</si>
  <si>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</si>
  <si>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</si>
  <si>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</si>
  <si>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</si>
  <si>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</si>
  <si>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</si>
  <si>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</si>
  <si>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</si>
  <si>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</si>
  <si>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</si>
  <si>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</si>
  <si>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</si>
  <si>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</si>
  <si>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</si>
  <si>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</si>
  <si>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</si>
  <si>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</si>
  <si>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</si>
  <si>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</si>
  <si>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</si>
  <si>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</si>
  <si>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</si>
  <si>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</si>
  <si>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</si>
  <si>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</si>
  <si>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</si>
  <si>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</si>
  <si>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</si>
  <si>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</si>
  <si>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</si>
  <si>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</si>
  <si>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</si>
  <si>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</si>
  <si>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</si>
  <si>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</si>
  <si>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</si>
  <si>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</si>
  <si>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</si>
  <si>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</si>
  <si>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</si>
  <si>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</si>
  <si>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</si>
  <si>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</si>
  <si>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</si>
  <si>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</si>
  <si>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</si>
  <si>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</si>
  <si>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</si>
  <si>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</si>
  <si>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</si>
  <si>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</si>
  <si>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</si>
  <si>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</si>
  <si>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</si>
  <si>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</si>
  <si>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</si>
  <si>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</si>
  <si>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</si>
  <si>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</si>
  <si>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</si>
  <si>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</si>
  <si>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</si>
  <si>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</si>
  <si>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</si>
  <si>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</si>
  <si>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</si>
  <si>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</si>
  <si>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</si>
  <si>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</si>
  <si>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</si>
  <si>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</si>
  <si>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</si>
  <si>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</si>
  <si>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</si>
  <si>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</si>
  <si>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</si>
  <si>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</si>
  <si>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</si>
  <si>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</si>
  <si>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</si>
  <si>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</si>
  <si>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</si>
  <si>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</si>
  <si>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</si>
  <si>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</si>
  <si>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</si>
  <si>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</si>
  <si>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</si>
  <si>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</si>
  <si>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</si>
  <si>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</si>
  <si>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</si>
  <si>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</si>
  <si>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</si>
  <si>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</si>
  <si>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</si>
  <si>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</si>
  <si>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</si>
  <si>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</si>
  <si>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</si>
  <si>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</si>
  <si>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</si>
  <si>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</si>
  <si>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</si>
  <si>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</si>
  <si>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</si>
  <si>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</si>
  <si>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</si>
  <si>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</si>
  <si>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</si>
  <si>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</si>
  <si>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</si>
  <si>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</si>
  <si>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</si>
  <si>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</si>
  <si>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</si>
  <si>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</si>
  <si>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</si>
  <si>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</si>
  <si>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</si>
  <si>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</si>
  <si>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</si>
  <si>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</si>
  <si>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</si>
  <si>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</si>
  <si>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</si>
  <si>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</si>
  <si>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</si>
  <si>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</si>
  <si>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</si>
  <si>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</si>
  <si>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</si>
  <si>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</si>
  <si>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</si>
  <si>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</si>
  <si>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</si>
  <si>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</si>
  <si>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</si>
  <si>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</si>
  <si>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</si>
  <si>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</si>
  <si>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</si>
  <si>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</si>
  <si>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</si>
  <si>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</si>
  <si>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</si>
  <si>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</si>
  <si>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</si>
  <si>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</si>
  <si>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</si>
  <si>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</si>
  <si>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</si>
  <si>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</si>
  <si>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</si>
  <si>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</si>
  <si>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</si>
  <si>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</si>
  <si>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</si>
  <si>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</si>
  <si>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</si>
  <si>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</si>
  <si>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</si>
  <si>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</si>
  <si>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</si>
  <si>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</si>
  <si>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</si>
  <si>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</si>
  <si>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</si>
  <si>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</si>
  <si>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</si>
  <si>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</si>
  <si>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</si>
  <si>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</si>
  <si>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</si>
  <si>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</si>
  <si>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</si>
  <si>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</si>
  <si>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</si>
  <si>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</si>
  <si>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</si>
  <si>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</si>
  <si>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</si>
  <si>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</si>
  <si>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</si>
  <si>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</si>
  <si>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</si>
  <si>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</si>
  <si>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</si>
  <si>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</si>
  <si>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</si>
  <si>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</si>
  <si>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</si>
  <si>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</si>
  <si>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</si>
  <si>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</si>
  <si>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</si>
  <si>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</si>
  <si>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</si>
  <si>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</si>
  <si>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</si>
  <si>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</si>
  <si>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</si>
  <si>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</si>
  <si>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</si>
  <si>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</si>
  <si>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</si>
  <si>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</si>
  <si>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</si>
  <si>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</si>
  <si>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</si>
  <si>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</si>
  <si>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</si>
  <si>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</si>
  <si>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</si>
  <si>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</si>
  <si>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</si>
  <si>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</si>
  <si>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</si>
  <si>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</si>
  <si>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</si>
  <si>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</si>
  <si>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</si>
  <si>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</si>
  <si>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</si>
  <si>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</si>
  <si>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</si>
  <si>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</si>
  <si>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</si>
  <si>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</si>
  <si>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</si>
  <si>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</si>
  <si>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</si>
  <si>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</si>
  <si>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</si>
  <si>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</si>
  <si>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</si>
  <si>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</si>
  <si>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</si>
  <si>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</si>
  <si>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</si>
  <si>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</si>
  <si>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</si>
  <si>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</si>
  <si>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</si>
  <si>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</si>
  <si>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</si>
  <si>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</si>
  <si>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</si>
  <si>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</si>
  <si>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</si>
  <si>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</si>
  <si>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</si>
  <si>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</si>
  <si>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</si>
  <si>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</si>
  <si>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</si>
  <si>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</si>
  <si>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</si>
  <si>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</si>
  <si>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</si>
  <si>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</si>
  <si>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</si>
  <si>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</si>
  <si>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</si>
  <si>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</si>
  <si>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</si>
  <si>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</si>
  <si>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</si>
  <si>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</si>
  <si>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</si>
  <si>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</si>
  <si>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</si>
  <si>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</si>
  <si>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</si>
  <si>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</si>
  <si>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</si>
  <si>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</si>
  <si>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</si>
  <si>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</si>
  <si>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</si>
  <si>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</si>
  <si>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</si>
  <si>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</si>
  <si>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</si>
  <si>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</si>
  <si>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</si>
  <si>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</si>
  <si>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</si>
  <si>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</si>
  <si>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</si>
  <si>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</si>
  <si>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</si>
  <si>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</si>
  <si>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</si>
  <si>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</si>
  <si>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</si>
  <si>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</si>
  <si>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</si>
  <si>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</si>
  <si>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</si>
  <si>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</si>
  <si>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</si>
  <si>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</si>
  <si>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</si>
  <si>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</si>
  <si>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</si>
  <si>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</si>
  <si>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</si>
  <si>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</si>
  <si>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</si>
  <si>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</si>
  <si>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</si>
  <si>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</si>
  <si>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</si>
  <si>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</si>
  <si>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</si>
  <si>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</si>
  <si>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</si>
  <si>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</si>
  <si>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</si>
  <si>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</si>
  <si>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</si>
  <si>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</si>
  <si>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</si>
  <si>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</si>
  <si>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</si>
  <si>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</si>
  <si>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</si>
  <si>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</si>
  <si>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</si>
  <si>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</si>
  <si>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</si>
  <si>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</si>
  <si>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</si>
  <si>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</si>
  <si>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</si>
  <si>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</si>
  <si>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</si>
  <si>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</si>
  <si>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</si>
  <si>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</si>
  <si>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</si>
  <si>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</si>
  <si>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</si>
  <si>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</si>
  <si>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</si>
  <si>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</si>
  <si>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</si>
  <si>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</si>
  <si>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</si>
  <si>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</si>
  <si>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</si>
  <si>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</si>
  <si>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</si>
  <si>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</si>
  <si>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</si>
  <si>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</si>
  <si>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</si>
  <si>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</si>
  <si>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</si>
  <si>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</si>
  <si>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</si>
  <si>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</si>
  <si>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</si>
  <si>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</si>
  <si>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</si>
  <si>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</si>
  <si>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</si>
  <si>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</si>
  <si>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</si>
  <si>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</si>
  <si>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</si>
  <si>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</si>
  <si>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</si>
  <si>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</si>
  <si>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</si>
  <si>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</si>
  <si>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</si>
  <si>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</si>
  <si>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</si>
  <si>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</si>
  <si>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</si>
  <si>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</si>
  <si>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</si>
  <si>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</si>
  <si>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</si>
  <si>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</si>
  <si>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</si>
  <si>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</si>
  <si>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</si>
  <si>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</si>
  <si>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</si>
  <si>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</si>
  <si>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</si>
  <si>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</si>
  <si>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</si>
  <si>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</si>
  <si>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</si>
  <si>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</si>
  <si>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</si>
  <si>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</si>
  <si>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</si>
  <si>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</si>
  <si>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</si>
  <si>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</si>
  <si>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</si>
  <si>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</si>
  <si>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</si>
  <si>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</si>
  <si>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</si>
  <si>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</si>
  <si>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</si>
  <si>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</si>
  <si>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</si>
  <si>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</si>
  <si>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</si>
  <si>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</si>
  <si>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</si>
  <si>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</si>
  <si>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</si>
  <si>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</si>
  <si>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</si>
  <si>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</si>
  <si>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</si>
  <si>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</si>
  <si>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</si>
  <si>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</si>
  <si>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</si>
  <si>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</si>
  <si>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</si>
  <si>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</si>
  <si>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</si>
  <si>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</si>
  <si>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</si>
  <si>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</si>
  <si>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</si>
  <si>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</si>
  <si>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</si>
  <si>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</si>
  <si>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</si>
  <si>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</si>
  <si>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</si>
  <si>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</si>
  <si>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</si>
  <si>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</si>
  <si>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</si>
  <si>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</si>
  <si>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</si>
  <si>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</si>
  <si>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</si>
  <si>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</si>
  <si>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</si>
  <si>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</si>
  <si>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</si>
  <si>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</si>
  <si>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</si>
  <si>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</si>
  <si>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</si>
  <si>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</si>
  <si>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</si>
  <si>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</si>
  <si>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</si>
  <si>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</si>
  <si>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</si>
  <si>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</si>
  <si>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</si>
  <si>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</si>
  <si>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</si>
  <si>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</si>
  <si>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</si>
  <si>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</si>
  <si>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</si>
  <si>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</si>
  <si>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</si>
  <si>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</si>
  <si>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</si>
  <si>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</si>
  <si>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</si>
  <si>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</si>
  <si>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</si>
  <si>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</si>
  <si>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</si>
  <si>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</si>
  <si>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</si>
  <si>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</si>
  <si>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</si>
  <si>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</si>
  <si>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</si>
  <si>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</si>
  <si>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</si>
  <si>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</si>
  <si>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</si>
  <si>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</si>
  <si>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</si>
  <si>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</si>
  <si>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</si>
  <si>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</si>
  <si>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</si>
  <si>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</si>
  <si>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</si>
  <si>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</si>
  <si>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</si>
  <si>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</si>
  <si>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</si>
  <si>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</si>
  <si>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</si>
  <si>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</si>
  <si>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</si>
  <si>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</si>
  <si>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</si>
  <si>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</si>
  <si>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</si>
  <si>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</si>
  <si>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</si>
  <si>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</si>
  <si>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</si>
  <si>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</si>
  <si>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</si>
  <si>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</si>
  <si>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</si>
  <si>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</si>
  <si>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</si>
  <si>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</si>
  <si>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</si>
  <si>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</si>
  <si>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</si>
  <si>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</si>
  <si>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</si>
  <si>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</si>
  <si>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</si>
  <si>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</si>
  <si>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</si>
  <si>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</si>
  <si>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</si>
  <si>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</si>
  <si>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</si>
  <si>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</si>
  <si>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</si>
  <si>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</si>
  <si>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</si>
  <si>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</si>
  <si>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</si>
  <si>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</si>
  <si>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</si>
  <si>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</si>
  <si>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</si>
  <si>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</si>
  <si>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</si>
  <si>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</si>
  <si>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</si>
  <si>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</si>
  <si>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</si>
  <si>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</si>
  <si>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</si>
  <si>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</si>
  <si>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</si>
  <si>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</si>
  <si>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</si>
  <si>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</si>
  <si>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</si>
  <si>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</si>
  <si>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</si>
  <si>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</si>
  <si>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</si>
  <si>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</si>
  <si>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</si>
  <si>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</si>
  <si>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</si>
  <si>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</si>
  <si>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</si>
  <si>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</si>
  <si>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</si>
  <si>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</si>
  <si>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</si>
  <si>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</si>
  <si>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</si>
  <si>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</si>
  <si>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</si>
  <si>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</si>
  <si>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</si>
  <si>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</si>
  <si>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</si>
  <si>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</si>
  <si>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</si>
  <si>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</si>
  <si>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</si>
  <si>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</si>
  <si>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</si>
  <si>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</si>
  <si>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</si>
  <si>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</si>
  <si>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</si>
  <si>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</si>
  <si>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</si>
  <si>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</si>
  <si>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</si>
  <si>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</si>
  <si>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</si>
  <si>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</si>
  <si>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</si>
  <si>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</si>
  <si>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</si>
  <si>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</si>
  <si>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</si>
  <si>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</si>
  <si>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</si>
  <si>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</si>
  <si>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</si>
  <si>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</si>
  <si>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</si>
  <si>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</si>
  <si>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</si>
  <si>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</si>
  <si>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</si>
  <si>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</si>
  <si>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</si>
  <si>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</si>
  <si>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</si>
  <si>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</si>
  <si>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</si>
  <si>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</si>
  <si>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</si>
  <si>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</si>
  <si>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</si>
  <si>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</si>
  <si>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</si>
  <si>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</si>
  <si>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</si>
  <si>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</si>
  <si>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</si>
  <si>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</si>
  <si>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</si>
  <si>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</si>
  <si>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</si>
  <si>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</si>
  <si>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</si>
  <si>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</si>
  <si>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</si>
  <si>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</si>
  <si>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</si>
  <si>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</si>
  <si>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</si>
  <si>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</si>
  <si>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</si>
  <si>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</si>
  <si>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</si>
  <si>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</si>
  <si>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</si>
  <si>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</si>
  <si>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</si>
  <si>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</si>
  <si>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</si>
  <si>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</si>
  <si>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</si>
  <si>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</si>
  <si>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</si>
  <si>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</si>
  <si>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</si>
  <si>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</si>
  <si>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</si>
  <si>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</si>
  <si>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</si>
  <si>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</si>
  <si>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</si>
  <si>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</si>
  <si>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</si>
  <si>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</si>
  <si>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</si>
  <si>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</si>
  <si>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</si>
  <si>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</si>
  <si>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</si>
  <si>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</si>
  <si>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</si>
  <si>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</si>
  <si>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</si>
  <si>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</si>
  <si>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</si>
  <si>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</si>
  <si>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</si>
  <si>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</si>
  <si>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</si>
  <si>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</si>
  <si>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</si>
  <si>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</si>
  <si>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</si>
  <si>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</si>
  <si>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</si>
  <si>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</si>
  <si>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</si>
  <si>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</si>
  <si>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</si>
  <si>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</si>
  <si>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</si>
  <si>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</si>
  <si>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</si>
  <si>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</si>
  <si>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</si>
  <si>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</si>
  <si>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</si>
  <si>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</si>
  <si>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</si>
  <si>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</si>
  <si>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</si>
  <si>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</si>
  <si>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</si>
  <si>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</si>
  <si>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</si>
  <si>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</si>
  <si>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</si>
  <si>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</si>
  <si>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</si>
  <si>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</si>
  <si>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</si>
  <si>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</si>
  <si>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</si>
  <si>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</si>
  <si>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</si>
  <si>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</si>
  <si>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</si>
  <si>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</si>
  <si>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</si>
  <si>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</si>
  <si>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</si>
  <si>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</si>
  <si>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</si>
  <si>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</si>
  <si>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</si>
  <si>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</si>
  <si>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</si>
  <si>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</si>
  <si>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</si>
  <si>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</si>
  <si>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</si>
  <si>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</si>
  <si>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</si>
  <si>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</si>
  <si>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</si>
  <si>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</si>
  <si>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</si>
  <si>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</si>
  <si>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</si>
  <si>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</si>
  <si>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</si>
  <si>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</si>
  <si>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</si>
  <si>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</si>
  <si>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</si>
  <si>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</si>
  <si>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</si>
  <si>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</si>
  <si>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</si>
  <si>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</si>
  <si>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</si>
  <si>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</si>
  <si>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</si>
  <si>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</si>
  <si>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</si>
  <si>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</si>
  <si>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</si>
  <si>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</si>
  <si>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</si>
  <si>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</si>
  <si>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</si>
  <si>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</si>
  <si>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</si>
  <si>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</si>
  <si>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</si>
  <si>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</si>
  <si>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</si>
  <si>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</si>
  <si>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</si>
  <si>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</si>
  <si>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</si>
  <si>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</si>
  <si>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</si>
  <si>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</si>
  <si>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</si>
  <si>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</si>
  <si>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</si>
  <si>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</si>
  <si>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</si>
  <si>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</si>
  <si>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</si>
  <si>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</si>
  <si>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</si>
  <si>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</si>
  <si>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</si>
  <si>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</si>
  <si>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</si>
  <si>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</si>
  <si>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</si>
  <si>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</si>
  <si>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</si>
  <si>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</si>
  <si>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</si>
  <si>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</si>
  <si>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</si>
  <si>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</si>
  <si>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</si>
  <si>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</si>
  <si>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</si>
  <si>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</si>
  <si>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</si>
  <si>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</si>
  <si>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</si>
  <si>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</si>
  <si>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</si>
  <si>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</si>
  <si>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</si>
  <si>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</si>
  <si>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</si>
  <si>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</si>
  <si>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</si>
  <si>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</si>
  <si>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</si>
  <si>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</si>
  <si>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</si>
  <si>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</si>
  <si>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</si>
  <si>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</si>
  <si>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</si>
  <si>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</si>
  <si>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</si>
  <si>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</si>
  <si>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</si>
  <si>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</si>
  <si>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</si>
  <si>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</si>
  <si>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</si>
  <si>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</si>
  <si>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</si>
  <si>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</si>
  <si>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</si>
  <si>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</si>
  <si>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</si>
  <si>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</si>
  <si>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</si>
  <si>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</si>
  <si>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</si>
  <si>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</si>
  <si>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</si>
  <si>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</si>
  <si>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</si>
  <si>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</si>
  <si>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</si>
  <si>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</si>
  <si>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</si>
  <si>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</si>
  <si>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</si>
  <si>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</si>
  <si>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</si>
  <si>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</si>
  <si>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</si>
  <si>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</si>
  <si>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</si>
  <si>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</si>
  <si>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</si>
  <si>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</si>
  <si>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</si>
  <si>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</si>
  <si>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</si>
  <si>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</si>
  <si>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</si>
  <si>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</si>
  <si>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</si>
  <si>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</si>
  <si>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</si>
  <si>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</si>
  <si>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</si>
  <si>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</si>
  <si>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</si>
  <si>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</si>
  <si>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</si>
  <si>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</si>
  <si>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</si>
  <si>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</si>
  <si>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</si>
  <si>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</si>
  <si>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</si>
  <si>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</si>
  <si>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</si>
  <si>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</si>
  <si>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</si>
  <si>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</si>
  <si>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</si>
  <si>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</si>
  <si>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</si>
  <si>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</si>
  <si>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</si>
  <si>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</si>
  <si>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</si>
  <si>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</si>
  <si>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</si>
  <si>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</si>
  <si>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</si>
  <si>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</si>
  <si>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</si>
  <si>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</si>
  <si>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</si>
  <si>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</si>
  <si>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</si>
  <si>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</si>
  <si>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</si>
  <si>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</si>
  <si>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</si>
  <si>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</si>
  <si>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</si>
  <si>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</si>
  <si>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</si>
  <si>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</si>
  <si>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</si>
  <si>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</si>
  <si>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</si>
  <si>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</si>
  <si>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</si>
  <si>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</si>
  <si>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</si>
  <si>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</si>
  <si>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</si>
  <si>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</si>
  <si>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</si>
  <si>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</si>
  <si>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</si>
  <si>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</si>
  <si>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</si>
  <si>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</si>
  <si>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</si>
  <si>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</si>
  <si>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</si>
  <si>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</si>
  <si>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</si>
  <si>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</si>
  <si>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</si>
  <si>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</si>
  <si>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</si>
  <si>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</si>
  <si>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</si>
  <si>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</si>
  <si>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</si>
  <si>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</si>
  <si>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</si>
  <si>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</si>
  <si>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</si>
  <si>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</si>
  <si>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</si>
  <si>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</si>
  <si>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</si>
  <si>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</si>
  <si>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</si>
  <si>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</si>
  <si>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</si>
  <si>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</si>
  <si>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</si>
  <si>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</si>
  <si>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</si>
  <si>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</si>
  <si>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</si>
  <si>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</si>
  <si>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</si>
  <si>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</si>
  <si>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</si>
  <si>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</si>
  <si>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</si>
  <si>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</si>
  <si>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</si>
  <si>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</si>
  <si>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</si>
  <si>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</si>
  <si>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</si>
  <si>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</si>
  <si>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Vocational tuition aid is reported on an accrual basis consistent with WMRSD's historical accounting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</si>
</sst>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1468</v>
      </c>
      <c r="B2" s="126">
        <f>INDEX('School Tables'!$AH$3:$AH$208,MATCH('DOE25'!A2,'School Tables'!$AJ$3:$AJ$208,0))</f>
        <v>568</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1626901.29</v>
      </c>
      <c r="G9" s="18"/>
      <c r="H9" s="18"/>
      <c r="I9" s="18"/>
      <c r="J9" s="67">
        <f>SUM(I440)</f>
        <v>2354205.15</v>
      </c>
      <c r="K9" s="24" t="s">
        <v>288</v>
      </c>
      <c r="L9" s="24" t="s">
        <v>288</v>
      </c>
      <c r="M9" s="8"/>
      <c r="N9" s="265"/>
    </row>
    <row r="10" spans="1:14" s="3" customFormat="1" ht="12.2" customHeight="1" x14ac:dyDescent="0.15">
      <c r="A10" s="1" t="s">
        <v>562</v>
      </c>
      <c r="B10" s="2" t="s">
        <v>289</v>
      </c>
      <c r="C10" s="6">
        <v>2</v>
      </c>
      <c r="D10" s="2" t="s">
        <v>428</v>
      </c>
      <c r="E10" s="6">
        <v>110</v>
      </c>
      <c r="F10" s="18">
        <v>169.26</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v>609417</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820626.51</v>
      </c>
      <c r="G12" s="18"/>
      <c r="H12" s="18">
        <v>28885.11</v>
      </c>
      <c r="I12" s="18"/>
      <c r="J12" s="67">
        <f>SUM(I442)</f>
        <v>10595.76</v>
      </c>
      <c r="K12" s="24" t="s">
        <v>288</v>
      </c>
      <c r="L12" s="24" t="s">
        <v>288</v>
      </c>
      <c r="M12" s="8"/>
      <c r="N12" s="265"/>
    </row>
    <row r="13" spans="1:14" s="3" customFormat="1" ht="12.2" customHeight="1" x14ac:dyDescent="0.15">
      <c r="A13" s="1" t="s">
        <v>604</v>
      </c>
      <c r="B13" s="2" t="s">
        <v>289</v>
      </c>
      <c r="C13" s="6">
        <v>5</v>
      </c>
      <c r="D13" s="2" t="s">
        <v>428</v>
      </c>
      <c r="E13" s="6">
        <v>140</v>
      </c>
      <c r="F13" s="18">
        <v>223508.93</v>
      </c>
      <c r="G13" s="18">
        <v>187679.53000000003</v>
      </c>
      <c r="H13" s="18">
        <v>776410.12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20138.36-29.4</f>
        <v>20108.96</v>
      </c>
      <c r="G14" s="18">
        <v>154.04</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91269.58</v>
      </c>
      <c r="G17" s="18"/>
      <c r="H17" s="18">
        <v>10681</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3392001.53</v>
      </c>
      <c r="G19" s="41">
        <f>SUM(G9:G18)</f>
        <v>187833.57000000004</v>
      </c>
      <c r="H19" s="41">
        <f>SUM(H9:H18)</f>
        <v>815976.23</v>
      </c>
      <c r="I19" s="41">
        <f>SUM(I9:I18)</f>
        <v>0</v>
      </c>
      <c r="J19" s="41">
        <f>SUM(J9:J18)</f>
        <v>2364800.9099999997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329011.37</v>
      </c>
      <c r="G22" s="18">
        <f>85097.37</f>
        <v>85097.37</v>
      </c>
      <c r="H22" s="18">
        <v>445487.64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131316.32</v>
      </c>
      <c r="K23" s="24" t="s">
        <v>288</v>
      </c>
      <c r="L23" s="24" t="s">
        <v>288</v>
      </c>
      <c r="M23" s="8"/>
      <c r="N23" s="265"/>
    </row>
    <row r="24" spans="1:14" s="3" customFormat="1" ht="12.2" customHeight="1" x14ac:dyDescent="0.15">
      <c r="A24" s="1" t="s">
        <v>570</v>
      </c>
      <c r="B24" s="2" t="s">
        <v>289</v>
      </c>
      <c r="C24" s="6">
        <v>14</v>
      </c>
      <c r="D24" s="2" t="s">
        <v>429</v>
      </c>
      <c r="E24" s="6">
        <v>420</v>
      </c>
      <c r="F24" s="18">
        <v>316019.61</v>
      </c>
      <c r="G24" s="18"/>
      <c r="H24" s="18">
        <v>75435.14</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1433535.68</v>
      </c>
      <c r="G28" s="18"/>
      <c r="H28" s="18">
        <v>956.38</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180151.72</v>
      </c>
      <c r="G29" s="18">
        <v>2724.02</v>
      </c>
      <c r="H29" s="18">
        <v>38719.81</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226492.16</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2258718.38</v>
      </c>
      <c r="G32" s="41">
        <f>SUM(G22:G31)</f>
        <v>87821.39</v>
      </c>
      <c r="H32" s="41">
        <f>SUM(H22:H31)</f>
        <v>787091.13</v>
      </c>
      <c r="I32" s="41">
        <f>SUM(I22:I31)</f>
        <v>0</v>
      </c>
      <c r="J32" s="41">
        <f>SUM(J22:J31)</f>
        <v>131316.32</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91269.58</v>
      </c>
      <c r="G36" s="18"/>
      <c r="H36" s="18">
        <v>10681</v>
      </c>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100012.18</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510000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18204.1</f>
        <v>18204.099999999999</v>
      </c>
      <c r="I48" s="18"/>
      <c r="J48" s="13">
        <f>SUM(I460)</f>
        <v>2233484.59</v>
      </c>
      <c r="K48" s="24" t="s">
        <v>288</v>
      </c>
      <c r="L48" s="24" t="s">
        <v>288</v>
      </c>
      <c r="M48" s="8"/>
      <c r="N48" s="265"/>
    </row>
    <row r="49" spans="1:14" s="3" customFormat="1" ht="12.2" customHeight="1" x14ac:dyDescent="0.15">
      <c r="A49" s="1" t="s">
        <v>859</v>
      </c>
      <c r="B49" s="2" t="s">
        <v>289</v>
      </c>
      <c r="C49" s="6">
        <v>34</v>
      </c>
      <c r="D49" s="2"/>
      <c r="E49" s="6">
        <v>753</v>
      </c>
      <c r="F49" s="18">
        <v>71228.509999999995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1132187.04+1458.21-F49-F44-F36-332.7-29.4</f>
        <v>460785.05999999994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1133283.1499999999</v>
      </c>
      <c r="G51" s="41">
        <f>SUM(G35:G50)</f>
        <v>100012.18</v>
      </c>
      <c r="H51" s="41">
        <f>SUM(H35:H50)</f>
        <v>28885.1</v>
      </c>
      <c r="I51" s="41">
        <f>SUM(I35:I50)</f>
        <v>0</v>
      </c>
      <c r="J51" s="41">
        <f>SUM(J35:J50)</f>
        <v>2233484.59</v>
      </c>
      <c r="K51" s="45" t="s">
        <v>288</v>
      </c>
      <c r="L51" s="45" t="s">
        <v>288</v>
      </c>
      <c r="N51" s="263"/>
    </row>
    <row r="52" spans="1:14" s="3" customFormat="1" ht="12.2" customHeight="1" thickTop="1" x14ac:dyDescent="0.15">
      <c r="A52" s="38" t="s">
        <v>455</v>
      </c>
      <c r="B52" s="39" t="s">
        <v>289</v>
      </c>
      <c r="C52" s="6">
        <v>37</v>
      </c>
      <c r="D52" s="39" t="s">
        <v>653</v>
      </c>
      <c r="E52" s="39"/>
      <c r="F52" s="41">
        <f>F51+F32</f>
        <v>3392001.53</v>
      </c>
      <c r="G52" s="41">
        <f>G51+G32</f>
        <v>187833.57</v>
      </c>
      <c r="H52" s="41">
        <f>H51+H32</f>
        <v>815976.23</v>
      </c>
      <c r="I52" s="41">
        <f>I51+I32</f>
        <v>0</v>
      </c>
      <c r="J52" s="41">
        <f>J51+J32</f>
        <v>2364800.9099999997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10108586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10108586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20052.189999999999</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22905.13</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1221574.42</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13824.7</v>
      </c>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1278356.44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12906.34</v>
      </c>
      <c r="G96" s="18"/>
      <c r="H96" s="18"/>
      <c r="I96" s="18"/>
      <c r="J96" s="18">
        <v>16206.99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32269.919999999998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v>11627.33</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237.5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161335.01999999999</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25862.29</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18459.36</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63514.34</v>
      </c>
      <c r="G110" s="18">
        <v>3161.16</v>
      </c>
      <c r="H110" s="18">
        <v>8063.59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120979.83</v>
      </c>
      <c r="G111" s="41">
        <f>SUM(G96:G110)</f>
        <v>35431.08</v>
      </c>
      <c r="H111" s="41">
        <f>SUM(H96:H110)</f>
        <v>181025.93999999997</v>
      </c>
      <c r="I111" s="41">
        <f>SUM(I96:I110)</f>
        <v>0</v>
      </c>
      <c r="J111" s="41">
        <f>SUM(J96:J110)</f>
        <v>16206.99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11507922.27</v>
      </c>
      <c r="G112" s="41">
        <f>G60+G111</f>
        <v>35431.08</v>
      </c>
      <c r="H112" s="41">
        <f>H60+H79+H94+H111</f>
        <v>181025.93999999997</v>
      </c>
      <c r="I112" s="41">
        <f>I60+I111</f>
        <v>0</v>
      </c>
      <c r="J112" s="41">
        <f>J60+J111</f>
        <v>16206.99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7005383.79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2048037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9053420.7899999991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390135.49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91169.19</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10568.6</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8027.83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491873.27999999997</v>
      </c>
      <c r="G136" s="41">
        <f>SUM(G123:G135)</f>
        <v>8027.83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9545294.0699999984</v>
      </c>
      <c r="G140" s="41">
        <f>G121+SUM(G136:G137)</f>
        <v>8027.83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617426.43999999994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181422.23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110175.2</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659203.78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368825.4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66859.83</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182200.35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v>43972.71</v>
      </c>
      <c r="H162" s="18">
        <v>1408545.77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66859.83</v>
      </c>
      <c r="G163" s="41">
        <f>SUM(G150:G162)</f>
        <v>703176.49</v>
      </c>
      <c r="H163" s="41">
        <f>SUM(H150:H162)</f>
        <v>2868595.39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19509.740000000002</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86369.57</v>
      </c>
      <c r="G170" s="41">
        <f>G147+G163+SUM(G164:G169)</f>
        <v>703176.49</v>
      </c>
      <c r="H170" s="41">
        <f>H147+H163+SUM(H164:H169)</f>
        <v>2868595.39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362.1</v>
      </c>
      <c r="H180" s="18"/>
      <c r="I180" s="18"/>
      <c r="J180" s="18">
        <v>1067785.76</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66790.720000000001</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66790.720000000001</v>
      </c>
      <c r="G184" s="41">
        <f>SUM(G180:G183)</f>
        <v>362.1</v>
      </c>
      <c r="H184" s="41">
        <f>SUM(H180:H183)</f>
        <v>0</v>
      </c>
      <c r="I184" s="41">
        <f>SUM(I180:I183)</f>
        <v>0</v>
      </c>
      <c r="J184" s="41">
        <f>SUM(J180:J183)</f>
        <v>1067785.76</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211202.32</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652998.54</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864200.8600000001</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930991.58000000007</v>
      </c>
      <c r="G193" s="41">
        <f>G184+SUM(G189:G192)</f>
        <v>362.1</v>
      </c>
      <c r="H193" s="41">
        <f>+H184+SUM(H189:H192)</f>
        <v>0</v>
      </c>
      <c r="I193" s="41">
        <f>I178+I184+SUM(I189:I192)</f>
        <v>0</v>
      </c>
      <c r="J193" s="41">
        <f>J184</f>
        <v>1067785.76</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22070577.489999995</v>
      </c>
      <c r="G194" s="47">
        <f>G112+G140+G170+G193</f>
        <v>746997.5</v>
      </c>
      <c r="H194" s="47">
        <f>H112+H140+H170+H193</f>
        <v>3049621.33</v>
      </c>
      <c r="I194" s="47">
        <f>I112+I140+I170+I193</f>
        <v>0</v>
      </c>
      <c r="J194" s="47">
        <f>J112+J140+J193</f>
        <v>1083992.75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2563171.05-1200</f>
        <v>2561971.0499999998</v>
      </c>
      <c r="G198" s="18">
        <f>1504431.73-258.21</f>
        <v>1504173.52</v>
      </c>
      <c r="H198" s="18">
        <v>37897.31</v>
      </c>
      <c r="I198" s="18">
        <v>79251.42</v>
      </c>
      <c r="J198" s="18">
        <v>45576.98</v>
      </c>
      <c r="K198" s="18">
        <v>19623.45</v>
      </c>
      <c r="L198" s="19">
        <f>SUM(F198:K198)</f>
        <v>4248493.7300000004</v>
      </c>
      <c r="M198" s="8"/>
      <c r="N198" s="265"/>
    </row>
    <row r="199" spans="1:14" s="3" customFormat="1" ht="12.2" customHeight="1" x14ac:dyDescent="0.15">
      <c r="A199" s="1" t="s">
        <v>439</v>
      </c>
      <c r="B199" s="2" t="s">
        <v>341</v>
      </c>
      <c r="C199" s="2" t="s">
        <v>291</v>
      </c>
      <c r="D199" s="2" t="s">
        <v>431</v>
      </c>
      <c r="E199" s="6">
        <v>1200</v>
      </c>
      <c r="F199" s="18">
        <v>975889.1</v>
      </c>
      <c r="G199" s="18">
        <v>600842.34</v>
      </c>
      <c r="H199" s="18">
        <v>184490.26</v>
      </c>
      <c r="I199" s="18">
        <v>2342.4699999999998</v>
      </c>
      <c r="J199" s="18">
        <v>285.56</v>
      </c>
      <c r="K199" s="18"/>
      <c r="L199" s="19">
        <f>SUM(F199:K199)</f>
        <v>1763849.73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66038</v>
      </c>
      <c r="G201" s="18">
        <v>13022.18</v>
      </c>
      <c r="H201" s="18">
        <v>5811.5</v>
      </c>
      <c r="I201" s="18">
        <v>7450.96</v>
      </c>
      <c r="J201" s="18">
        <v>680.15</v>
      </c>
      <c r="K201" s="18">
        <v>3531.33</v>
      </c>
      <c r="L201" s="19">
        <f>SUM(F201:K201)</f>
        <v>96534.12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745500.71</v>
      </c>
      <c r="G203" s="18">
        <v>377541.57</v>
      </c>
      <c r="H203" s="18">
        <v>48345.55</v>
      </c>
      <c r="I203" s="18">
        <v>6558.71</v>
      </c>
      <c r="J203" s="18">
        <v>225.45</v>
      </c>
      <c r="K203" s="18">
        <v>298</v>
      </c>
      <c r="L203" s="19">
        <f t="shared" ref="L203:L209" si="0">SUM(F203:K203)</f>
        <v>1178469.99</v>
      </c>
      <c r="M203" s="8"/>
      <c r="N203" s="265"/>
    </row>
    <row r="204" spans="1:14" s="3" customFormat="1" ht="12.2" customHeight="1" x14ac:dyDescent="0.15">
      <c r="A204" s="1" t="s">
        <v>443</v>
      </c>
      <c r="B204" s="2" t="s">
        <v>341</v>
      </c>
      <c r="C204" s="2" t="s">
        <v>295</v>
      </c>
      <c r="D204" s="2" t="s">
        <v>431</v>
      </c>
      <c r="E204" s="6">
        <v>2200</v>
      </c>
      <c r="F204" s="18">
        <v>373390.86</v>
      </c>
      <c r="G204" s="18">
        <v>225068.5</v>
      </c>
      <c r="H204" s="18">
        <v>20956.79</v>
      </c>
      <c r="I204" s="18">
        <v>28519.360000000001</v>
      </c>
      <c r="J204" s="18">
        <v>235.68</v>
      </c>
      <c r="K204" s="18"/>
      <c r="L204" s="19">
        <f t="shared" si="0"/>
        <v>648171.19000000006</v>
      </c>
      <c r="M204" s="8"/>
      <c r="N204" s="265"/>
    </row>
    <row r="205" spans="1:14" s="3" customFormat="1" ht="12.2" customHeight="1" x14ac:dyDescent="0.15">
      <c r="A205" s="1" t="s">
        <v>444</v>
      </c>
      <c r="B205" s="2" t="s">
        <v>341</v>
      </c>
      <c r="C205" s="2" t="s">
        <v>296</v>
      </c>
      <c r="D205" s="2" t="s">
        <v>431</v>
      </c>
      <c r="E205" s="6">
        <v>2300</v>
      </c>
      <c r="F205" s="18">
        <v>329361.81</v>
      </c>
      <c r="G205" s="18">
        <v>140621.66</v>
      </c>
      <c r="H205" s="18">
        <v>85321.85</v>
      </c>
      <c r="I205" s="18">
        <v>16573.400000000001</v>
      </c>
      <c r="J205" s="18"/>
      <c r="K205" s="18">
        <v>21629.81</v>
      </c>
      <c r="L205" s="19">
        <f t="shared" si="0"/>
        <v>593508.53</v>
      </c>
      <c r="M205" s="8"/>
      <c r="N205" s="265"/>
    </row>
    <row r="206" spans="1:14" s="3" customFormat="1" ht="12.2" customHeight="1" x14ac:dyDescent="0.15">
      <c r="A206" s="1" t="s">
        <v>445</v>
      </c>
      <c r="B206" s="2" t="s">
        <v>341</v>
      </c>
      <c r="C206" s="2" t="s">
        <v>297</v>
      </c>
      <c r="D206" s="2" t="s">
        <v>431</v>
      </c>
      <c r="E206" s="6">
        <v>2400</v>
      </c>
      <c r="F206" s="18">
        <v>502373.27</v>
      </c>
      <c r="G206" s="18">
        <v>297942.56</v>
      </c>
      <c r="H206" s="18">
        <v>36670.15</v>
      </c>
      <c r="I206" s="18">
        <v>10539.04</v>
      </c>
      <c r="J206" s="18">
        <v>1574.98</v>
      </c>
      <c r="K206" s="18">
        <v>8207.14</v>
      </c>
      <c r="L206" s="19">
        <f t="shared" si="0"/>
        <v>857307.14000000013</v>
      </c>
      <c r="M206" s="8"/>
      <c r="N206" s="265"/>
    </row>
    <row r="207" spans="1:14" s="3" customFormat="1" ht="12.2" customHeight="1" x14ac:dyDescent="0.15">
      <c r="A207" s="1" t="s">
        <v>446</v>
      </c>
      <c r="B207" s="2" t="s">
        <v>341</v>
      </c>
      <c r="C207" s="2" t="s">
        <v>298</v>
      </c>
      <c r="D207" s="2" t="s">
        <v>431</v>
      </c>
      <c r="E207" s="6">
        <v>2500</v>
      </c>
      <c r="F207" s="18">
        <v>161788.51</v>
      </c>
      <c r="G207" s="18">
        <v>63092.84</v>
      </c>
      <c r="H207" s="18">
        <v>3512.63</v>
      </c>
      <c r="I207" s="18"/>
      <c r="J207" s="18"/>
      <c r="K207" s="18">
        <v>1971.17</v>
      </c>
      <c r="L207" s="19">
        <f t="shared" si="0"/>
        <v>230365.15000000002</v>
      </c>
      <c r="M207" s="8"/>
      <c r="N207" s="265"/>
    </row>
    <row r="208" spans="1:14" s="3" customFormat="1" ht="12.2" customHeight="1" x14ac:dyDescent="0.15">
      <c r="A208" s="1" t="s">
        <v>447</v>
      </c>
      <c r="B208" s="2" t="s">
        <v>341</v>
      </c>
      <c r="C208" s="2" t="s">
        <v>299</v>
      </c>
      <c r="D208" s="2" t="s">
        <v>431</v>
      </c>
      <c r="E208" s="6">
        <v>2600</v>
      </c>
      <c r="F208" s="18">
        <v>402920.03</v>
      </c>
      <c r="G208" s="18">
        <v>257331.29</v>
      </c>
      <c r="H208" s="18">
        <v>1144312.19</v>
      </c>
      <c r="I208" s="18">
        <v>231840.53</v>
      </c>
      <c r="J208" s="18">
        <v>108522.48</v>
      </c>
      <c r="K208" s="18">
        <v>2818.33</v>
      </c>
      <c r="L208" s="19">
        <f t="shared" si="0"/>
        <v>2147744.85</v>
      </c>
      <c r="M208" s="8"/>
      <c r="N208" s="265"/>
    </row>
    <row r="209" spans="1:14" s="3" customFormat="1" ht="12.2" customHeight="1" x14ac:dyDescent="0.15">
      <c r="A209" s="1" t="s">
        <v>448</v>
      </c>
      <c r="B209" s="2" t="s">
        <v>341</v>
      </c>
      <c r="C209" s="2" t="s">
        <v>300</v>
      </c>
      <c r="D209" s="2" t="s">
        <v>431</v>
      </c>
      <c r="E209" s="6">
        <v>2700</v>
      </c>
      <c r="F209" s="18">
        <v>24612.9</v>
      </c>
      <c r="G209" s="18">
        <v>5983.27</v>
      </c>
      <c r="H209" s="18">
        <v>666984.85</v>
      </c>
      <c r="I209" s="18">
        <v>2485.59</v>
      </c>
      <c r="J209" s="18">
        <v>2354</v>
      </c>
      <c r="K209" s="18"/>
      <c r="L209" s="19">
        <f t="shared" si="0"/>
        <v>702420.61</v>
      </c>
      <c r="M209" s="8"/>
      <c r="N209" s="265"/>
    </row>
    <row r="210" spans="1:14" s="3" customFormat="1" ht="12.2" customHeight="1" x14ac:dyDescent="0.15">
      <c r="A210" s="1" t="s">
        <v>449</v>
      </c>
      <c r="B210" s="2" t="s">
        <v>341</v>
      </c>
      <c r="C210" s="2" t="s">
        <v>343</v>
      </c>
      <c r="D210" s="2" t="s">
        <v>431</v>
      </c>
      <c r="E210" s="6">
        <v>2800</v>
      </c>
      <c r="F210" s="18">
        <v>131610.34</v>
      </c>
      <c r="G210" s="18">
        <v>60967.61</v>
      </c>
      <c r="H210" s="18">
        <v>3131.89</v>
      </c>
      <c r="I210" s="18">
        <v>780.11</v>
      </c>
      <c r="J210" s="18"/>
      <c r="K210" s="18">
        <v>69334.16</v>
      </c>
      <c r="L210" s="19">
        <f>SUM(F210:K210)</f>
        <v>265824.11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6275456.5799999991</v>
      </c>
      <c r="G212" s="41">
        <f t="shared" si="1"/>
        <v>3546587.34</v>
      </c>
      <c r="H212" s="41">
        <f t="shared" si="1"/>
        <v>2237434.9700000002</v>
      </c>
      <c r="I212" s="41">
        <f t="shared" si="1"/>
        <v>386341.59</v>
      </c>
      <c r="J212" s="41">
        <f t="shared" si="1"/>
        <v>159455.28</v>
      </c>
      <c r="K212" s="41">
        <f t="shared" si="1"/>
        <v>127413.39</v>
      </c>
      <c r="L212" s="41">
        <f t="shared" si="1"/>
        <v>12732689.15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1267710.25</v>
      </c>
      <c r="G234" s="18">
        <v>711008.54</v>
      </c>
      <c r="H234" s="18">
        <v>34784.980000000003</v>
      </c>
      <c r="I234" s="18">
        <v>42956.32</v>
      </c>
      <c r="J234" s="18">
        <v>4987.09</v>
      </c>
      <c r="K234" s="18">
        <v>21798.35</v>
      </c>
      <c r="L234" s="19">
        <f>SUM(F234:K234)</f>
        <v>2083245.5300000003</v>
      </c>
      <c r="M234" s="8"/>
      <c r="N234" s="265"/>
    </row>
    <row r="235" spans="1:14" s="3" customFormat="1" ht="12.2" customHeight="1" x14ac:dyDescent="0.15">
      <c r="A235" s="1" t="s">
        <v>439</v>
      </c>
      <c r="B235" s="2" t="s">
        <v>350</v>
      </c>
      <c r="C235" s="2" t="s">
        <v>291</v>
      </c>
      <c r="D235" s="2" t="s">
        <v>431</v>
      </c>
      <c r="E235" s="6">
        <v>1200</v>
      </c>
      <c r="F235" s="18">
        <v>381902.82</v>
      </c>
      <c r="G235" s="18">
        <v>267794.96999999997</v>
      </c>
      <c r="H235" s="18">
        <v>724900.21</v>
      </c>
      <c r="I235" s="18">
        <v>1015.38</v>
      </c>
      <c r="J235" s="18"/>
      <c r="K235" s="18"/>
      <c r="L235" s="19">
        <f>SUM(F235:K235)</f>
        <v>1375613.38</v>
      </c>
      <c r="M235" s="8"/>
      <c r="N235" s="265"/>
    </row>
    <row r="236" spans="1:14" s="3" customFormat="1" ht="12.2" customHeight="1" x14ac:dyDescent="0.15">
      <c r="A236" s="1" t="s">
        <v>440</v>
      </c>
      <c r="B236" s="2" t="s">
        <v>350</v>
      </c>
      <c r="C236" s="2" t="s">
        <v>292</v>
      </c>
      <c r="D236" s="2" t="s">
        <v>431</v>
      </c>
      <c r="E236" s="6">
        <v>1300</v>
      </c>
      <c r="F236" s="18">
        <v>351182.09</v>
      </c>
      <c r="G236" s="18">
        <v>155038.76999999999</v>
      </c>
      <c r="H236" s="18">
        <v>1323.68</v>
      </c>
      <c r="I236" s="18">
        <v>41615.72</v>
      </c>
      <c r="J236" s="18">
        <v>4226.1499999999996</v>
      </c>
      <c r="K236" s="18">
        <v>90</v>
      </c>
      <c r="L236" s="19">
        <f>SUM(F236:K236)</f>
        <v>553476.41</v>
      </c>
      <c r="M236" s="8"/>
      <c r="N236" s="265"/>
    </row>
    <row r="237" spans="1:14" s="3" customFormat="1" ht="12.2" customHeight="1" x14ac:dyDescent="0.15">
      <c r="A237" s="1" t="s">
        <v>441</v>
      </c>
      <c r="B237" s="2" t="s">
        <v>350</v>
      </c>
      <c r="C237" s="2" t="s">
        <v>293</v>
      </c>
      <c r="D237" s="2" t="s">
        <v>431</v>
      </c>
      <c r="E237" s="6">
        <v>1400</v>
      </c>
      <c r="F237" s="18">
        <v>261854.1</v>
      </c>
      <c r="G237" s="18">
        <v>97357.22</v>
      </c>
      <c r="H237" s="18">
        <v>39711.440000000002</v>
      </c>
      <c r="I237" s="18">
        <v>29717.53</v>
      </c>
      <c r="J237" s="18">
        <v>6776.5</v>
      </c>
      <c r="K237" s="18">
        <v>19441.96</v>
      </c>
      <c r="L237" s="19">
        <f>SUM(F237:K237)</f>
        <v>454858.75000000006</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263204.83</v>
      </c>
      <c r="G239" s="18">
        <v>147482.79</v>
      </c>
      <c r="H239" s="18">
        <v>31825.27</v>
      </c>
      <c r="I239" s="18">
        <v>1750.32</v>
      </c>
      <c r="J239" s="18"/>
      <c r="K239" s="18">
        <v>31.71</v>
      </c>
      <c r="L239" s="19">
        <f t="shared" ref="L239:L245" si="4">SUM(F239:K239)</f>
        <v>444294.92000000004</v>
      </c>
      <c r="M239" s="8"/>
      <c r="N239" s="265"/>
    </row>
    <row r="240" spans="1:14" s="3" customFormat="1" ht="12.2" customHeight="1" x14ac:dyDescent="0.15">
      <c r="A240" s="1" t="s">
        <v>443</v>
      </c>
      <c r="B240" s="2" t="s">
        <v>350</v>
      </c>
      <c r="C240" s="2" t="s">
        <v>295</v>
      </c>
      <c r="D240" s="2" t="s">
        <v>431</v>
      </c>
      <c r="E240" s="6">
        <v>2200</v>
      </c>
      <c r="F240" s="18">
        <v>88304.62</v>
      </c>
      <c r="G240" s="18">
        <v>74617.7</v>
      </c>
      <c r="H240" s="18">
        <v>9038.7999999999993</v>
      </c>
      <c r="I240" s="18">
        <v>11107.21</v>
      </c>
      <c r="J240" s="18"/>
      <c r="K240" s="18"/>
      <c r="L240" s="19">
        <f t="shared" si="4"/>
        <v>183068.33</v>
      </c>
      <c r="M240" s="8"/>
      <c r="N240" s="265"/>
    </row>
    <row r="241" spans="1:14" s="3" customFormat="1" ht="12.2" customHeight="1" x14ac:dyDescent="0.15">
      <c r="A241" s="1" t="s">
        <v>444</v>
      </c>
      <c r="B241" s="2" t="s">
        <v>350</v>
      </c>
      <c r="C241" s="2" t="s">
        <v>296</v>
      </c>
      <c r="D241" s="2" t="s">
        <v>431</v>
      </c>
      <c r="E241" s="6">
        <v>2300</v>
      </c>
      <c r="F241" s="18">
        <v>252848.9</v>
      </c>
      <c r="G241" s="18">
        <v>111585.04</v>
      </c>
      <c r="H241" s="18">
        <v>61071.55</v>
      </c>
      <c r="I241" s="18">
        <v>2317.83</v>
      </c>
      <c r="J241" s="18"/>
      <c r="K241" s="18">
        <v>10814.91</v>
      </c>
      <c r="L241" s="19">
        <f t="shared" si="4"/>
        <v>438638.23</v>
      </c>
      <c r="M241" s="8"/>
      <c r="N241" s="265"/>
    </row>
    <row r="242" spans="1:14" s="3" customFormat="1" ht="12.2" customHeight="1" x14ac:dyDescent="0.15">
      <c r="A242" s="1" t="s">
        <v>445</v>
      </c>
      <c r="B242" s="2" t="s">
        <v>350</v>
      </c>
      <c r="C242" s="2" t="s">
        <v>297</v>
      </c>
      <c r="D242" s="2" t="s">
        <v>431</v>
      </c>
      <c r="E242" s="6">
        <v>2400</v>
      </c>
      <c r="F242" s="18">
        <v>254479.08</v>
      </c>
      <c r="G242" s="18">
        <v>163304.19</v>
      </c>
      <c r="H242" s="18">
        <v>37176.36</v>
      </c>
      <c r="I242" s="18">
        <v>6765.34</v>
      </c>
      <c r="J242" s="18">
        <v>4540.01</v>
      </c>
      <c r="K242" s="18">
        <v>30279.21</v>
      </c>
      <c r="L242" s="19">
        <f t="shared" si="4"/>
        <v>496544.19000000006</v>
      </c>
      <c r="M242" s="8"/>
      <c r="N242" s="265"/>
    </row>
    <row r="243" spans="1:14" s="3" customFormat="1" ht="12.2" customHeight="1" x14ac:dyDescent="0.15">
      <c r="A243" s="1" t="s">
        <v>446</v>
      </c>
      <c r="B243" s="2" t="s">
        <v>350</v>
      </c>
      <c r="C243" s="2" t="s">
        <v>298</v>
      </c>
      <c r="D243" s="2" t="s">
        <v>431</v>
      </c>
      <c r="E243" s="6">
        <v>2500</v>
      </c>
      <c r="F243" s="18">
        <v>80894.25</v>
      </c>
      <c r="G243" s="18">
        <v>31546.400000000001</v>
      </c>
      <c r="H243" s="18">
        <v>1756.31</v>
      </c>
      <c r="I243" s="18"/>
      <c r="J243" s="18"/>
      <c r="K243" s="18">
        <v>985.58</v>
      </c>
      <c r="L243" s="19">
        <f t="shared" si="4"/>
        <v>115182.54</v>
      </c>
      <c r="M243" s="8"/>
      <c r="N243" s="265"/>
    </row>
    <row r="244" spans="1:14" s="3" customFormat="1" ht="12.2" customHeight="1" x14ac:dyDescent="0.15">
      <c r="A244" s="1" t="s">
        <v>447</v>
      </c>
      <c r="B244" s="2" t="s">
        <v>350</v>
      </c>
      <c r="C244" s="2" t="s">
        <v>299</v>
      </c>
      <c r="D244" s="2" t="s">
        <v>431</v>
      </c>
      <c r="E244" s="6">
        <v>2600</v>
      </c>
      <c r="F244" s="18">
        <v>287737.01</v>
      </c>
      <c r="G244" s="18">
        <v>126184.27</v>
      </c>
      <c r="H244" s="18">
        <v>482803.96</v>
      </c>
      <c r="I244" s="18">
        <v>253449.54</v>
      </c>
      <c r="J244" s="18">
        <v>56907.75</v>
      </c>
      <c r="K244" s="18">
        <v>1409.17</v>
      </c>
      <c r="L244" s="19">
        <f t="shared" si="4"/>
        <v>1208491.7</v>
      </c>
      <c r="M244" s="8"/>
      <c r="N244" s="265"/>
    </row>
    <row r="245" spans="1:14" s="3" customFormat="1" ht="12.2" customHeight="1" x14ac:dyDescent="0.15">
      <c r="A245" s="1" t="s">
        <v>448</v>
      </c>
      <c r="B245" s="2" t="s">
        <v>350</v>
      </c>
      <c r="C245" s="2" t="s">
        <v>300</v>
      </c>
      <c r="D245" s="2" t="s">
        <v>431</v>
      </c>
      <c r="E245" s="6">
        <v>2700</v>
      </c>
      <c r="F245" s="18">
        <v>13121.75</v>
      </c>
      <c r="G245" s="18">
        <v>3153.24</v>
      </c>
      <c r="H245" s="18">
        <v>608057.31000000006</v>
      </c>
      <c r="I245" s="18">
        <v>1294.44</v>
      </c>
      <c r="J245" s="18">
        <v>1177</v>
      </c>
      <c r="K245" s="18"/>
      <c r="L245" s="19">
        <f t="shared" si="4"/>
        <v>626803.74</v>
      </c>
      <c r="M245" s="8"/>
      <c r="N245" s="265"/>
    </row>
    <row r="246" spans="1:14" s="3" customFormat="1" ht="12.2" customHeight="1" x14ac:dyDescent="0.15">
      <c r="A246" s="1" t="s">
        <v>449</v>
      </c>
      <c r="B246" s="2" t="s">
        <v>350</v>
      </c>
      <c r="C246" s="2" t="s">
        <v>343</v>
      </c>
      <c r="D246" s="2" t="s">
        <v>431</v>
      </c>
      <c r="E246" s="6">
        <v>2800</v>
      </c>
      <c r="F246" s="18">
        <v>104006.24</v>
      </c>
      <c r="G246" s="18">
        <v>43724.13</v>
      </c>
      <c r="H246" s="18">
        <v>1565.94</v>
      </c>
      <c r="I246" s="18">
        <v>390.06</v>
      </c>
      <c r="J246" s="18"/>
      <c r="K246" s="18">
        <v>34667.07</v>
      </c>
      <c r="L246" s="19">
        <f>SUM(F246:K246)</f>
        <v>184353.44</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3607245.9400000004</v>
      </c>
      <c r="G248" s="41">
        <f t="shared" si="5"/>
        <v>1932797.2599999998</v>
      </c>
      <c r="H248" s="41">
        <f t="shared" si="5"/>
        <v>2034015.8100000003</v>
      </c>
      <c r="I248" s="41">
        <f t="shared" si="5"/>
        <v>392379.69000000006</v>
      </c>
      <c r="J248" s="41">
        <f t="shared" si="5"/>
        <v>78614.5</v>
      </c>
      <c r="K248" s="41">
        <f t="shared" si="5"/>
        <v>119517.95999999999</v>
      </c>
      <c r="L248" s="41">
        <f t="shared" si="5"/>
        <v>8164571.160000002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9882702.5199999996</v>
      </c>
      <c r="G258" s="41">
        <f t="shared" si="8"/>
        <v>5479384.5999999996</v>
      </c>
      <c r="H258" s="41">
        <f t="shared" si="8"/>
        <v>4271450.78</v>
      </c>
      <c r="I258" s="41">
        <f t="shared" si="8"/>
        <v>778721.28000000003</v>
      </c>
      <c r="J258" s="41">
        <f t="shared" si="8"/>
        <v>238069.78</v>
      </c>
      <c r="K258" s="41">
        <f t="shared" si="8"/>
        <v>246931.34999999998</v>
      </c>
      <c r="L258" s="41">
        <f t="shared" si="8"/>
        <v>20897260.310000002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332.7+29.4</f>
        <v>362.09999999999997</v>
      </c>
      <c r="L264" s="19">
        <f>SUM(F264:K264)</f>
        <v>362.09999999999997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270595.76+797190</f>
        <v>1067785.76</v>
      </c>
      <c r="L267" s="19">
        <f t="shared" si="9"/>
        <v>1067785.76</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43750</v>
      </c>
      <c r="L269" s="19">
        <f t="shared" si="9"/>
        <v>43750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1111897.8600000001</v>
      </c>
      <c r="L271" s="41">
        <f t="shared" si="9"/>
        <v>1111897.8600000001</v>
      </c>
      <c r="M271" s="8"/>
      <c r="N271" s="265"/>
    </row>
    <row r="272" spans="1:14" s="34" customFormat="1" ht="12.2" customHeight="1" thickTop="1" x14ac:dyDescent="0.2">
      <c r="A272" s="43" t="s">
        <v>464</v>
      </c>
      <c r="B272" s="40">
        <v>10</v>
      </c>
      <c r="C272" s="40">
        <v>18</v>
      </c>
      <c r="D272" s="39" t="s">
        <v>431</v>
      </c>
      <c r="E272" s="40"/>
      <c r="F272" s="42">
        <f t="shared" ref="F272:L272" si="11">F258+F271</f>
        <v>9882702.5199999996</v>
      </c>
      <c r="G272" s="42">
        <f t="shared" si="11"/>
        <v>5479384.5999999996</v>
      </c>
      <c r="H272" s="42">
        <f t="shared" si="11"/>
        <v>4271450.78</v>
      </c>
      <c r="I272" s="42">
        <f t="shared" si="11"/>
        <v>778721.28000000003</v>
      </c>
      <c r="J272" s="42">
        <f t="shared" si="11"/>
        <v>238069.78</v>
      </c>
      <c r="K272" s="42">
        <f t="shared" si="11"/>
        <v>1358829.21</v>
      </c>
      <c r="L272" s="42">
        <f t="shared" si="11"/>
        <v>22009158.170000002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382485.56</v>
      </c>
      <c r="G277" s="18">
        <v>239067.14</v>
      </c>
      <c r="H277" s="18">
        <v>1903.33</v>
      </c>
      <c r="I277" s="18">
        <v>109322.01</v>
      </c>
      <c r="J277" s="18">
        <v>49738.61</v>
      </c>
      <c r="K277" s="18">
        <v>1661.53</v>
      </c>
      <c r="L277" s="19">
        <f>SUM(F277:K277)</f>
        <v>784178.17999999993</v>
      </c>
      <c r="M277" s="8"/>
      <c r="N277" s="265"/>
    </row>
    <row r="278" spans="1:14" s="3" customFormat="1" ht="12.2" customHeight="1" x14ac:dyDescent="0.15">
      <c r="A278" s="1" t="s">
        <v>439</v>
      </c>
      <c r="B278" s="2" t="s">
        <v>357</v>
      </c>
      <c r="C278" s="2" t="s">
        <v>291</v>
      </c>
      <c r="D278" s="2" t="s">
        <v>431</v>
      </c>
      <c r="E278" s="6">
        <v>1200</v>
      </c>
      <c r="F278" s="18">
        <v>24036.080000000002</v>
      </c>
      <c r="G278" s="18">
        <v>3154.81</v>
      </c>
      <c r="H278" s="18">
        <v>15290</v>
      </c>
      <c r="I278" s="18">
        <v>3336.98</v>
      </c>
      <c r="J278" s="18"/>
      <c r="K278" s="18"/>
      <c r="L278" s="19">
        <f>SUM(F278:K278)</f>
        <v>45817.87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55605</v>
      </c>
      <c r="G280" s="18">
        <v>15117.08</v>
      </c>
      <c r="H280" s="18">
        <v>15086.5</v>
      </c>
      <c r="I280" s="18">
        <v>252.78</v>
      </c>
      <c r="J280" s="18"/>
      <c r="K280" s="18"/>
      <c r="L280" s="19">
        <f>SUM(F280:K280)</f>
        <v>86061.36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163446.51999999999</v>
      </c>
      <c r="G282" s="18">
        <v>93043.05</v>
      </c>
      <c r="H282" s="18">
        <v>192698.25</v>
      </c>
      <c r="I282" s="18">
        <v>39704.99</v>
      </c>
      <c r="J282" s="18">
        <v>21216.38</v>
      </c>
      <c r="K282" s="18">
        <v>625</v>
      </c>
      <c r="L282" s="19">
        <f t="shared" ref="L282:L288" si="12">SUM(F282:K282)</f>
        <v>510734.19</v>
      </c>
      <c r="M282" s="8"/>
      <c r="N282" s="265"/>
    </row>
    <row r="283" spans="1:14" s="3" customFormat="1" ht="12.2" customHeight="1" x14ac:dyDescent="0.15">
      <c r="A283" s="1" t="s">
        <v>443</v>
      </c>
      <c r="B283" s="2" t="s">
        <v>357</v>
      </c>
      <c r="C283" s="2" t="s">
        <v>295</v>
      </c>
      <c r="D283" s="2" t="s">
        <v>431</v>
      </c>
      <c r="E283" s="6">
        <v>2200</v>
      </c>
      <c r="F283" s="18">
        <v>104814.48</v>
      </c>
      <c r="G283" s="18">
        <v>54278.5</v>
      </c>
      <c r="H283" s="18">
        <v>111839.18</v>
      </c>
      <c r="I283" s="18">
        <v>45400.51</v>
      </c>
      <c r="J283" s="18"/>
      <c r="K283" s="18">
        <v>1451.95</v>
      </c>
      <c r="L283" s="19">
        <f t="shared" si="12"/>
        <v>317784.62</v>
      </c>
      <c r="M283" s="8"/>
      <c r="N283" s="265"/>
    </row>
    <row r="284" spans="1:14" s="3" customFormat="1" ht="12.2" customHeight="1" x14ac:dyDescent="0.15">
      <c r="A284" s="1" t="s">
        <v>444</v>
      </c>
      <c r="B284" s="2" t="s">
        <v>357</v>
      </c>
      <c r="C284" s="2" t="s">
        <v>296</v>
      </c>
      <c r="D284" s="2" t="s">
        <v>431</v>
      </c>
      <c r="E284" s="6">
        <v>2300</v>
      </c>
      <c r="F284" s="18">
        <v>1470.32</v>
      </c>
      <c r="G284" s="18">
        <v>315.41000000000003</v>
      </c>
      <c r="H284" s="18">
        <v>1869.04</v>
      </c>
      <c r="I284" s="18">
        <v>14772.29</v>
      </c>
      <c r="J284" s="18"/>
      <c r="K284" s="18">
        <v>1795.07</v>
      </c>
      <c r="L284" s="19">
        <f t="shared" si="12"/>
        <v>20222.13</v>
      </c>
      <c r="M284" s="8"/>
      <c r="N284" s="265"/>
    </row>
    <row r="285" spans="1:14" s="3" customFormat="1" ht="12.2" customHeight="1" x14ac:dyDescent="0.15">
      <c r="A285" s="1" t="s">
        <v>445</v>
      </c>
      <c r="B285" s="2" t="s">
        <v>357</v>
      </c>
      <c r="C285" s="2" t="s">
        <v>297</v>
      </c>
      <c r="D285" s="2" t="s">
        <v>431</v>
      </c>
      <c r="E285" s="6">
        <v>2400</v>
      </c>
      <c r="F285" s="18"/>
      <c r="G285" s="18"/>
      <c r="H285" s="18">
        <v>2500</v>
      </c>
      <c r="I285" s="18"/>
      <c r="J285" s="18"/>
      <c r="K285" s="18"/>
      <c r="L285" s="19">
        <f t="shared" si="12"/>
        <v>2500</v>
      </c>
      <c r="M285" s="8"/>
      <c r="N285" s="265"/>
    </row>
    <row r="286" spans="1:14" s="3" customFormat="1" ht="12.2" customHeight="1" x14ac:dyDescent="0.15">
      <c r="A286" s="1" t="s">
        <v>446</v>
      </c>
      <c r="B286" s="2" t="s">
        <v>357</v>
      </c>
      <c r="C286" s="2" t="s">
        <v>298</v>
      </c>
      <c r="D286" s="2" t="s">
        <v>431</v>
      </c>
      <c r="E286" s="6">
        <v>2500</v>
      </c>
      <c r="F286" s="18">
        <v>2706.83</v>
      </c>
      <c r="G286" s="18">
        <v>239.56</v>
      </c>
      <c r="H286" s="18">
        <v>79.56</v>
      </c>
      <c r="I286" s="18">
        <v>13424.18</v>
      </c>
      <c r="J286" s="18"/>
      <c r="K286" s="18">
        <v>233.33</v>
      </c>
      <c r="L286" s="19">
        <f t="shared" si="12"/>
        <v>16683.460000000003</v>
      </c>
      <c r="M286" s="8"/>
      <c r="N286" s="265"/>
    </row>
    <row r="287" spans="1:14" s="3" customFormat="1" ht="12.2" customHeight="1" x14ac:dyDescent="0.15">
      <c r="A287" s="1" t="s">
        <v>447</v>
      </c>
      <c r="B287" s="2" t="s">
        <v>357</v>
      </c>
      <c r="C287" s="2" t="s">
        <v>299</v>
      </c>
      <c r="D287" s="2" t="s">
        <v>431</v>
      </c>
      <c r="E287" s="6">
        <v>2600</v>
      </c>
      <c r="F287" s="18">
        <v>14107.28</v>
      </c>
      <c r="G287" s="18">
        <v>1204.51</v>
      </c>
      <c r="H287" s="18">
        <v>29215.34</v>
      </c>
      <c r="I287" s="18">
        <v>27539.57</v>
      </c>
      <c r="J287" s="18">
        <v>10532.25</v>
      </c>
      <c r="K287" s="18"/>
      <c r="L287" s="19">
        <f t="shared" si="12"/>
        <v>82598.950000000012</v>
      </c>
      <c r="M287" s="8"/>
      <c r="N287" s="265"/>
    </row>
    <row r="288" spans="1:14" s="3" customFormat="1" ht="12.2" customHeight="1" x14ac:dyDescent="0.15">
      <c r="A288" s="1" t="s">
        <v>448</v>
      </c>
      <c r="B288" s="2" t="s">
        <v>357</v>
      </c>
      <c r="C288" s="2" t="s">
        <v>300</v>
      </c>
      <c r="D288" s="2" t="s">
        <v>431</v>
      </c>
      <c r="E288" s="6">
        <v>2700</v>
      </c>
      <c r="F288" s="18">
        <v>429</v>
      </c>
      <c r="G288" s="18">
        <v>32.82</v>
      </c>
      <c r="H288" s="18">
        <v>23020.78</v>
      </c>
      <c r="I288" s="18">
        <v>868.82</v>
      </c>
      <c r="J288" s="18">
        <v>31666.67</v>
      </c>
      <c r="K288" s="18"/>
      <c r="L288" s="19">
        <f t="shared" si="12"/>
        <v>56018.09</v>
      </c>
      <c r="M288" s="8"/>
      <c r="N288" s="265"/>
    </row>
    <row r="289" spans="1:14" s="3" customFormat="1" ht="12.2" customHeight="1" x14ac:dyDescent="0.15">
      <c r="A289" s="1" t="s">
        <v>449</v>
      </c>
      <c r="B289" s="2" t="s">
        <v>357</v>
      </c>
      <c r="C289" s="2" t="s">
        <v>343</v>
      </c>
      <c r="D289" s="2" t="s">
        <v>431</v>
      </c>
      <c r="E289" s="6">
        <v>2800</v>
      </c>
      <c r="F289" s="18"/>
      <c r="G289" s="18"/>
      <c r="H289" s="18">
        <v>18893.32</v>
      </c>
      <c r="I289" s="18"/>
      <c r="J289" s="18"/>
      <c r="K289" s="18"/>
      <c r="L289" s="19">
        <f>SUM(F289:K289)</f>
        <v>18893.32</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749101.07</v>
      </c>
      <c r="G291" s="42">
        <f t="shared" si="13"/>
        <v>406452.88</v>
      </c>
      <c r="H291" s="42">
        <f t="shared" si="13"/>
        <v>412395.3</v>
      </c>
      <c r="I291" s="42">
        <f t="shared" si="13"/>
        <v>254622.13</v>
      </c>
      <c r="J291" s="42">
        <f t="shared" si="13"/>
        <v>113153.91</v>
      </c>
      <c r="K291" s="42">
        <f t="shared" si="13"/>
        <v>5766.8799999999992</v>
      </c>
      <c r="L291" s="41">
        <f t="shared" si="13"/>
        <v>1941492.1699999997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64544.91</v>
      </c>
      <c r="G315" s="18">
        <v>47228.04</v>
      </c>
      <c r="H315" s="18">
        <v>951.67</v>
      </c>
      <c r="I315" s="18">
        <f>8837.1+1388.98</f>
        <v>10226.08</v>
      </c>
      <c r="J315" s="18">
        <v>4770.78</v>
      </c>
      <c r="K315" s="18">
        <v>1538.46</v>
      </c>
      <c r="L315" s="19">
        <f>SUM(F315:K315)</f>
        <v>129259.94000000002</v>
      </c>
      <c r="M315" s="8"/>
      <c r="N315" s="265"/>
    </row>
    <row r="316" spans="1:14" s="3" customFormat="1" ht="12.2" customHeight="1" x14ac:dyDescent="0.15">
      <c r="A316" s="1" t="s">
        <v>439</v>
      </c>
      <c r="B316" s="2" t="s">
        <v>359</v>
      </c>
      <c r="C316" s="2" t="s">
        <v>291</v>
      </c>
      <c r="D316" s="2" t="s">
        <v>431</v>
      </c>
      <c r="E316" s="6">
        <v>1200</v>
      </c>
      <c r="F316" s="18">
        <v>7971.08</v>
      </c>
      <c r="G316" s="18">
        <v>698.77</v>
      </c>
      <c r="H316" s="18"/>
      <c r="I316" s="18">
        <v>116.88</v>
      </c>
      <c r="J316" s="18"/>
      <c r="K316" s="18"/>
      <c r="L316" s="19">
        <f>SUM(F316:K316)</f>
        <v>8786.73</v>
      </c>
      <c r="M316" s="8"/>
      <c r="N316" s="265"/>
    </row>
    <row r="317" spans="1:14" s="3" customFormat="1" ht="12.2" customHeight="1" x14ac:dyDescent="0.15">
      <c r="A317" s="1" t="s">
        <v>440</v>
      </c>
      <c r="B317" s="2" t="s">
        <v>359</v>
      </c>
      <c r="C317" s="2" t="s">
        <v>292</v>
      </c>
      <c r="D317" s="2" t="s">
        <v>431</v>
      </c>
      <c r="E317" s="6">
        <v>1300</v>
      </c>
      <c r="F317" s="18">
        <v>17301.939999999999</v>
      </c>
      <c r="G317" s="18">
        <v>8114.47</v>
      </c>
      <c r="H317" s="18">
        <v>10025.73</v>
      </c>
      <c r="I317" s="18">
        <v>13023.48</v>
      </c>
      <c r="J317" s="18">
        <v>127035.42</v>
      </c>
      <c r="K317" s="18">
        <v>3186.3</v>
      </c>
      <c r="L317" s="19">
        <f>SUM(F317:K317)</f>
        <v>178687.33999999997</v>
      </c>
      <c r="M317" s="8"/>
      <c r="N317" s="265"/>
    </row>
    <row r="318" spans="1:14" s="3" customFormat="1" ht="12.2" customHeight="1" x14ac:dyDescent="0.15">
      <c r="A318" s="1" t="s">
        <v>441</v>
      </c>
      <c r="B318" s="2" t="s">
        <v>359</v>
      </c>
      <c r="C318" s="2" t="s">
        <v>293</v>
      </c>
      <c r="D318" s="2" t="s">
        <v>431</v>
      </c>
      <c r="E318" s="6">
        <v>1400</v>
      </c>
      <c r="F318" s="18">
        <v>8467.5</v>
      </c>
      <c r="G318" s="18">
        <v>2418.13</v>
      </c>
      <c r="H318" s="18">
        <v>9263.5</v>
      </c>
      <c r="I318" s="18">
        <v>2853.75</v>
      </c>
      <c r="J318" s="18"/>
      <c r="K318" s="18">
        <v>150</v>
      </c>
      <c r="L318" s="19">
        <f>SUM(F318:K318)</f>
        <v>23152.880000000001</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127016.52</v>
      </c>
      <c r="G320" s="18">
        <v>68693.89</v>
      </c>
      <c r="H320" s="18">
        <v>47618.19</v>
      </c>
      <c r="I320" s="18">
        <v>13089.26</v>
      </c>
      <c r="J320" s="18">
        <v>561.29</v>
      </c>
      <c r="K320" s="18">
        <v>2000</v>
      </c>
      <c r="L320" s="19">
        <f t="shared" ref="L320:L326" si="16">SUM(F320:K320)</f>
        <v>258979.15000000002</v>
      </c>
      <c r="M320" s="8"/>
      <c r="N320" s="265"/>
    </row>
    <row r="321" spans="1:14" s="3" customFormat="1" ht="12.2" customHeight="1" x14ac:dyDescent="0.15">
      <c r="A321" s="1" t="s">
        <v>443</v>
      </c>
      <c r="B321" s="2" t="s">
        <v>359</v>
      </c>
      <c r="C321" s="2" t="s">
        <v>295</v>
      </c>
      <c r="D321" s="2" t="s">
        <v>431</v>
      </c>
      <c r="E321" s="6">
        <v>2200</v>
      </c>
      <c r="F321" s="18">
        <v>43383.94</v>
      </c>
      <c r="G321" s="18">
        <v>10612.21</v>
      </c>
      <c r="H321" s="18">
        <v>61305.64</v>
      </c>
      <c r="I321" s="18">
        <v>32663.59</v>
      </c>
      <c r="J321" s="18">
        <f>5990.77-1388.98</f>
        <v>4601.7900000000009</v>
      </c>
      <c r="K321" s="18">
        <v>3558.68</v>
      </c>
      <c r="L321" s="19">
        <f t="shared" si="16"/>
        <v>156125.85</v>
      </c>
      <c r="M321" s="8"/>
      <c r="N321" s="265"/>
    </row>
    <row r="322" spans="1:14" s="3" customFormat="1" ht="12.2" customHeight="1" x14ac:dyDescent="0.15">
      <c r="A322" s="1" t="s">
        <v>444</v>
      </c>
      <c r="B322" s="2" t="s">
        <v>359</v>
      </c>
      <c r="C322" s="2" t="s">
        <v>296</v>
      </c>
      <c r="D322" s="2" t="s">
        <v>431</v>
      </c>
      <c r="E322" s="6">
        <v>2300</v>
      </c>
      <c r="F322" s="18"/>
      <c r="G322" s="18"/>
      <c r="H322" s="18">
        <v>1274.51</v>
      </c>
      <c r="I322" s="18">
        <v>7386.15</v>
      </c>
      <c r="J322" s="18"/>
      <c r="K322" s="18">
        <v>897.53</v>
      </c>
      <c r="L322" s="19">
        <f t="shared" si="16"/>
        <v>9558.19</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v>1272.17</v>
      </c>
      <c r="G324" s="18">
        <v>97.32</v>
      </c>
      <c r="H324" s="18">
        <v>39.78</v>
      </c>
      <c r="I324" s="18">
        <v>4385.88</v>
      </c>
      <c r="J324" s="18"/>
      <c r="K324" s="18">
        <v>116.67</v>
      </c>
      <c r="L324" s="19">
        <f t="shared" si="16"/>
        <v>5911.82</v>
      </c>
      <c r="M324" s="8"/>
      <c r="N324" s="265"/>
    </row>
    <row r="325" spans="1:14" s="3" customFormat="1" ht="12.2" customHeight="1" x14ac:dyDescent="0.15">
      <c r="A325" s="1" t="s">
        <v>447</v>
      </c>
      <c r="B325" s="2" t="s">
        <v>359</v>
      </c>
      <c r="C325" s="2" t="s">
        <v>299</v>
      </c>
      <c r="D325" s="2" t="s">
        <v>431</v>
      </c>
      <c r="E325" s="6">
        <v>2600</v>
      </c>
      <c r="F325" s="18">
        <v>932.25</v>
      </c>
      <c r="G325" s="18">
        <v>158.66</v>
      </c>
      <c r="H325" s="18">
        <v>110190.42</v>
      </c>
      <c r="I325" s="18">
        <v>13005.47</v>
      </c>
      <c r="J325" s="18">
        <v>18982.27</v>
      </c>
      <c r="K325" s="18"/>
      <c r="L325" s="19">
        <f t="shared" si="16"/>
        <v>143269.07</v>
      </c>
      <c r="M325" s="8"/>
      <c r="N325" s="265"/>
    </row>
    <row r="326" spans="1:14" s="3" customFormat="1" ht="12.2" customHeight="1" x14ac:dyDescent="0.15">
      <c r="A326" s="1" t="s">
        <v>448</v>
      </c>
      <c r="B326" s="2" t="s">
        <v>359</v>
      </c>
      <c r="C326" s="2" t="s">
        <v>300</v>
      </c>
      <c r="D326" s="2" t="s">
        <v>431</v>
      </c>
      <c r="E326" s="6">
        <v>2700</v>
      </c>
      <c r="F326" s="18">
        <v>33</v>
      </c>
      <c r="G326" s="18">
        <v>6.93</v>
      </c>
      <c r="H326" s="18">
        <v>7263.72</v>
      </c>
      <c r="I326" s="18">
        <v>85.94</v>
      </c>
      <c r="J326" s="18">
        <v>15833.33</v>
      </c>
      <c r="K326" s="18"/>
      <c r="L326" s="19">
        <f t="shared" si="16"/>
        <v>23222.92</v>
      </c>
      <c r="M326" s="8"/>
      <c r="N326" s="265"/>
    </row>
    <row r="327" spans="1:14" s="3" customFormat="1" ht="12.2" customHeight="1" x14ac:dyDescent="0.15">
      <c r="A327" s="1" t="s">
        <v>449</v>
      </c>
      <c r="B327" s="2" t="s">
        <v>359</v>
      </c>
      <c r="C327" s="2" t="s">
        <v>343</v>
      </c>
      <c r="D327" s="2" t="s">
        <v>431</v>
      </c>
      <c r="E327" s="6">
        <v>2800</v>
      </c>
      <c r="F327" s="18"/>
      <c r="G327" s="18"/>
      <c r="H327" s="18">
        <v>9606.68</v>
      </c>
      <c r="I327" s="18"/>
      <c r="J327" s="18"/>
      <c r="K327" s="18"/>
      <c r="L327" s="19">
        <f>SUM(F327:K327)</f>
        <v>9606.68</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270923.31</v>
      </c>
      <c r="G329" s="42">
        <f t="shared" si="17"/>
        <v>138028.41999999998</v>
      </c>
      <c r="H329" s="42">
        <f t="shared" si="17"/>
        <v>257539.84</v>
      </c>
      <c r="I329" s="42">
        <f t="shared" si="17"/>
        <v>96836.479999999996</v>
      </c>
      <c r="J329" s="42">
        <f t="shared" si="17"/>
        <v>171784.88</v>
      </c>
      <c r="K329" s="42">
        <f t="shared" si="17"/>
        <v>11447.640000000001</v>
      </c>
      <c r="L329" s="41">
        <f t="shared" si="17"/>
        <v>946560.57000000007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v>500</v>
      </c>
      <c r="I336" s="18">
        <v>1805.85</v>
      </c>
      <c r="J336" s="18"/>
      <c r="K336" s="18"/>
      <c r="L336" s="19">
        <f t="shared" si="18"/>
        <v>2305.85</v>
      </c>
      <c r="M336" s="8"/>
      <c r="N336" s="265"/>
    </row>
    <row r="337" spans="1:43" s="3" customFormat="1" ht="12.2" customHeight="1" thickBot="1" x14ac:dyDescent="0.2">
      <c r="A337" s="1" t="s">
        <v>584</v>
      </c>
      <c r="B337" s="6">
        <v>14</v>
      </c>
      <c r="C337" s="37">
        <v>5</v>
      </c>
      <c r="D337" s="2" t="s">
        <v>431</v>
      </c>
      <c r="E337" s="6">
        <v>4000</v>
      </c>
      <c r="F337" s="18"/>
      <c r="G337" s="18"/>
      <c r="H337" s="18">
        <v>93021.18</v>
      </c>
      <c r="I337" s="18"/>
      <c r="J337" s="18"/>
      <c r="K337" s="18"/>
      <c r="L337" s="19">
        <f t="shared" si="18"/>
        <v>93021.18</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93521.18</v>
      </c>
      <c r="I338" s="41">
        <f t="shared" si="19"/>
        <v>1805.85</v>
      </c>
      <c r="J338" s="41">
        <f t="shared" si="19"/>
        <v>0</v>
      </c>
      <c r="K338" s="41">
        <f t="shared" si="19"/>
        <v>0</v>
      </c>
      <c r="L338" s="41">
        <f t="shared" si="18"/>
        <v>95327.03</v>
      </c>
      <c r="M338" s="8"/>
      <c r="N338" s="265"/>
    </row>
    <row r="339" spans="1:43" s="3" customFormat="1" ht="12.2" customHeight="1" thickTop="1" x14ac:dyDescent="0.15">
      <c r="A339" s="38" t="s">
        <v>468</v>
      </c>
      <c r="B339" s="40">
        <v>14</v>
      </c>
      <c r="C339" s="40">
        <v>7</v>
      </c>
      <c r="D339" s="39" t="s">
        <v>431</v>
      </c>
      <c r="E339" s="40"/>
      <c r="F339" s="41">
        <f t="shared" ref="F339:L339" si="20">F291+F310+F329+F338</f>
        <v>1020024.3799999999</v>
      </c>
      <c r="G339" s="41">
        <f t="shared" si="20"/>
        <v>544481.30000000005</v>
      </c>
      <c r="H339" s="41">
        <f t="shared" si="20"/>
        <v>763456.32000000007</v>
      </c>
      <c r="I339" s="41">
        <f t="shared" si="20"/>
        <v>353264.45999999996</v>
      </c>
      <c r="J339" s="41">
        <f t="shared" si="20"/>
        <v>284938.79000000004</v>
      </c>
      <c r="K339" s="41">
        <f t="shared" si="20"/>
        <v>17214.52</v>
      </c>
      <c r="L339" s="41">
        <f t="shared" si="20"/>
        <v>2983379.7699999996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66790.720000000001</v>
      </c>
      <c r="L345" s="19">
        <f t="shared" ref="L345:L351" si="21">SUM(F345:K345)</f>
        <v>66790.720000000001</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66790.720000000001</v>
      </c>
      <c r="L352" s="41">
        <f>SUM(L342:L351)</f>
        <v>66790.720000000001</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1020024.3799999999</v>
      </c>
      <c r="G353" s="41">
        <f>G339</f>
        <v>544481.30000000005</v>
      </c>
      <c r="H353" s="41">
        <f>H339</f>
        <v>763456.32000000007</v>
      </c>
      <c r="I353" s="41">
        <f>I339</f>
        <v>353264.45999999996</v>
      </c>
      <c r="J353" s="41">
        <f>J339</f>
        <v>284938.79000000004</v>
      </c>
      <c r="K353" s="47">
        <f>K339+K352</f>
        <v>84005.24</v>
      </c>
      <c r="L353" s="41">
        <f>L339+L352</f>
        <v>3050170.4899999998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144076.57+1200</f>
        <v>145276.57</v>
      </c>
      <c r="G359" s="18">
        <f>92837.05+258.21</f>
        <v>93095.260000000009</v>
      </c>
      <c r="H359" s="18">
        <v>1028.68</v>
      </c>
      <c r="I359" s="18">
        <v>197354.15</v>
      </c>
      <c r="J359" s="18"/>
      <c r="K359" s="18">
        <v>3969.26</v>
      </c>
      <c r="L359" s="13">
        <f>SUM(F359:K359)</f>
        <v>440723.92000000004</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v>78607.199999999997</v>
      </c>
      <c r="G361" s="18">
        <v>42033.9</v>
      </c>
      <c r="H361" s="18">
        <v>506.65</v>
      </c>
      <c r="I361" s="18">
        <v>83128.009999999995</v>
      </c>
      <c r="J361" s="18"/>
      <c r="K361" s="18">
        <v>1985.64</v>
      </c>
      <c r="L361" s="19">
        <f>SUM(F361:K361)</f>
        <v>206261.40000000002</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223883.77000000002</v>
      </c>
      <c r="G363" s="47">
        <f t="shared" si="22"/>
        <v>135129.16</v>
      </c>
      <c r="H363" s="47">
        <f t="shared" si="22"/>
        <v>1535.33</v>
      </c>
      <c r="I363" s="47">
        <f t="shared" si="22"/>
        <v>280482.15999999997</v>
      </c>
      <c r="J363" s="47">
        <f t="shared" si="22"/>
        <v>0</v>
      </c>
      <c r="K363" s="47">
        <f t="shared" si="22"/>
        <v>5954.9000000000005</v>
      </c>
      <c r="L363" s="47">
        <f t="shared" si="22"/>
        <v>646985.32000000007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191935.25</v>
      </c>
      <c r="G368" s="18"/>
      <c r="H368" s="18">
        <v>78722.61</v>
      </c>
      <c r="I368" s="56">
        <f>SUM(F368:H368)</f>
        <v>270657.86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5418.9</v>
      </c>
      <c r="G369" s="63"/>
      <c r="H369" s="63">
        <v>4405.3999999999996</v>
      </c>
      <c r="I369" s="56">
        <f>SUM(F369:H369)</f>
        <v>9824.2999999999993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197354.15</v>
      </c>
      <c r="G370" s="47">
        <f>SUM(G368:G369)</f>
        <v>0</v>
      </c>
      <c r="H370" s="47">
        <f>SUM(H368:H369)</f>
        <v>83128.009999999995</v>
      </c>
      <c r="I370" s="47">
        <f>SUM(I368:I369)</f>
        <v>280482.15999999997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v>25000</v>
      </c>
      <c r="H392" s="18">
        <v>1100.71</v>
      </c>
      <c r="I392" s="18"/>
      <c r="J392" s="24" t="s">
        <v>288</v>
      </c>
      <c r="K392" s="24" t="s">
        <v>288</v>
      </c>
      <c r="L392" s="56">
        <f t="shared" si="25"/>
        <v>26100.71</v>
      </c>
      <c r="M392" s="8"/>
      <c r="N392" s="265"/>
    </row>
    <row r="393" spans="1:14" s="3" customFormat="1" ht="12.2" customHeight="1" thickBot="1" x14ac:dyDescent="0.2">
      <c r="A393" s="79" t="s">
        <v>555</v>
      </c>
      <c r="B393" s="2" t="s">
        <v>381</v>
      </c>
      <c r="C393" s="6">
        <v>6</v>
      </c>
      <c r="D393" s="2" t="s">
        <v>432</v>
      </c>
      <c r="E393" s="6"/>
      <c r="F393" s="18"/>
      <c r="G393" s="18">
        <v>245595.76</v>
      </c>
      <c r="H393" s="18">
        <v>2052.41</v>
      </c>
      <c r="I393" s="18"/>
      <c r="J393" s="24" t="s">
        <v>288</v>
      </c>
      <c r="K393" s="24" t="s">
        <v>288</v>
      </c>
      <c r="L393" s="56">
        <f t="shared" si="25"/>
        <v>247648.17</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270595.76</v>
      </c>
      <c r="H394" s="139">
        <f>SUM(H388:H393)</f>
        <v>3153.12</v>
      </c>
      <c r="I394" s="65">
        <f>SUM(I388:I393)</f>
        <v>0</v>
      </c>
      <c r="J394" s="45" t="s">
        <v>288</v>
      </c>
      <c r="K394" s="45" t="s">
        <v>288</v>
      </c>
      <c r="L394" s="47">
        <f>SUM(L388:L393)</f>
        <v>273748.88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797190</v>
      </c>
      <c r="H401" s="18">
        <v>13053.87</v>
      </c>
      <c r="I401" s="18"/>
      <c r="J401" s="24" t="s">
        <v>288</v>
      </c>
      <c r="K401" s="24" t="s">
        <v>288</v>
      </c>
      <c r="L401" s="56">
        <f t="shared" si="26"/>
        <v>810243.87</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797190</v>
      </c>
      <c r="H402" s="47">
        <f>SUM(H396:H401)</f>
        <v>13053.87</v>
      </c>
      <c r="I402" s="47">
        <f>SUM(I396:I401)</f>
        <v>0</v>
      </c>
      <c r="J402" s="45" t="s">
        <v>288</v>
      </c>
      <c r="K402" s="45" t="s">
        <v>288</v>
      </c>
      <c r="L402" s="47">
        <f>SUM(L396:L401)</f>
        <v>810243.87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1067785.76</v>
      </c>
      <c r="H409" s="47">
        <f>H394+H402+H408</f>
        <v>16206.990000000002</v>
      </c>
      <c r="I409" s="47">
        <f>I394+I402+I408</f>
        <v>0</v>
      </c>
      <c r="J409" s="24" t="s">
        <v>288</v>
      </c>
      <c r="K409" s="24" t="s">
        <v>288</v>
      </c>
      <c r="L409" s="47">
        <f>L394+L402+L408</f>
        <v>1083992.75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v>211202.32</v>
      </c>
      <c r="L419" s="56">
        <f t="shared" si="27"/>
        <v>211202.32</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211202.32</v>
      </c>
      <c r="L420" s="47">
        <f t="shared" si="28"/>
        <v>211202.32</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v>652998.54</v>
      </c>
      <c r="L423" s="56">
        <f t="shared" si="29"/>
        <v>652998.54</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652998.54</v>
      </c>
      <c r="L428" s="47">
        <f t="shared" si="30"/>
        <v>652998.54</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864200.8600000001</v>
      </c>
      <c r="L435" s="47">
        <f t="shared" si="32"/>
        <v>864200.8600000001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f>2354205.15-1721950.91</f>
        <v>632254.24</v>
      </c>
      <c r="G440" s="18">
        <v>1721950.91</v>
      </c>
      <c r="H440" s="18"/>
      <c r="I440" s="56">
        <f t="shared" ref="I440:I446" si="33">SUM(F440:H440)</f>
        <v>2354205.15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10595.76</v>
      </c>
      <c r="G442" s="18"/>
      <c r="H442" s="18"/>
      <c r="I442" s="56">
        <f t="shared" si="33"/>
        <v>10595.76</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642850</v>
      </c>
      <c r="G447" s="13">
        <f>SUM(G440:G446)</f>
        <v>1721950.91</v>
      </c>
      <c r="H447" s="13">
        <f>SUM(H440:H446)</f>
        <v>0</v>
      </c>
      <c r="I447" s="13">
        <f>SUM(I440:I446)</f>
        <v>2364800.9099999997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4"/>
      <c r="G449" s="4"/>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12653.32</v>
      </c>
      <c r="G450" s="18">
        <v>118663</v>
      </c>
      <c r="H450" s="18"/>
      <c r="I450" s="56">
        <f>SUM(F450:H450)</f>
        <v>131316.32</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SUM(F450:F452)</f>
        <v>12653.32</v>
      </c>
      <c r="G453" s="72">
        <f>SUM(G450:G452)</f>
        <v>118663</v>
      </c>
      <c r="H453" s="72">
        <f>SUM(H449:H452)</f>
        <v>0</v>
      </c>
      <c r="I453" s="72">
        <f>SUM(I449:I452)</f>
        <v>131316.32</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630196.68000000005</v>
      </c>
      <c r="G460" s="18">
        <v>1603287.91</v>
      </c>
      <c r="H460" s="18"/>
      <c r="I460" s="56">
        <f t="shared" si="34"/>
        <v>2233484.59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630196.68000000005</v>
      </c>
      <c r="G461" s="83">
        <f>SUM(G455:G460)</f>
        <v>1603287.91</v>
      </c>
      <c r="H461" s="83">
        <f>SUM(H455:H460)</f>
        <v>0</v>
      </c>
      <c r="I461" s="83">
        <f>SUM(I455:I460)</f>
        <v>2233484.59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642850</v>
      </c>
      <c r="G462" s="42">
        <f>G453+G461</f>
        <v>1721950.91</v>
      </c>
      <c r="H462" s="42">
        <f>H453+H461</f>
        <v>0</v>
      </c>
      <c r="I462" s="42">
        <f>I453+I461</f>
        <v>2364800.9099999997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1071863.83</v>
      </c>
      <c r="G466" s="18">
        <v>0</v>
      </c>
      <c r="H466" s="18">
        <v>29434.26</v>
      </c>
      <c r="I466" s="18">
        <v>0</v>
      </c>
      <c r="J466" s="18">
        <v>2013692.7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22070577.489999998</v>
      </c>
      <c r="G469" s="18">
        <v>746997.5</v>
      </c>
      <c r="H469" s="18">
        <v>3049621.33</v>
      </c>
      <c r="I469" s="18"/>
      <c r="J469" s="18">
        <v>1083992.75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22070577.489999998</v>
      </c>
      <c r="G471" s="53">
        <f>SUM(G469:G470)</f>
        <v>746997.5</v>
      </c>
      <c r="H471" s="53">
        <f>SUM(H469:H470)</f>
        <v>3049621.33</v>
      </c>
      <c r="I471" s="53">
        <f>SUM(I469:I470)</f>
        <v>0</v>
      </c>
      <c r="J471" s="53">
        <f>SUM(J469:J470)</f>
        <v>1083992.75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22009158.170000002</v>
      </c>
      <c r="G473" s="18">
        <f>645527.11+1458.21</f>
        <v>646985.31999999995</v>
      </c>
      <c r="H473" s="18">
        <v>3050170.49</v>
      </c>
      <c r="I473" s="18"/>
      <c r="J473" s="18">
        <v>864200.86</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22009158.170000002</v>
      </c>
      <c r="G475" s="53">
        <f>SUM(G473:G474)</f>
        <v>646985.31999999995</v>
      </c>
      <c r="H475" s="53">
        <f>SUM(H473:H474)</f>
        <v>3050170.49</v>
      </c>
      <c r="I475" s="53">
        <f>SUM(I473:I474)</f>
        <v>0</v>
      </c>
      <c r="J475" s="53">
        <f>SUM(J473:J474)</f>
        <v>864200.86</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1133283.1499999985</v>
      </c>
      <c r="G477" s="53">
        <f>(G466+G471)- G475</f>
        <v>100012.18000000005</v>
      </c>
      <c r="H477" s="53">
        <f>(H466+H471)- H475</f>
        <v>28885.099999999627</v>
      </c>
      <c r="I477" s="53">
        <f>(I466+I471)- I475</f>
        <v>0</v>
      </c>
      <c r="J477" s="53">
        <f>(J466+J471)- J475</f>
        <v>2233484.5900000003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999925.18-14996.78</f>
        <v>984928.4</v>
      </c>
      <c r="G522" s="18">
        <f>603997.15-G532</f>
        <v>602804.80000000005</v>
      </c>
      <c r="H522" s="18">
        <v>199780.26</v>
      </c>
      <c r="I522" s="18">
        <v>5679.45</v>
      </c>
      <c r="J522" s="18">
        <v>285.56</v>
      </c>
      <c r="K522" s="18"/>
      <c r="L522" s="88">
        <f>SUM(F522:K522)</f>
        <v>1793478.4700000002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f>389873.9-7498.29</f>
        <v>382375.61000000004</v>
      </c>
      <c r="G524" s="18">
        <f>268493.74-G534</f>
        <v>267897.61</v>
      </c>
      <c r="H524" s="18">
        <v>724900.21</v>
      </c>
      <c r="I524" s="18">
        <v>1132.26</v>
      </c>
      <c r="J524" s="18"/>
      <c r="K524" s="18"/>
      <c r="L524" s="88">
        <f>SUM(F524:K524)</f>
        <v>1376305.69</v>
      </c>
      <c r="N524" s="264"/>
    </row>
    <row r="525" spans="1:14" s="52" customFormat="1" ht="12.2" customHeight="1" thickTop="1" x14ac:dyDescent="0.2">
      <c r="A525" s="139" t="s">
        <v>63</v>
      </c>
      <c r="B525" s="107">
        <v>21</v>
      </c>
      <c r="C525" s="194">
        <v>4</v>
      </c>
      <c r="D525" s="195" t="s">
        <v>432</v>
      </c>
      <c r="E525" s="194"/>
      <c r="F525" s="108">
        <f>SUM(F522:F524)</f>
        <v>1367304.01</v>
      </c>
      <c r="G525" s="108">
        <f t="shared" ref="G525:L525" si="36">SUM(G522:G524)</f>
        <v>870702.41</v>
      </c>
      <c r="H525" s="108">
        <f t="shared" si="36"/>
        <v>924680.47</v>
      </c>
      <c r="I525" s="108">
        <f t="shared" si="36"/>
        <v>6811.71</v>
      </c>
      <c r="J525" s="108">
        <f t="shared" si="36"/>
        <v>285.56</v>
      </c>
      <c r="K525" s="108">
        <f t="shared" si="36"/>
        <v>0</v>
      </c>
      <c r="L525" s="89">
        <f t="shared" si="36"/>
        <v>3169784.16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506040.2</v>
      </c>
      <c r="G527" s="18">
        <v>293886.52</v>
      </c>
      <c r="H527" s="18">
        <f>180147.15+59860</f>
        <v>240007.15</v>
      </c>
      <c r="I527" s="18">
        <v>35098.33</v>
      </c>
      <c r="J527" s="18">
        <v>20842.18</v>
      </c>
      <c r="K527" s="18">
        <v>625</v>
      </c>
      <c r="L527" s="88">
        <f>SUM(F527:K527)</f>
        <v>1096499.3799999999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143370.74</v>
      </c>
      <c r="G529" s="18">
        <v>77403.56</v>
      </c>
      <c r="H529" s="18">
        <f>41176.8+29930</f>
        <v>71106.8</v>
      </c>
      <c r="I529" s="18">
        <v>12204.3</v>
      </c>
      <c r="J529" s="18"/>
      <c r="K529" s="18">
        <v>2000</v>
      </c>
      <c r="L529" s="88">
        <f>SUM(F529:K529)</f>
        <v>306085.39999999997</v>
      </c>
      <c r="M529" s="8"/>
      <c r="N529" s="265"/>
    </row>
    <row r="530" spans="1:14" s="3" customFormat="1" ht="12.2" customHeight="1" thickTop="1" x14ac:dyDescent="0.15">
      <c r="A530" s="139" t="s">
        <v>65</v>
      </c>
      <c r="B530" s="107">
        <v>21</v>
      </c>
      <c r="C530" s="107">
        <v>8</v>
      </c>
      <c r="D530" s="158" t="s">
        <v>432</v>
      </c>
      <c r="E530" s="107"/>
      <c r="F530" s="89">
        <f>SUM(F527:F529)</f>
        <v>649410.93999999994</v>
      </c>
      <c r="G530" s="89">
        <f t="shared" ref="G530:L530" si="37">SUM(G527:G529)</f>
        <v>371290.08</v>
      </c>
      <c r="H530" s="89">
        <f t="shared" si="37"/>
        <v>311113.95</v>
      </c>
      <c r="I530" s="89">
        <f t="shared" si="37"/>
        <v>47302.630000000005</v>
      </c>
      <c r="J530" s="89">
        <f t="shared" si="37"/>
        <v>20842.18</v>
      </c>
      <c r="K530" s="89">
        <f t="shared" si="37"/>
        <v>2625</v>
      </c>
      <c r="L530" s="89">
        <f t="shared" si="37"/>
        <v>1402584.7799999998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14996.78</v>
      </c>
      <c r="G532" s="18">
        <v>1192.3499999999999</v>
      </c>
      <c r="H532" s="18"/>
      <c r="I532" s="18"/>
      <c r="J532" s="18"/>
      <c r="K532" s="18"/>
      <c r="L532" s="88">
        <f>SUM(F532:K532)</f>
        <v>16189.130000000001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7498.29</v>
      </c>
      <c r="G534" s="18">
        <v>596.13</v>
      </c>
      <c r="H534" s="18"/>
      <c r="I534" s="18"/>
      <c r="J534" s="18"/>
      <c r="K534" s="18"/>
      <c r="L534" s="88">
        <f>SUM(F534:K534)</f>
        <v>8094.42</v>
      </c>
      <c r="M534" s="8"/>
      <c r="N534" s="265"/>
    </row>
    <row r="535" spans="1:14" s="3" customFormat="1" ht="12.2" customHeight="1" thickTop="1" x14ac:dyDescent="0.15">
      <c r="A535" s="139" t="s">
        <v>67</v>
      </c>
      <c r="B535" s="107">
        <v>21</v>
      </c>
      <c r="C535" s="107">
        <v>12</v>
      </c>
      <c r="D535" s="158" t="s">
        <v>432</v>
      </c>
      <c r="E535" s="107"/>
      <c r="F535" s="89">
        <f>SUM(F532:F534)</f>
        <v>22495.07</v>
      </c>
      <c r="G535" s="89">
        <f t="shared" ref="G535:L535" si="38">SUM(G532:G534)</f>
        <v>1788.48</v>
      </c>
      <c r="H535" s="89">
        <f t="shared" si="38"/>
        <v>0</v>
      </c>
      <c r="I535" s="89">
        <f t="shared" si="38"/>
        <v>0</v>
      </c>
      <c r="J535" s="89">
        <f t="shared" si="38"/>
        <v>0</v>
      </c>
      <c r="K535" s="89">
        <f t="shared" si="38"/>
        <v>0</v>
      </c>
      <c r="L535" s="89">
        <f t="shared" si="38"/>
        <v>24283.550000000003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23178.52</v>
      </c>
      <c r="G542" s="18">
        <v>5875.55</v>
      </c>
      <c r="H542" s="18">
        <v>126826.31</v>
      </c>
      <c r="I542" s="18"/>
      <c r="J542" s="18"/>
      <c r="K542" s="18"/>
      <c r="L542" s="88">
        <f>SUM(F542:K542)</f>
        <v>155880.38</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v>11374.76</v>
      </c>
      <c r="G544" s="18">
        <v>2921.38</v>
      </c>
      <c r="H544" s="18">
        <v>63413.16</v>
      </c>
      <c r="I544" s="18"/>
      <c r="J544" s="18"/>
      <c r="K544" s="18"/>
      <c r="L544" s="88">
        <f>SUM(F544:K544)</f>
        <v>77709.3</v>
      </c>
      <c r="M544" s="8"/>
      <c r="N544" s="265"/>
    </row>
    <row r="545" spans="1:14" s="3" customFormat="1" ht="12.2" customHeight="1" thickTop="1" thickBot="1" x14ac:dyDescent="0.2">
      <c r="A545" s="130" t="s">
        <v>71</v>
      </c>
      <c r="B545" s="190">
        <v>21</v>
      </c>
      <c r="C545" s="190">
        <v>20</v>
      </c>
      <c r="D545" s="191" t="s">
        <v>432</v>
      </c>
      <c r="E545" s="190"/>
      <c r="F545" s="192">
        <f>SUM(F542:F544)</f>
        <v>34553.279999999999</v>
      </c>
      <c r="G545" s="192">
        <f t="shared" ref="G545:L545" si="40">SUM(G542:G544)</f>
        <v>8796.93</v>
      </c>
      <c r="H545" s="192">
        <f t="shared" si="40"/>
        <v>190239.47</v>
      </c>
      <c r="I545" s="192">
        <f t="shared" si="40"/>
        <v>0</v>
      </c>
      <c r="J545" s="192">
        <f t="shared" si="40"/>
        <v>0</v>
      </c>
      <c r="K545" s="192">
        <f t="shared" si="40"/>
        <v>0</v>
      </c>
      <c r="L545" s="192">
        <f t="shared" si="40"/>
        <v>233589.68</v>
      </c>
      <c r="M545" s="8"/>
      <c r="N545" s="265"/>
    </row>
    <row r="546" spans="1:14" s="3" customFormat="1" ht="12.2" customHeight="1" thickTop="1" x14ac:dyDescent="0.15">
      <c r="A546" s="98" t="s">
        <v>72</v>
      </c>
      <c r="B546" s="107">
        <v>21</v>
      </c>
      <c r="C546" s="107">
        <v>21</v>
      </c>
      <c r="D546" s="158" t="s">
        <v>432</v>
      </c>
      <c r="E546" s="107"/>
      <c r="F546" s="89">
        <f>F525+F530+F535+F540+F545</f>
        <v>2073763.3</v>
      </c>
      <c r="G546" s="89">
        <f t="shared" ref="G546:L546" si="41">G525+G530+G535+G540+G545</f>
        <v>1252577.8999999999</v>
      </c>
      <c r="H546" s="89">
        <f t="shared" si="41"/>
        <v>1426033.89</v>
      </c>
      <c r="I546" s="89">
        <f t="shared" si="41"/>
        <v>54114.340000000004</v>
      </c>
      <c r="J546" s="89">
        <f t="shared" si="41"/>
        <v>21127.74</v>
      </c>
      <c r="K546" s="89">
        <f t="shared" si="41"/>
        <v>2625</v>
      </c>
      <c r="L546" s="89">
        <f t="shared" si="41"/>
        <v>4830242.169999999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1793478.4700000002</v>
      </c>
      <c r="G550" s="87">
        <f>L527</f>
        <v>1096499.3799999999</v>
      </c>
      <c r="H550" s="87">
        <f>L532</f>
        <v>16189.130000000001</v>
      </c>
      <c r="I550" s="87">
        <f>L537</f>
        <v>0</v>
      </c>
      <c r="J550" s="87">
        <f>L542</f>
        <v>155880.38</v>
      </c>
      <c r="K550" s="87">
        <f>SUM(F550:J550)</f>
        <v>3062047.36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1376305.69</v>
      </c>
      <c r="G552" s="87">
        <f>L529</f>
        <v>306085.39999999997</v>
      </c>
      <c r="H552" s="87">
        <f>L534</f>
        <v>8094.42</v>
      </c>
      <c r="I552" s="87">
        <f>L539</f>
        <v>0</v>
      </c>
      <c r="J552" s="87">
        <f>L544</f>
        <v>77709.3</v>
      </c>
      <c r="K552" s="87">
        <f>SUM(F552:J552)</f>
        <v>1768194.8099999998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3169784.16</v>
      </c>
      <c r="G553" s="89">
        <f t="shared" si="42"/>
        <v>1402584.7799999998</v>
      </c>
      <c r="H553" s="89">
        <f t="shared" si="42"/>
        <v>24283.550000000003</v>
      </c>
      <c r="I553" s="89">
        <f t="shared" si="42"/>
        <v>0</v>
      </c>
      <c r="J553" s="89">
        <f t="shared" si="42"/>
        <v>233589.68</v>
      </c>
      <c r="K553" s="89">
        <f t="shared" si="42"/>
        <v>4830242.17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38994.04</v>
      </c>
      <c r="G563" s="18">
        <v>28029.97</v>
      </c>
      <c r="H563" s="18">
        <v>881.53</v>
      </c>
      <c r="I563" s="18"/>
      <c r="J563" s="18"/>
      <c r="K563" s="18"/>
      <c r="L563" s="88">
        <f>SUM(F563:K563)</f>
        <v>67905.540000000008</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v>19205.96</v>
      </c>
      <c r="G565" s="18">
        <v>13806.36</v>
      </c>
      <c r="H565" s="18">
        <v>436.18</v>
      </c>
      <c r="I565" s="18"/>
      <c r="J565" s="18"/>
      <c r="K565" s="18"/>
      <c r="L565" s="88">
        <f>SUM(F565:K565)</f>
        <v>33448.5</v>
      </c>
      <c r="M565" s="8"/>
      <c r="N565" s="265"/>
    </row>
    <row r="566" spans="1:14" s="3" customFormat="1" ht="12.2" customHeight="1" thickTop="1" x14ac:dyDescent="0.15">
      <c r="A566" s="139" t="s">
        <v>65</v>
      </c>
      <c r="B566" s="107">
        <v>22</v>
      </c>
      <c r="C566" s="107">
        <v>8</v>
      </c>
      <c r="D566" s="195" t="s">
        <v>432</v>
      </c>
      <c r="E566" s="107"/>
      <c r="F566" s="89">
        <f t="shared" ref="F566:L566" si="44">SUM(F563:F565)</f>
        <v>58200</v>
      </c>
      <c r="G566" s="89">
        <f t="shared" si="44"/>
        <v>41836.33</v>
      </c>
      <c r="H566" s="89">
        <f t="shared" si="44"/>
        <v>1317.71</v>
      </c>
      <c r="I566" s="89">
        <f t="shared" si="44"/>
        <v>0</v>
      </c>
      <c r="J566" s="89">
        <f t="shared" si="44"/>
        <v>0</v>
      </c>
      <c r="K566" s="89">
        <f t="shared" si="44"/>
        <v>0</v>
      </c>
      <c r="L566" s="89">
        <f t="shared" si="44"/>
        <v>101354.04000000001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58200</v>
      </c>
      <c r="G572" s="89">
        <f t="shared" ref="G572:L572" si="46">G561+G566+G571</f>
        <v>41836.33</v>
      </c>
      <c r="H572" s="89">
        <f t="shared" si="46"/>
        <v>1317.71</v>
      </c>
      <c r="I572" s="89">
        <f t="shared" si="46"/>
        <v>0</v>
      </c>
      <c r="J572" s="89">
        <f t="shared" si="46"/>
        <v>0</v>
      </c>
      <c r="K572" s="89">
        <f t="shared" si="46"/>
        <v>0</v>
      </c>
      <c r="L572" s="89">
        <f t="shared" si="46"/>
        <v>101354.04000000001</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183608.73</v>
      </c>
      <c r="G583" s="18"/>
      <c r="H583" s="18">
        <v>572265.71</v>
      </c>
      <c r="I583" s="87">
        <f t="shared" si="47"/>
        <v>755874.44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152198.32</v>
      </c>
      <c r="I584" s="87">
        <f t="shared" si="47"/>
        <v>152198.32</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15982.79</v>
      </c>
      <c r="I585" s="87">
        <f t="shared" si="47"/>
        <v>15982.79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494655.07</v>
      </c>
      <c r="I592" s="18"/>
      <c r="J592" s="18">
        <v>443886.59</v>
      </c>
      <c r="K592" s="104">
        <f t="shared" ref="K592:K598" si="48">SUM(H592:J592)</f>
        <v>938541.66</v>
      </c>
      <c r="L592" s="24" t="s">
        <v>288</v>
      </c>
      <c r="M592" s="8"/>
      <c r="N592" s="265"/>
    </row>
    <row r="593" spans="1:14" s="3" customFormat="1" ht="12.2" customHeight="1" x14ac:dyDescent="0.15">
      <c r="A593" s="3" t="s">
        <v>638</v>
      </c>
      <c r="B593" s="75">
        <v>23</v>
      </c>
      <c r="C593" s="75">
        <v>2</v>
      </c>
      <c r="D593" s="2" t="s">
        <v>432</v>
      </c>
      <c r="E593" s="75"/>
      <c r="F593" s="102">
        <v>2722</v>
      </c>
      <c r="G593" s="103" t="s">
        <v>97</v>
      </c>
      <c r="H593" s="18">
        <f>157624.95+2354</f>
        <v>159978.95000000001</v>
      </c>
      <c r="I593" s="18"/>
      <c r="J593" s="18">
        <f>78812.49+1177</f>
        <v>79989.490000000005</v>
      </c>
      <c r="K593" s="104">
        <f t="shared" si="48"/>
        <v>239968.44</v>
      </c>
      <c r="L593" s="24" t="s">
        <v>288</v>
      </c>
      <c r="M593" s="8"/>
      <c r="N593" s="265"/>
    </row>
    <row r="594" spans="1:14" s="3" customFormat="1" ht="12.2" customHeight="1" x14ac:dyDescent="0.15">
      <c r="A594" s="3" t="s">
        <v>639</v>
      </c>
      <c r="B594" s="75">
        <v>23</v>
      </c>
      <c r="C594" s="75">
        <v>3</v>
      </c>
      <c r="D594" s="2" t="s">
        <v>432</v>
      </c>
      <c r="E594" s="75"/>
      <c r="F594" s="102">
        <v>2723</v>
      </c>
      <c r="G594" s="103" t="s">
        <v>97</v>
      </c>
      <c r="H594" s="18">
        <v>7600</v>
      </c>
      <c r="I594" s="18"/>
      <c r="J594" s="18">
        <v>26667.49</v>
      </c>
      <c r="K594" s="104">
        <f t="shared" si="48"/>
        <v>34267.490000000005</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27438.33</v>
      </c>
      <c r="I595" s="18"/>
      <c r="J595" s="18">
        <v>70714.28</v>
      </c>
      <c r="K595" s="104">
        <f t="shared" si="48"/>
        <v>98152.61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11225.69</v>
      </c>
      <c r="I596" s="18"/>
      <c r="J596" s="18">
        <v>4784.6099999999997</v>
      </c>
      <c r="K596" s="104">
        <f t="shared" si="48"/>
        <v>16010.3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1522.57</v>
      </c>
      <c r="I598" s="18"/>
      <c r="J598" s="18">
        <v>761.28</v>
      </c>
      <c r="K598" s="104">
        <f t="shared" si="48"/>
        <v>2283.85</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702420.60999999987</v>
      </c>
      <c r="I599" s="108">
        <f>SUM(I592:I598)</f>
        <v>0</v>
      </c>
      <c r="J599" s="108">
        <f>SUM(J592:J598)</f>
        <v>626803.74000000011</v>
      </c>
      <c r="K599" s="108">
        <f>SUM(K592:K598)</f>
        <v>1329224.3500000003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159455.28+113153.91</f>
        <v>272609.19</v>
      </c>
      <c r="I605" s="18"/>
      <c r="J605" s="18">
        <f>78614.5+173173.86-1388.98</f>
        <v>250399.37999999998</v>
      </c>
      <c r="K605" s="104">
        <f>SUM(H605:J605)</f>
        <v>523008.56999999995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272609.19</v>
      </c>
      <c r="I606" s="108">
        <f>SUM(I603:I605)</f>
        <v>0</v>
      </c>
      <c r="J606" s="108">
        <f>SUM(J603:J605)</f>
        <v>250399.37999999998</v>
      </c>
      <c r="K606" s="108">
        <f>SUM(K603:K605)</f>
        <v>523008.56999999995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59417.5</v>
      </c>
      <c r="G612" s="18">
        <v>15117.08</v>
      </c>
      <c r="H612" s="18"/>
      <c r="I612" s="18">
        <v>252.78</v>
      </c>
      <c r="J612" s="18"/>
      <c r="K612" s="18"/>
      <c r="L612" s="88">
        <f>SUM(F612:K612)</f>
        <v>74787.360000000001</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10733.85</v>
      </c>
      <c r="G614" s="18">
        <v>2418.13</v>
      </c>
      <c r="H614" s="18"/>
      <c r="I614" s="18"/>
      <c r="J614" s="18"/>
      <c r="K614" s="18"/>
      <c r="L614" s="88">
        <f>SUM(F614:K614)</f>
        <v>13151.98</v>
      </c>
      <c r="M614" s="8"/>
      <c r="N614" s="265"/>
    </row>
    <row r="615" spans="1:14" s="3" customFormat="1" ht="12.2" customHeight="1" thickTop="1" x14ac:dyDescent="0.15">
      <c r="A615" s="98" t="s">
        <v>340</v>
      </c>
      <c r="B615" s="107">
        <v>23</v>
      </c>
      <c r="C615" s="107">
        <v>16</v>
      </c>
      <c r="D615" s="39" t="s">
        <v>432</v>
      </c>
      <c r="E615" s="107"/>
      <c r="F615" s="108">
        <f t="shared" ref="F615:L615" si="49">SUM(F612:F614)</f>
        <v>70151.350000000006</v>
      </c>
      <c r="G615" s="108">
        <f t="shared" si="49"/>
        <v>17535.21</v>
      </c>
      <c r="H615" s="108">
        <f t="shared" si="49"/>
        <v>0</v>
      </c>
      <c r="I615" s="108">
        <f t="shared" si="49"/>
        <v>252.78</v>
      </c>
      <c r="J615" s="108">
        <f t="shared" si="49"/>
        <v>0</v>
      </c>
      <c r="K615" s="108">
        <f t="shared" si="49"/>
        <v>0</v>
      </c>
      <c r="L615" s="89">
        <f t="shared" si="49"/>
        <v>87939.34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3392001.53</v>
      </c>
      <c r="H618" s="109">
        <f>SUM(F52)</f>
        <v>3392001.53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187833.57000000004</v>
      </c>
      <c r="H619" s="109">
        <f>SUM(G52)</f>
        <v>187833.57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815976.23</v>
      </c>
      <c r="H620" s="109">
        <f>SUM(H52)</f>
        <v>815976.23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2364800.9099999997</v>
      </c>
      <c r="H622" s="109">
        <f>SUM(J52)</f>
        <v>2364800.9099999997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1133283.1499999999</v>
      </c>
      <c r="H623" s="109">
        <f>F477</f>
        <v>1133283.1499999985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100012.18</v>
      </c>
      <c r="H624" s="109">
        <f>G477</f>
        <v>100012.18000000005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28885.1</v>
      </c>
      <c r="H625" s="109">
        <f>H477</f>
        <v>28885.099999999627</v>
      </c>
      <c r="I625" s="121" t="s">
        <v>103</v>
      </c>
      <c r="J625" s="109">
        <f t="shared" si="50"/>
        <v>3.7107383832335472E-10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2233484.59</v>
      </c>
      <c r="H627" s="109">
        <f>J477</f>
        <v>2233484.5900000003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22070577.489999995</v>
      </c>
      <c r="H628" s="104">
        <f>SUM(F469)</f>
        <v>22070577.489999998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746997.5</v>
      </c>
      <c r="H629" s="104">
        <f>SUM(G469)</f>
        <v>746997.5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3049621.33</v>
      </c>
      <c r="H630" s="104">
        <f>SUM(H469)</f>
        <v>3049621.33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1083992.75</v>
      </c>
      <c r="H632" s="104">
        <f>SUM(J469)</f>
        <v>1083992.75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22009158.170000002</v>
      </c>
      <c r="H633" s="104">
        <f>SUM(F473)</f>
        <v>22009158.170000002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3050170.4899999998</v>
      </c>
      <c r="H634" s="104">
        <f>SUM(H473)</f>
        <v>3050170.49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280482.15999999997</v>
      </c>
      <c r="H635" s="104">
        <f>I370</f>
        <v>280482.15999999997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646985.32000000007</v>
      </c>
      <c r="H636" s="104">
        <f>SUM(G473)</f>
        <v>646985.31999999995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1083992.75</v>
      </c>
      <c r="H638" s="164">
        <f>SUM(J469)</f>
        <v>1083992.75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864200.8600000001</v>
      </c>
      <c r="H639" s="164">
        <f>SUM(J473)</f>
        <v>864200.86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642850</v>
      </c>
      <c r="H640" s="104">
        <f>SUM(F462)</f>
        <v>642850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1721950.91</v>
      </c>
      <c r="H641" s="104">
        <f>SUM(G462)</f>
        <v>1721950.91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2364800.9099999997</v>
      </c>
      <c r="H643" s="104">
        <f>SUM(I462)</f>
        <v>2364800.9099999997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16206.99</v>
      </c>
      <c r="H645" s="104">
        <f>H409</f>
        <v>16206.990000000002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1067785.76</v>
      </c>
      <c r="H646" s="104">
        <f>G409</f>
        <v>1067785.76</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1083992.75</v>
      </c>
      <c r="H647" s="104">
        <f>L409</f>
        <v>1083992.75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1329224.3500000003</v>
      </c>
      <c r="H648" s="104">
        <f>L209+L227+L245</f>
        <v>1329224.3500000001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523008.56999999995</v>
      </c>
      <c r="H649" s="104">
        <f>(J258+J339)-(J256+J337)</f>
        <v>523008.57000000007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702420.61</v>
      </c>
      <c r="H650" s="104">
        <f>H599</f>
        <v>702420.60999999987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626803.74</v>
      </c>
      <c r="H652" s="104">
        <f>J599</f>
        <v>626803.74000000011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362.1</v>
      </c>
      <c r="H653" s="104">
        <f>K264+K346</f>
        <v>362.09999999999997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1067785.76</v>
      </c>
      <c r="H656" s="104">
        <f>K267+K348</f>
        <v>1067785.76</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15114905.24</v>
      </c>
      <c r="G661" s="19">
        <f>(L230+L310+L360)</f>
        <v>0</v>
      </c>
      <c r="H661" s="19">
        <f>(L248+L329+L361)</f>
        <v>9317393.1300000027</v>
      </c>
      <c r="I661" s="19">
        <f>SUM(F661:H661)</f>
        <v>24432298.370000005</v>
      </c>
      <c r="J661" s="13"/>
      <c r="K661" s="13"/>
      <c r="L661" s="13"/>
      <c r="M661" s="9"/>
    </row>
    <row r="662" spans="1:13" s="3" customFormat="1" ht="12.2" customHeight="1" x14ac:dyDescent="0.2">
      <c r="A662" s="1" t="s">
        <v>127</v>
      </c>
      <c r="F662" s="19">
        <f>(L359/IF(SUM(L359:L361)=0,1,SUM(L359:L361))*(SUM(G97:G110)))</f>
        <v>24135.515883781722</v>
      </c>
      <c r="G662" s="19">
        <f>(L360/IF(SUM(L359:L361)=0,1,SUM(L359:L361))*(SUM(G97:G110)))</f>
        <v>0</v>
      </c>
      <c r="H662" s="19">
        <f>(L361/IF(SUM(L359:L361)=0,1,SUM(L359:L361))*(SUM(G97:G110)))</f>
        <v>11295.56411621828</v>
      </c>
      <c r="I662" s="19">
        <f>SUM(F662:H662)</f>
        <v>35431.08</v>
      </c>
      <c r="J662"/>
      <c r="K662" s="13"/>
      <c r="L662" s="13"/>
      <c r="M662" s="8"/>
    </row>
    <row r="663" spans="1:13" s="3" customFormat="1" ht="12.2" customHeight="1" x14ac:dyDescent="0.2">
      <c r="A663" s="1" t="s">
        <v>128</v>
      </c>
      <c r="F663" s="19">
        <f>(L209+L288)-(J209+J288)</f>
        <v>724418.02999999991</v>
      </c>
      <c r="G663" s="19">
        <f>(L227+L307)-(J227+J307)</f>
        <v>0</v>
      </c>
      <c r="H663" s="19">
        <f>(L245+L326)-(J245+J326)</f>
        <v>633016.33000000007</v>
      </c>
      <c r="I663" s="19">
        <f>SUM(F663:H663)</f>
        <v>1357434.3599999999</v>
      </c>
      <c r="J663"/>
      <c r="K663" s="13"/>
      <c r="L663" s="13"/>
      <c r="M663" s="9"/>
    </row>
    <row r="664" spans="1:13" s="3" customFormat="1" ht="12.2" customHeight="1" x14ac:dyDescent="0.15">
      <c r="A664" s="197" t="s">
        <v>129</v>
      </c>
      <c r="B664" s="169"/>
      <c r="C664" s="169"/>
      <c r="D664" s="169"/>
      <c r="E664" s="169"/>
      <c r="F664" s="198">
        <f>SUM(F576:F588)+SUM(H603:H605)+SUM(L612)</f>
        <v>531005.28</v>
      </c>
      <c r="G664" s="198">
        <f>SUM(G576:G588)+SUM(I603:I605)+L613</f>
        <v>0</v>
      </c>
      <c r="H664" s="198">
        <f>SUM(H576:H588)+SUM(J603:J605)+L614</f>
        <v>1003998.18</v>
      </c>
      <c r="I664" s="19">
        <f>SUM(F664:H664)</f>
        <v>1535003.46</v>
      </c>
      <c r="J664" s="13"/>
      <c r="K664" s="13"/>
      <c r="L664" s="13"/>
      <c r="M664" s="9"/>
    </row>
    <row r="665" spans="1:13" s="3" customFormat="1" ht="12.2" customHeight="1" x14ac:dyDescent="0.15">
      <c r="A665" s="1" t="s">
        <v>130</v>
      </c>
      <c r="F665" s="19">
        <f>F661-SUM(F662:F664)</f>
        <v>13835346.414116219</v>
      </c>
      <c r="G665" s="19">
        <f>G661-SUM(G662:G664)</f>
        <v>0</v>
      </c>
      <c r="H665" s="19">
        <f>H661-SUM(H662:H664)</f>
        <v>7669083.0558837838</v>
      </c>
      <c r="I665" s="19">
        <f>I661-SUM(I662:I664)</f>
        <v>21504429.470000006</v>
      </c>
      <c r="J665" s="13"/>
      <c r="K665" s="13"/>
      <c r="L665" s="13"/>
      <c r="M665" s="8"/>
    </row>
    <row r="666" spans="1:13" s="3" customFormat="1" ht="12.2" customHeight="1" x14ac:dyDescent="0.2">
      <c r="A666" s="1" t="s">
        <v>131</v>
      </c>
      <c r="F666" s="245">
        <v>650.75</v>
      </c>
      <c r="G666" s="246">
        <v>0</v>
      </c>
      <c r="H666" s="246">
        <v>346.12</v>
      </c>
      <c r="I666" s="19">
        <f>SUM(F666:H666)</f>
        <v>996.87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21260.62</v>
      </c>
      <c r="G668" s="19" t="e">
        <f>ROUND(G665/G666,2)</f>
        <v>#DIV/0!</v>
      </c>
      <c r="H668" s="19">
        <f>ROUND(H665/H666,2)</f>
        <v>22157.3</v>
      </c>
      <c r="I668" s="19">
        <f>ROUND(I665/I666,2)</f>
        <v>21571.95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2.5499999999999998</v>
      </c>
      <c r="I671" s="19">
        <f>SUM(F671:H671)</f>
        <v>2.5499999999999998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21260.62</v>
      </c>
      <c r="G673" s="19" t="e">
        <f>ROUND((G665+G670)/(G666+G671),2)</f>
        <v>#DIV/0!</v>
      </c>
      <c r="H673" s="19">
        <f>ROUND((H665+H670)/(H666+H671),2)</f>
        <v>21995.25</v>
      </c>
      <c r="I673" s="19">
        <f>ROUND((I665+I670)/(I666+I671),2)</f>
        <v>21516.91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1" sqref="E21"/>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181422.23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73351.360000000001</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0</v>
      </c>
      <c r="F13" s="349" t="s">
        <v>1646</v>
      </c>
    </row>
    <row r="14" spans="2:8" x14ac:dyDescent="0.25">
      <c r="B14" s="348"/>
      <c r="C14" s="348"/>
      <c r="D14" s="349"/>
      <c r="E14" s="348"/>
      <c r="F14" s="348"/>
    </row>
    <row r="15" spans="2:8" x14ac:dyDescent="0.25">
      <c r="B15" s="348"/>
      <c r="C15" s="349" t="s">
        <v>1640</v>
      </c>
      <c r="D15" s="349" t="s">
        <v>1653</v>
      </c>
      <c r="E15" s="336">
        <v>61757.02</v>
      </c>
      <c r="F15" s="349" t="s">
        <v>1647</v>
      </c>
    </row>
    <row r="16" spans="2:8" x14ac:dyDescent="0.25">
      <c r="B16" s="348"/>
      <c r="C16" s="348"/>
      <c r="D16" s="348"/>
      <c r="E16" s="348"/>
      <c r="F16" s="348"/>
    </row>
    <row r="17" spans="2:8" x14ac:dyDescent="0.25">
      <c r="B17" s="348"/>
      <c r="C17" s="349" t="s">
        <v>1639</v>
      </c>
      <c r="D17" s="349" t="s">
        <v>1654</v>
      </c>
      <c r="E17" s="336">
        <v>46313.85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White Mountains Regional</v>
      </c>
      <c r="C5" s="375"/>
      <c r="D5" s="375"/>
      <c r="E5" s="375"/>
      <c r="F5" s="375"/>
    </row>
    <row r="8" spans="1:9" ht="18" x14ac:dyDescent="0.25">
      <c r="A8" s="312" t="s">
        <v>1568</v>
      </c>
      <c r="F8" s="319" t="s">
        <v>1586</v>
      </c>
    </row>
    <row r="9" spans="1:9" ht="15" x14ac:dyDescent="0.2">
      <c r="A9" s="310" t="s">
        <v>1569</v>
      </c>
      <c r="B9" s="313">
        <f>'DOE25'!G97</f>
        <v>32269.919999999998</v>
      </c>
      <c r="F9" s="310" t="s">
        <v>1582</v>
      </c>
    </row>
    <row r="10" spans="1:9" ht="15" x14ac:dyDescent="0.2">
      <c r="A10" s="310" t="s">
        <v>1570</v>
      </c>
      <c r="B10" s="313">
        <f>'DOE25'!G112-'DOE25'!G97</f>
        <v>3161.1600000000035</v>
      </c>
      <c r="F10" s="310" t="s">
        <v>1583</v>
      </c>
    </row>
    <row r="11" spans="1:9" ht="15" x14ac:dyDescent="0.2">
      <c r="A11" s="310" t="s">
        <v>1571</v>
      </c>
      <c r="B11" s="313">
        <f>'DOE25'!G140</f>
        <v>8027.83</v>
      </c>
      <c r="F11" s="310" t="s">
        <v>1584</v>
      </c>
    </row>
    <row r="12" spans="1:9" ht="15" x14ac:dyDescent="0.2">
      <c r="A12" s="310" t="s">
        <v>1572</v>
      </c>
      <c r="B12" s="313">
        <f>'DOE25'!G170</f>
        <v>703176.49</v>
      </c>
      <c r="F12" s="310" t="s">
        <v>1585</v>
      </c>
    </row>
    <row r="13" spans="1:9" ht="15" x14ac:dyDescent="0.2">
      <c r="A13" s="310" t="s">
        <v>1573</v>
      </c>
      <c r="B13" s="313">
        <f>'DOE25'!G193-'DOE25'!G180</f>
        <v>0</v>
      </c>
      <c r="F13" s="310" t="s">
        <v>1595</v>
      </c>
    </row>
    <row r="14" spans="1:9" ht="18" x14ac:dyDescent="0.25">
      <c r="A14" s="312" t="s">
        <v>732</v>
      </c>
      <c r="B14" s="314">
        <f>SUM(B9:B13)</f>
        <v>746635.4</v>
      </c>
    </row>
    <row r="16" spans="1:9" ht="18" x14ac:dyDescent="0.25">
      <c r="A16" s="312" t="s">
        <v>786</v>
      </c>
      <c r="F16" s="319" t="s">
        <v>1587</v>
      </c>
    </row>
    <row r="17" spans="1:6" ht="15" x14ac:dyDescent="0.2">
      <c r="A17" s="310" t="s">
        <v>1574</v>
      </c>
      <c r="B17" s="313">
        <f>'DOE25'!L363-'DOE25'!L362</f>
        <v>646985.32000000007</v>
      </c>
      <c r="F17" s="310" t="s">
        <v>1588</v>
      </c>
    </row>
    <row r="18" spans="1:6" ht="15" x14ac:dyDescent="0.2">
      <c r="A18" s="310" t="s">
        <v>1575</v>
      </c>
      <c r="B18" s="323"/>
      <c r="F18" s="319" t="s">
        <v>1612</v>
      </c>
    </row>
    <row r="19" spans="1:6" ht="18" x14ac:dyDescent="0.25">
      <c r="A19" s="312" t="s">
        <v>725</v>
      </c>
      <c r="B19" s="314">
        <f>SUM(B17:B18)</f>
        <v>646985.32000000007</v>
      </c>
    </row>
    <row r="21" spans="1:6" ht="18.75" thickBot="1" x14ac:dyDescent="0.3">
      <c r="A21" s="312" t="s">
        <v>1576</v>
      </c>
    </row>
    <row r="22" spans="1:6" ht="18.75" thickTop="1" x14ac:dyDescent="0.25">
      <c r="A22" s="312" t="s">
        <v>1577</v>
      </c>
      <c r="B22" s="318">
        <f>B14-B19</f>
        <v>99650.079999999958</v>
      </c>
      <c r="F22" s="310" t="s">
        <v>1589</v>
      </c>
    </row>
    <row r="26" spans="1:6" ht="18" x14ac:dyDescent="0.25">
      <c r="A26" s="312" t="s">
        <v>186</v>
      </c>
    </row>
    <row r="27" spans="1:6" ht="15" x14ac:dyDescent="0.2">
      <c r="A27" s="310" t="s">
        <v>1578</v>
      </c>
      <c r="B27" s="313">
        <f>'DOE25'!G180</f>
        <v>362.1</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100012.18000000005</v>
      </c>
      <c r="F33" s="310" t="s">
        <v>1593</v>
      </c>
    </row>
    <row r="36" spans="1:6" ht="15" x14ac:dyDescent="0.2">
      <c r="A36" s="310" t="s">
        <v>1579</v>
      </c>
      <c r="B36" s="324">
        <v>46626.2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9" sqref="B2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White Mountains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4276711.7699999996</v>
      </c>
      <c r="C9" s="228">
        <f>'DOE25'!G198+'DOE25'!G216+'DOE25'!G234+'DOE25'!G277+'DOE25'!G296+'DOE25'!G315</f>
        <v>2501477.2400000002</v>
      </c>
    </row>
    <row r="10" spans="1:3" x14ac:dyDescent="0.2">
      <c r="A10" t="s">
        <v>775</v>
      </c>
      <c r="B10" s="239">
        <v>3959040.36</v>
      </c>
      <c r="C10" s="239">
        <v>2272871.2999999998</v>
      </c>
    </row>
    <row r="11" spans="1:3" x14ac:dyDescent="0.2">
      <c r="A11" t="s">
        <v>776</v>
      </c>
      <c r="B11" s="239">
        <v>314633.91000000003</v>
      </c>
      <c r="C11" s="239">
        <v>227882.59999999992</v>
      </c>
    </row>
    <row r="12" spans="1:3" x14ac:dyDescent="0.2">
      <c r="A12" t="s">
        <v>777</v>
      </c>
      <c r="B12" s="239">
        <v>3037.499999999658</v>
      </c>
      <c r="C12" s="239">
        <v>723.33999999998071</v>
      </c>
    </row>
    <row r="13" spans="1:3" x14ac:dyDescent="0.2">
      <c r="A13" t="str">
        <f>IF(B9=B13,IF(C9=C13,"Check Total OK","Check Total Error"),"Check Total Error")</f>
        <v>Check Total OK</v>
      </c>
      <c r="B13" s="230">
        <f>SUM(B10:B12)</f>
        <v>4276711.7699999996</v>
      </c>
      <c r="C13" s="230">
        <f>SUM(C10:C12)</f>
        <v>2501477.2399999998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1389799.08</v>
      </c>
      <c r="C18" s="228">
        <f>'DOE25'!G199+'DOE25'!G217+'DOE25'!G235+'DOE25'!G278+'DOE25'!G297+'DOE25'!G316</f>
        <v>872490.89</v>
      </c>
    </row>
    <row r="19" spans="1:3" x14ac:dyDescent="0.2">
      <c r="A19" t="s">
        <v>775</v>
      </c>
      <c r="B19" s="239">
        <v>693183.82000000007</v>
      </c>
      <c r="C19" s="239">
        <v>397494.77</v>
      </c>
    </row>
    <row r="20" spans="1:3" x14ac:dyDescent="0.2">
      <c r="A20" t="s">
        <v>776</v>
      </c>
      <c r="B20" s="239">
        <v>668128.71</v>
      </c>
      <c r="C20" s="239">
        <v>473176.30999999994</v>
      </c>
    </row>
    <row r="21" spans="1:3" x14ac:dyDescent="0.2">
      <c r="A21" t="s">
        <v>777</v>
      </c>
      <c r="B21" s="239">
        <v>28486.550000000003</v>
      </c>
      <c r="C21" s="239">
        <v>1819.8099999999918</v>
      </c>
    </row>
    <row r="22" spans="1:3" x14ac:dyDescent="0.2">
      <c r="A22" t="str">
        <f>IF(B18=B22,IF(C18=C22,"Check Total OK","Check Total Error"),"Check Total Error")</f>
        <v>Check Total OK</v>
      </c>
      <c r="B22" s="230">
        <f>SUM(B19:B21)</f>
        <v>1389799.08</v>
      </c>
      <c r="C22" s="230">
        <f>SUM(C19:C21)</f>
        <v>872490.8899999999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368484.03</v>
      </c>
      <c r="C27" s="233">
        <f>'DOE25'!G200+'DOE25'!G218+'DOE25'!G236+'DOE25'!G279+'DOE25'!G298+'DOE25'!G317</f>
        <v>163153.24</v>
      </c>
    </row>
    <row r="28" spans="1:3" x14ac:dyDescent="0.2">
      <c r="A28" t="s">
        <v>775</v>
      </c>
      <c r="B28" s="239">
        <v>368284.03</v>
      </c>
      <c r="C28" s="239">
        <v>163137.94000000003</v>
      </c>
    </row>
    <row r="29" spans="1:3" x14ac:dyDescent="0.2">
      <c r="A29" t="s">
        <v>776</v>
      </c>
      <c r="B29" s="239">
        <v>0</v>
      </c>
      <c r="C29" s="239">
        <v>0</v>
      </c>
    </row>
    <row r="30" spans="1:3" x14ac:dyDescent="0.2">
      <c r="A30" t="s">
        <v>777</v>
      </c>
      <c r="B30" s="239">
        <v>200</v>
      </c>
      <c r="C30" s="239">
        <v>15.299999999999971</v>
      </c>
    </row>
    <row r="31" spans="1:3" x14ac:dyDescent="0.2">
      <c r="A31" t="str">
        <f>IF(B27=B31,IF(C27=C31,"Check Total OK","Check Total Error"),"Check Total Error")</f>
        <v>Check Total OK</v>
      </c>
      <c r="B31" s="230">
        <f>SUM(B28:B30)</f>
        <v>368484.03</v>
      </c>
      <c r="C31" s="230">
        <f>SUM(C28:C30)</f>
        <v>163153.24000000002</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391964.6</v>
      </c>
      <c r="C36" s="234">
        <f>'DOE25'!G201+'DOE25'!G219+'DOE25'!G237+'DOE25'!G280+'DOE25'!G299+'DOE25'!G318</f>
        <v>127914.61</v>
      </c>
    </row>
    <row r="37" spans="1:3" x14ac:dyDescent="0.2">
      <c r="A37" t="s">
        <v>775</v>
      </c>
      <c r="B37" s="239">
        <v>157592.5</v>
      </c>
      <c r="C37" s="239">
        <v>108828.30836</v>
      </c>
    </row>
    <row r="38" spans="1:3" x14ac:dyDescent="0.2">
      <c r="A38" t="s">
        <v>776</v>
      </c>
      <c r="B38" s="239">
        <v>3360</v>
      </c>
      <c r="C38" s="239">
        <v>1049.336</v>
      </c>
    </row>
    <row r="39" spans="1:3" x14ac:dyDescent="0.2">
      <c r="A39" t="s">
        <v>777</v>
      </c>
      <c r="B39" s="239">
        <v>231012.09999999998</v>
      </c>
      <c r="C39" s="239">
        <v>18036.965639999999</v>
      </c>
    </row>
    <row r="40" spans="1:3" x14ac:dyDescent="0.2">
      <c r="A40" t="str">
        <f>IF(B36=B40,IF(C36=C40,"Check Total OK","Check Total Error"),"Check Total Error")</f>
        <v>Check Total OK</v>
      </c>
      <c r="B40" s="230">
        <f>SUM(B37:B39)</f>
        <v>391964.6</v>
      </c>
      <c r="C40" s="230">
        <f>SUM(C37:C39)</f>
        <v>127914.60999999999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I43" sqref="I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White Mountains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10576071.650000002</v>
      </c>
      <c r="D5" s="20">
        <f>SUM('DOE25'!L198:L201)+SUM('DOE25'!L216:L219)+SUM('DOE25'!L234:L237)-F5-G5-H5</f>
        <v>10449054.130000003</v>
      </c>
      <c r="E5" s="242"/>
      <c r="F5" s="243"/>
      <c r="G5" s="53">
        <f>SUM('DOE25'!J198:J201)+SUM('DOE25'!J216:J219)+SUM('DOE25'!J234:J237)</f>
        <v>62532.43</v>
      </c>
      <c r="H5" s="53">
        <f>SUM('DOE25'!K198:K201)+SUM('DOE25'!K216:K219)+SUM('DOE25'!K234:K237)</f>
        <v>64485.09</v>
      </c>
      <c r="I5" s="255"/>
    </row>
    <row r="6" spans="1:9" x14ac:dyDescent="0.2">
      <c r="A6" s="32">
        <v>2100</v>
      </c>
      <c r="B6" t="s">
        <v>796</v>
      </c>
      <c r="C6" s="274">
        <f t="shared" si="0"/>
        <v>1622764.9100000001</v>
      </c>
      <c r="D6" s="20">
        <f>'DOE25'!L203+'DOE25'!L221+'DOE25'!L239-F6-G6-H6</f>
        <v>1603943.7500000002</v>
      </c>
      <c r="E6" s="242"/>
      <c r="F6" s="243">
        <f>43266-25000</f>
        <v>18266</v>
      </c>
      <c r="G6" s="53">
        <f>'DOE25'!J203+'DOE25'!J221+'DOE25'!J239</f>
        <v>225.45</v>
      </c>
      <c r="H6" s="53">
        <f>'DOE25'!K203+'DOE25'!K221+'DOE25'!K239</f>
        <v>329.71</v>
      </c>
      <c r="I6" s="255"/>
    </row>
    <row r="7" spans="1:9" x14ac:dyDescent="0.2">
      <c r="A7" s="32">
        <v>2200</v>
      </c>
      <c r="B7" t="s">
        <v>821</v>
      </c>
      <c r="C7" s="274">
        <f t="shared" si="0"/>
        <v>831239.52</v>
      </c>
      <c r="D7" s="20">
        <f>'DOE25'!L204+'DOE25'!L222+'DOE25'!L240-F7-G7-H7</f>
        <v>831003.84</v>
      </c>
      <c r="E7" s="242"/>
      <c r="F7" s="243"/>
      <c r="G7" s="53">
        <f>'DOE25'!J204+'DOE25'!J222+'DOE25'!J240</f>
        <v>235.68</v>
      </c>
      <c r="H7" s="53">
        <f>'DOE25'!K204+'DOE25'!K222+'DOE25'!K240</f>
        <v>0</v>
      </c>
      <c r="I7" s="255"/>
    </row>
    <row r="8" spans="1:9" x14ac:dyDescent="0.2">
      <c r="A8" s="32">
        <v>2300</v>
      </c>
      <c r="B8" t="s">
        <v>797</v>
      </c>
      <c r="C8" s="274">
        <f t="shared" si="0"/>
        <v>593346.63</v>
      </c>
      <c r="D8" s="242"/>
      <c r="E8" s="20">
        <f>'DOE25'!L205+'DOE25'!L223+'DOE25'!L241-F8-G8-H8-D9-D11</f>
        <v>560901.91</v>
      </c>
      <c r="F8" s="243"/>
      <c r="G8" s="53">
        <f>'DOE25'!J205+'DOE25'!J223+'DOE25'!J241</f>
        <v>0</v>
      </c>
      <c r="H8" s="53">
        <f>'DOE25'!K205+'DOE25'!K223+'DOE25'!K241</f>
        <v>32444.720000000001</v>
      </c>
      <c r="I8" s="255"/>
    </row>
    <row r="9" spans="1:9" ht="14.25" x14ac:dyDescent="0.2">
      <c r="A9" s="32">
        <v>2310</v>
      </c>
      <c r="B9" s="184" t="s">
        <v>888</v>
      </c>
      <c r="C9" s="274">
        <f t="shared" si="0"/>
        <v>112764.53</v>
      </c>
      <c r="D9" s="243">
        <v>112764.53</v>
      </c>
      <c r="E9" s="242"/>
      <c r="F9" s="252"/>
      <c r="G9" s="252"/>
      <c r="H9" s="252"/>
      <c r="I9" s="255"/>
    </row>
    <row r="10" spans="1:9" ht="14.25" x14ac:dyDescent="0.2">
      <c r="A10" s="32">
        <v>2317</v>
      </c>
      <c r="B10" s="184" t="s">
        <v>889</v>
      </c>
      <c r="C10" s="274">
        <f t="shared" si="0"/>
        <v>18000</v>
      </c>
      <c r="D10" s="242"/>
      <c r="E10" s="243">
        <v>18000</v>
      </c>
      <c r="F10" s="252"/>
      <c r="G10" s="252"/>
      <c r="H10" s="252"/>
      <c r="I10" s="255"/>
    </row>
    <row r="11" spans="1:9" ht="14.25" x14ac:dyDescent="0.2">
      <c r="A11" s="32">
        <v>2321</v>
      </c>
      <c r="B11" s="184" t="s">
        <v>890</v>
      </c>
      <c r="C11" s="274">
        <f t="shared" si="0"/>
        <v>326035.59999999998</v>
      </c>
      <c r="D11" s="243">
        <v>326035.59999999998</v>
      </c>
      <c r="E11" s="242"/>
      <c r="F11" s="252"/>
      <c r="G11" s="252"/>
      <c r="H11" s="252"/>
      <c r="I11" s="255"/>
    </row>
    <row r="12" spans="1:9" x14ac:dyDescent="0.2">
      <c r="A12" s="32">
        <v>2400</v>
      </c>
      <c r="B12" t="s">
        <v>711</v>
      </c>
      <c r="C12" s="274">
        <f t="shared" si="0"/>
        <v>1353851.33</v>
      </c>
      <c r="D12" s="20">
        <f>'DOE25'!L206+'DOE25'!L224+'DOE25'!L242-F12-G12-H12</f>
        <v>1309249.99</v>
      </c>
      <c r="E12" s="242"/>
      <c r="F12" s="243"/>
      <c r="G12" s="53">
        <f>'DOE25'!J206+'DOE25'!J224+'DOE25'!J242</f>
        <v>6114.99</v>
      </c>
      <c r="H12" s="53">
        <f>'DOE25'!K206+'DOE25'!K224+'DOE25'!K242</f>
        <v>38486.35</v>
      </c>
      <c r="I12" s="255"/>
    </row>
    <row r="13" spans="1:9" x14ac:dyDescent="0.2">
      <c r="A13" s="32">
        <v>2500</v>
      </c>
      <c r="B13" t="s">
        <v>798</v>
      </c>
      <c r="C13" s="274">
        <f t="shared" si="0"/>
        <v>345547.69</v>
      </c>
      <c r="D13" s="242"/>
      <c r="E13" s="20">
        <f>'DOE25'!L207+'DOE25'!L225+'DOE25'!L243-F13-G13-H13</f>
        <v>342590.94</v>
      </c>
      <c r="F13" s="243"/>
      <c r="G13" s="53">
        <f>'DOE25'!J207+'DOE25'!J225+'DOE25'!J243</f>
        <v>0</v>
      </c>
      <c r="H13" s="53">
        <f>'DOE25'!K207+'DOE25'!K225+'DOE25'!K243</f>
        <v>2956.75</v>
      </c>
      <c r="I13" s="255"/>
    </row>
    <row r="14" spans="1:9" x14ac:dyDescent="0.2">
      <c r="A14" s="32">
        <v>2600</v>
      </c>
      <c r="B14" t="s">
        <v>819</v>
      </c>
      <c r="C14" s="274">
        <f t="shared" si="0"/>
        <v>3356236.55</v>
      </c>
      <c r="D14" s="20">
        <f>'DOE25'!L208+'DOE25'!L226+'DOE25'!L244-F14-G14-H14</f>
        <v>2886613.82</v>
      </c>
      <c r="E14" s="242"/>
      <c r="F14" s="243">
        <f>101162-25000+70050-25000+94800-25000+133953-25000</f>
        <v>299965</v>
      </c>
      <c r="G14" s="53">
        <f>'DOE25'!J208+'DOE25'!J226+'DOE25'!J244</f>
        <v>165430.22999999998</v>
      </c>
      <c r="H14" s="53">
        <f>'DOE25'!K208+'DOE25'!K226+'DOE25'!K244</f>
        <v>4227.5</v>
      </c>
      <c r="I14" s="255"/>
    </row>
    <row r="15" spans="1:9" x14ac:dyDescent="0.2">
      <c r="A15" s="32">
        <v>2700</v>
      </c>
      <c r="B15" t="s">
        <v>799</v>
      </c>
      <c r="C15" s="274">
        <f t="shared" si="0"/>
        <v>1329224.3500000001</v>
      </c>
      <c r="D15" s="20">
        <f>'DOE25'!L209+'DOE25'!L227+'DOE25'!L245-F15-G15-H15</f>
        <v>337714.27000000014</v>
      </c>
      <c r="E15" s="242"/>
      <c r="F15" s="243">
        <f>1006979.08-25000+31000-25000</f>
        <v>987979.08</v>
      </c>
      <c r="G15" s="53">
        <f>'DOE25'!J209+'DOE25'!J227+'DOE25'!J245</f>
        <v>3531</v>
      </c>
      <c r="H15" s="53">
        <f>'DOE25'!K209+'DOE25'!K227+'DOE25'!K245</f>
        <v>0</v>
      </c>
      <c r="I15" s="255"/>
    </row>
    <row r="16" spans="1:9" x14ac:dyDescent="0.2">
      <c r="A16" s="32">
        <v>2800</v>
      </c>
      <c r="B16" t="s">
        <v>800</v>
      </c>
      <c r="C16" s="274">
        <f t="shared" si="0"/>
        <v>450177.54999999993</v>
      </c>
      <c r="D16" s="242"/>
      <c r="E16" s="20">
        <f>'DOE25'!L210+'DOE25'!L228+'DOE25'!L246-F16-G16-H16</f>
        <v>346176.31999999995</v>
      </c>
      <c r="F16" s="243"/>
      <c r="G16" s="53">
        <f>'DOE25'!J210+'DOE25'!J228+'DOE25'!J246</f>
        <v>0</v>
      </c>
      <c r="H16" s="53">
        <f>'DOE25'!K210+'DOE25'!K228+'DOE25'!K246</f>
        <v>104001.23000000001</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93021.18</v>
      </c>
      <c r="D22" s="242"/>
      <c r="E22" s="242"/>
      <c r="F22" s="242"/>
      <c r="G22" s="53">
        <f>'DOE25'!L256+'DOE25'!L337</f>
        <v>93021.18</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376327.46000000008</v>
      </c>
      <c r="D29" s="282">
        <f>'DOE25'!L359+'DOE25'!L360+'DOE25'!L361-'DOE25'!I368-F29-G29-H29</f>
        <v>370372.56000000006</v>
      </c>
      <c r="E29" s="242"/>
      <c r="F29" s="243"/>
      <c r="G29" s="53">
        <f>'DOE25'!J359+'DOE25'!J360+'DOE25'!J361</f>
        <v>0</v>
      </c>
      <c r="H29" s="53">
        <f>'DOE25'!K359+'DOE25'!K360+'DOE25'!K361</f>
        <v>5954.9000000000005</v>
      </c>
      <c r="I29" s="255"/>
    </row>
    <row r="30" spans="1:9" x14ac:dyDescent="0.2">
      <c r="A30" s="32"/>
      <c r="C30" s="275"/>
      <c r="D30" s="20"/>
      <c r="E30" s="279"/>
      <c r="F30" s="269"/>
      <c r="G30" s="53"/>
      <c r="H30" s="53"/>
      <c r="I30" s="255"/>
    </row>
    <row r="31" spans="1:9" x14ac:dyDescent="0.2">
      <c r="A31" s="32" t="s">
        <v>818</v>
      </c>
      <c r="B31" t="s">
        <v>817</v>
      </c>
      <c r="C31" s="274">
        <f>SUM(D31:I31)</f>
        <v>2890358.59</v>
      </c>
      <c r="D31" s="20">
        <f>'DOE25'!L291+'DOE25'!L310+'DOE25'!L329+'DOE25'!L334+'DOE25'!L335+'DOE25'!L336-F31-G31-H31</f>
        <v>2536607.0299999998</v>
      </c>
      <c r="E31" s="242"/>
      <c r="F31" s="243">
        <f>76598.25-25000</f>
        <v>51598.25</v>
      </c>
      <c r="G31" s="53">
        <f>'DOE25'!J291+'DOE25'!J310+'DOE25'!J329+'DOE25'!J334+'DOE25'!J335+'DOE25'!J336</f>
        <v>284938.79000000004</v>
      </c>
      <c r="H31" s="53">
        <f>'DOE25'!K291+'DOE25'!K310+'DOE25'!K329+'DOE25'!K334+'DOE25'!K335+'DOE25'!K336</f>
        <v>17214.52</v>
      </c>
      <c r="I31" s="255"/>
    </row>
    <row r="32" spans="1:9" ht="12" thickBot="1" x14ac:dyDescent="0.25">
      <c r="C32" s="275"/>
      <c r="G32" s="250"/>
      <c r="H32" s="250"/>
      <c r="I32" s="257"/>
    </row>
    <row r="33" spans="1:9" ht="12" thickTop="1" x14ac:dyDescent="0.2">
      <c r="B33" t="s">
        <v>809</v>
      </c>
      <c r="D33" s="244">
        <f t="shared" ref="D33:I33" si="1">SUM(D5:D31)</f>
        <v>20763359.52</v>
      </c>
      <c r="E33" s="244">
        <f t="shared" si="1"/>
        <v>1267669.17</v>
      </c>
      <c r="F33" s="244">
        <f t="shared" si="1"/>
        <v>1357808.33</v>
      </c>
      <c r="G33" s="244">
        <f t="shared" si="1"/>
        <v>616029.75</v>
      </c>
      <c r="H33" s="244">
        <f t="shared" si="1"/>
        <v>270100.77</v>
      </c>
      <c r="I33" s="244">
        <f t="shared" si="1"/>
        <v>0</v>
      </c>
    </row>
    <row r="35" spans="1:9" ht="12" thickBot="1" x14ac:dyDescent="0.25">
      <c r="B35" s="250" t="s">
        <v>831</v>
      </c>
      <c r="D35" s="251">
        <f>E33</f>
        <v>1267669.17</v>
      </c>
      <c r="E35" s="247"/>
      <c r="F35" s="328" t="s">
        <v>1617</v>
      </c>
      <c r="G35" s="329"/>
      <c r="H35" s="329"/>
      <c r="I35" s="329"/>
    </row>
    <row r="36" spans="1:9" ht="12" thickTop="1" x14ac:dyDescent="0.2">
      <c r="B36" t="s">
        <v>810</v>
      </c>
      <c r="D36" s="20">
        <f>D33</f>
        <v>20763359.52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12" sqref="D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White Mountains Regional</v>
      </c>
      <c r="B2" s="126">
        <f>'DOE25'!B2</f>
        <v>568</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14674181.32</v>
      </c>
      <c r="G4" s="299">
        <f>'DOE25'!L212+'DOE25'!L291</f>
        <v>14674181.32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Lancaster Elementary School</v>
      </c>
      <c r="B6" s="300">
        <f>IFERROR(VLOOKUP(A6,'School Tables'!$C$3:$D$365,2,FALSE),"")</f>
        <v>21475</v>
      </c>
      <c r="C6" s="293" t="str">
        <f>IFERROR(INDEX('School Tables'!$B$3:$B$365,MATCH('School Level Expenditures'!B6,'School Tables'!$D$3:$D$365,0)),"")</f>
        <v>White Mountains Regional</v>
      </c>
      <c r="D6" s="290">
        <v>7031336.8199999994</v>
      </c>
      <c r="E6" s="290">
        <v>1114758.02</v>
      </c>
      <c r="F6" s="303">
        <f t="shared" ref="F6:F20" si="0">D6+E6</f>
        <v>8146094.8399999999</v>
      </c>
      <c r="G6" s="293"/>
      <c r="H6" s="293"/>
      <c r="I6" s="384"/>
      <c r="N6"/>
    </row>
    <row r="7" spans="1:18" x14ac:dyDescent="0.2">
      <c r="A7" s="126" t="str" cm="1">
        <f t="array" ref="A7">IFERROR(INDEX('School Tables'!$A$4:$G$325,'School Tables'!$J5,3),"")</f>
        <v>Whitefield Elementary School</v>
      </c>
      <c r="B7" s="300">
        <f>IFERROR(VLOOKUP(A7,'School Tables'!$C$3:$D$365,2,FALSE),"")</f>
        <v>26930</v>
      </c>
      <c r="C7" s="293" t="str">
        <f>IFERROR(INDEX('School Tables'!$B$3:$B$365,MATCH('School Level Expenditures'!B7,'School Tables'!$D$3:$D$365,0)),"")</f>
        <v>White Mountains Regional</v>
      </c>
      <c r="D7" s="290">
        <v>5701352.3300000001</v>
      </c>
      <c r="E7" s="290">
        <v>826734.15</v>
      </c>
      <c r="F7" s="303">
        <f t="shared" si="0"/>
        <v>6528086.4800000004</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12732689.149999999</v>
      </c>
      <c r="E21" s="338">
        <f>SUM(E5:E20)</f>
        <v>1941492.17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9111131.7300000004</v>
      </c>
      <c r="G36" s="299">
        <f>'DOE25'!L248+'DOE25'!L329</f>
        <v>9111131.7300000023</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White Mountains Regional High School</v>
      </c>
      <c r="B38" s="300">
        <f>IFERROR(VLOOKUP(A38,'School Tables'!$Y$4:$Z$100,2,FALSE),"")</f>
        <v>21480</v>
      </c>
      <c r="C38" s="293" t="str">
        <f>IFERROR(INDEX('School Tables'!$X$4:$X$100,MATCH('School Level Expenditures'!A38,'School Tables'!$Y$4:$Y$100,0)),"")</f>
        <v>White Mountains Regional</v>
      </c>
      <c r="D38" s="290">
        <v>8177947.6399999997</v>
      </c>
      <c r="E38" s="290">
        <v>933184.09</v>
      </c>
      <c r="F38" s="303">
        <f t="shared" si="2"/>
        <v>9111131.7300000004</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8177947.6399999997</v>
      </c>
      <c r="E43" s="339">
        <f>SUM(E37:E42)</f>
        <v>933184.09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White Mountains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1626901.29</v>
      </c>
      <c r="D8" s="95">
        <f>'DOE25'!G9</f>
        <v>0</v>
      </c>
      <c r="E8" s="95">
        <f>'DOE25'!H9</f>
        <v>0</v>
      </c>
      <c r="F8" s="95">
        <f>'DOE25'!I9</f>
        <v>0</v>
      </c>
      <c r="G8" s="95">
        <f>'DOE25'!J9</f>
        <v>2354205.15</v>
      </c>
      <c r="H8" s="124">
        <f>SUM(C8:G8)</f>
        <v>3981106.44</v>
      </c>
      <c r="I8" s="124"/>
    </row>
    <row r="9" spans="1:9" x14ac:dyDescent="0.2">
      <c r="A9" s="1" t="s">
        <v>140</v>
      </c>
      <c r="B9" s="6">
        <v>110</v>
      </c>
      <c r="C9" s="95">
        <f>'DOE25'!F10</f>
        <v>169.26</v>
      </c>
      <c r="D9" s="95">
        <f>'DOE25'!G10</f>
        <v>0</v>
      </c>
      <c r="E9" s="95">
        <f>'DOE25'!H10</f>
        <v>0</v>
      </c>
      <c r="F9" s="95">
        <f>'DOE25'!I10</f>
        <v>0</v>
      </c>
      <c r="G9" s="95">
        <f>'DOE25'!J10</f>
        <v>0</v>
      </c>
      <c r="H9" s="124">
        <f t="shared" ref="H9:H18" si="0">SUM(C9:G9)</f>
        <v>169.26</v>
      </c>
      <c r="I9" s="124"/>
    </row>
    <row r="10" spans="1:9" x14ac:dyDescent="0.2">
      <c r="A10" s="1" t="s">
        <v>141</v>
      </c>
      <c r="B10" s="6">
        <v>120</v>
      </c>
      <c r="C10" s="95">
        <f>'DOE25'!F11</f>
        <v>609417</v>
      </c>
      <c r="D10" s="24" t="s">
        <v>288</v>
      </c>
      <c r="E10" s="24" t="s">
        <v>288</v>
      </c>
      <c r="F10" s="24" t="s">
        <v>288</v>
      </c>
      <c r="G10" s="24" t="s">
        <v>288</v>
      </c>
      <c r="H10" s="124">
        <f t="shared" si="0"/>
        <v>609417</v>
      </c>
      <c r="I10" s="124"/>
    </row>
    <row r="11" spans="1:9" x14ac:dyDescent="0.2">
      <c r="A11" s="1" t="s">
        <v>142</v>
      </c>
      <c r="B11" s="6">
        <v>130</v>
      </c>
      <c r="C11" s="95">
        <f>'DOE25'!F12</f>
        <v>820626.51</v>
      </c>
      <c r="D11" s="95">
        <f>'DOE25'!G12</f>
        <v>0</v>
      </c>
      <c r="E11" s="95">
        <f>'DOE25'!H12</f>
        <v>28885.11</v>
      </c>
      <c r="F11" s="95">
        <f>'DOE25'!I12</f>
        <v>0</v>
      </c>
      <c r="G11" s="95">
        <f>'DOE25'!J12</f>
        <v>10595.76</v>
      </c>
      <c r="H11" s="124">
        <f t="shared" si="0"/>
        <v>860107.38</v>
      </c>
      <c r="I11" s="124"/>
    </row>
    <row r="12" spans="1:9" x14ac:dyDescent="0.2">
      <c r="A12" s="1" t="s">
        <v>143</v>
      </c>
      <c r="B12" s="6">
        <v>140</v>
      </c>
      <c r="C12" s="95">
        <f>'DOE25'!F13</f>
        <v>223508.93</v>
      </c>
      <c r="D12" s="95">
        <f>'DOE25'!G13</f>
        <v>187679.53000000003</v>
      </c>
      <c r="E12" s="95">
        <f>'DOE25'!H13</f>
        <v>776410.12</v>
      </c>
      <c r="F12" s="95">
        <f>'DOE25'!I13</f>
        <v>0</v>
      </c>
      <c r="G12" s="95">
        <f>'DOE25'!J13</f>
        <v>0</v>
      </c>
      <c r="H12" s="124">
        <f t="shared" si="0"/>
        <v>1187598.58</v>
      </c>
      <c r="I12" s="124"/>
    </row>
    <row r="13" spans="1:9" x14ac:dyDescent="0.2">
      <c r="A13" s="1" t="s">
        <v>144</v>
      </c>
      <c r="B13" s="6">
        <v>150</v>
      </c>
      <c r="C13" s="95">
        <f>'DOE25'!F14</f>
        <v>20108.96</v>
      </c>
      <c r="D13" s="95">
        <f>'DOE25'!G14</f>
        <v>154.04</v>
      </c>
      <c r="E13" s="95">
        <f>'DOE25'!H14</f>
        <v>0</v>
      </c>
      <c r="F13" s="95">
        <f>'DOE25'!I14</f>
        <v>0</v>
      </c>
      <c r="G13" s="95">
        <f>'DOE25'!J14</f>
        <v>0</v>
      </c>
      <c r="H13" s="124">
        <f t="shared" si="0"/>
        <v>20263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91269.58</v>
      </c>
      <c r="D16" s="95">
        <f>'DOE25'!G17</f>
        <v>0</v>
      </c>
      <c r="E16" s="95">
        <f>'DOE25'!H17</f>
        <v>10681</v>
      </c>
      <c r="F16" s="95">
        <f>'DOE25'!I17</f>
        <v>0</v>
      </c>
      <c r="G16" s="95">
        <f>'DOE25'!J17</f>
        <v>0</v>
      </c>
      <c r="H16" s="124">
        <f t="shared" si="0"/>
        <v>101950.58</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3392001.53</v>
      </c>
      <c r="D18" s="41">
        <f>SUM(D8:D17)</f>
        <v>187833.57000000004</v>
      </c>
      <c r="E18" s="41">
        <f>SUM(E8:E17)</f>
        <v>815976.23</v>
      </c>
      <c r="F18" s="41">
        <f>SUM(F8:F17)</f>
        <v>0</v>
      </c>
      <c r="G18" s="41">
        <f>SUM(G8:G17)</f>
        <v>2364800.9099999997</v>
      </c>
      <c r="H18" s="41">
        <f t="shared" si="0"/>
        <v>6760612.2400000002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329011.37</v>
      </c>
      <c r="D21" s="95">
        <f>'DOE25'!G22</f>
        <v>85097.37</v>
      </c>
      <c r="E21" s="95">
        <f>'DOE25'!H22</f>
        <v>445487.64</v>
      </c>
      <c r="F21" s="95">
        <f>'DOE25'!I22</f>
        <v>0</v>
      </c>
      <c r="G21" s="95">
        <f>'DOE25'!J22</f>
        <v>0</v>
      </c>
      <c r="H21" s="124">
        <f t="shared" ref="H21:H31" si="1">SUM(C21:G21)</f>
        <v>859596.38</v>
      </c>
      <c r="I21" s="124"/>
    </row>
    <row r="22" spans="1:9" x14ac:dyDescent="0.2">
      <c r="A22" s="1" t="s">
        <v>151</v>
      </c>
      <c r="B22" s="6">
        <v>410</v>
      </c>
      <c r="C22" s="95">
        <f>'DOE25'!F23</f>
        <v>0</v>
      </c>
      <c r="D22" s="95">
        <f>'DOE25'!G23</f>
        <v>0</v>
      </c>
      <c r="E22" s="95">
        <f>'DOE25'!H23</f>
        <v>0</v>
      </c>
      <c r="F22" s="95">
        <f>'DOE25'!I23</f>
        <v>0</v>
      </c>
      <c r="G22" s="95">
        <f>'DOE25'!J23</f>
        <v>131316.32</v>
      </c>
      <c r="H22" s="124">
        <f t="shared" si="1"/>
        <v>131316.32</v>
      </c>
      <c r="I22" s="124"/>
    </row>
    <row r="23" spans="1:9" x14ac:dyDescent="0.2">
      <c r="A23" s="1" t="s">
        <v>152</v>
      </c>
      <c r="B23" s="6">
        <v>420</v>
      </c>
      <c r="C23" s="95">
        <f>'DOE25'!F24</f>
        <v>316019.61</v>
      </c>
      <c r="D23" s="95">
        <f>'DOE25'!G24</f>
        <v>0</v>
      </c>
      <c r="E23" s="95">
        <f>'DOE25'!H24</f>
        <v>75435.14</v>
      </c>
      <c r="F23" s="95">
        <f>'DOE25'!I24</f>
        <v>0</v>
      </c>
      <c r="G23" s="95">
        <f>'DOE25'!J24</f>
        <v>0</v>
      </c>
      <c r="H23" s="124">
        <f t="shared" si="1"/>
        <v>391454.75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1433535.68</v>
      </c>
      <c r="D27" s="95">
        <f>'DOE25'!G28</f>
        <v>0</v>
      </c>
      <c r="E27" s="95">
        <f>'DOE25'!H28</f>
        <v>956.38</v>
      </c>
      <c r="F27" s="95">
        <f>'DOE25'!I28</f>
        <v>0</v>
      </c>
      <c r="G27" s="24" t="s">
        <v>288</v>
      </c>
      <c r="H27" s="124">
        <f t="shared" si="1"/>
        <v>1434492.0599999998</v>
      </c>
      <c r="I27" s="124"/>
    </row>
    <row r="28" spans="1:9" x14ac:dyDescent="0.2">
      <c r="A28" s="1" t="s">
        <v>157</v>
      </c>
      <c r="B28" s="6">
        <v>470</v>
      </c>
      <c r="C28" s="95">
        <f>'DOE25'!F29</f>
        <v>180151.72</v>
      </c>
      <c r="D28" s="95">
        <f>'DOE25'!G29</f>
        <v>2724.02</v>
      </c>
      <c r="E28" s="95">
        <f>'DOE25'!H29</f>
        <v>38719.81</v>
      </c>
      <c r="F28" s="95">
        <f>'DOE25'!I29</f>
        <v>0</v>
      </c>
      <c r="G28" s="24" t="s">
        <v>288</v>
      </c>
      <c r="H28" s="124">
        <f t="shared" si="1"/>
        <v>221595.55</v>
      </c>
      <c r="I28" s="124"/>
    </row>
    <row r="29" spans="1:9" x14ac:dyDescent="0.2">
      <c r="A29" s="1" t="s">
        <v>158</v>
      </c>
      <c r="B29" s="6">
        <v>480</v>
      </c>
      <c r="C29" s="95">
        <f>'DOE25'!F30</f>
        <v>0</v>
      </c>
      <c r="D29" s="95">
        <f>'DOE25'!G30</f>
        <v>0</v>
      </c>
      <c r="E29" s="95">
        <f>'DOE25'!H30</f>
        <v>226492.16</v>
      </c>
      <c r="F29" s="95">
        <f>'DOE25'!I30</f>
        <v>0</v>
      </c>
      <c r="G29" s="24" t="s">
        <v>288</v>
      </c>
      <c r="H29" s="124">
        <f t="shared" si="1"/>
        <v>226492.16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2258718.38</v>
      </c>
      <c r="D31" s="41">
        <f>SUM(D21:D30)</f>
        <v>87821.39</v>
      </c>
      <c r="E31" s="41">
        <f>SUM(E21:E30)</f>
        <v>787091.13</v>
      </c>
      <c r="F31" s="41">
        <f>SUM(F21:F30)</f>
        <v>0</v>
      </c>
      <c r="G31" s="41">
        <f>SUM(G21:G30)</f>
        <v>131316.32</v>
      </c>
      <c r="H31" s="41">
        <f t="shared" si="1"/>
        <v>3264947.2199999997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91269.58</v>
      </c>
      <c r="D35" s="95">
        <f>'DOE25'!G36</f>
        <v>0</v>
      </c>
      <c r="E35" s="95">
        <f>'DOE25'!H36</f>
        <v>10681</v>
      </c>
      <c r="F35" s="95">
        <f>'DOE25'!I36</f>
        <v>0</v>
      </c>
      <c r="G35" s="24" t="s">
        <v>288</v>
      </c>
      <c r="H35" s="124">
        <f t="shared" si="2"/>
        <v>101950.58</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100012.18</v>
      </c>
      <c r="E39" s="24" t="s">
        <v>288</v>
      </c>
      <c r="F39" s="24" t="s">
        <v>288</v>
      </c>
      <c r="G39" s="24" t="s">
        <v>288</v>
      </c>
      <c r="H39" s="124">
        <f t="shared" si="2"/>
        <v>100012.18</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510000</v>
      </c>
      <c r="D43" s="95">
        <f>'DOE25'!G44</f>
        <v>0</v>
      </c>
      <c r="E43" s="95">
        <f>'DOE25'!H44</f>
        <v>0</v>
      </c>
      <c r="F43" s="95">
        <f>'DOE25'!I44</f>
        <v>0</v>
      </c>
      <c r="G43" s="24" t="s">
        <v>288</v>
      </c>
      <c r="H43" s="124">
        <f t="shared" si="2"/>
        <v>510000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18204.099999999999</v>
      </c>
      <c r="F47" s="95">
        <f>'DOE25'!I48</f>
        <v>0</v>
      </c>
      <c r="G47" s="95">
        <f>'DOE25'!J48</f>
        <v>2233484.59</v>
      </c>
      <c r="H47" s="124">
        <f t="shared" si="2"/>
        <v>2251688.69</v>
      </c>
      <c r="I47" s="124"/>
    </row>
    <row r="48" spans="1:9" x14ac:dyDescent="0.2">
      <c r="A48" s="1" t="s">
        <v>882</v>
      </c>
      <c r="B48" s="6">
        <v>753</v>
      </c>
      <c r="C48" s="95">
        <f>'DOE25'!F49</f>
        <v>71228.509999999995</v>
      </c>
      <c r="D48" s="95">
        <f>'DOE25'!G49</f>
        <v>0</v>
      </c>
      <c r="E48" s="95">
        <f>'DOE25'!H49</f>
        <v>0</v>
      </c>
      <c r="F48" s="95">
        <f>'DOE25'!I49</f>
        <v>0</v>
      </c>
      <c r="G48" s="95">
        <f>'DOE25'!J49</f>
        <v>0</v>
      </c>
      <c r="H48" s="124">
        <f t="shared" si="2"/>
        <v>71228.509999999995</v>
      </c>
      <c r="I48" s="124"/>
    </row>
    <row r="49" spans="1:9" ht="12" thickBot="1" x14ac:dyDescent="0.25">
      <c r="A49" s="29" t="s">
        <v>883</v>
      </c>
      <c r="B49" s="71">
        <v>770</v>
      </c>
      <c r="C49" s="95">
        <f>'DOE25'!F50</f>
        <v>460785.05999999994</v>
      </c>
      <c r="D49" s="24" t="s">
        <v>288</v>
      </c>
      <c r="E49" s="24" t="s">
        <v>288</v>
      </c>
      <c r="F49" s="24" t="s">
        <v>288</v>
      </c>
      <c r="G49" s="24" t="s">
        <v>288</v>
      </c>
      <c r="H49" s="124">
        <f t="shared" si="2"/>
        <v>460785.05999999994</v>
      </c>
      <c r="I49" s="124"/>
    </row>
    <row r="50" spans="1:9" ht="12.75" thickTop="1" thickBot="1" x14ac:dyDescent="0.25">
      <c r="A50" s="38" t="s">
        <v>884</v>
      </c>
      <c r="B50" s="48"/>
      <c r="C50" s="41">
        <f>SUM(C34:C49)</f>
        <v>1133283.1499999999</v>
      </c>
      <c r="D50" s="41">
        <f>SUM(D34:D49)</f>
        <v>100012.18</v>
      </c>
      <c r="E50" s="41">
        <f>SUM(E34:E49)</f>
        <v>28885.1</v>
      </c>
      <c r="F50" s="41">
        <f>SUM(F34:F49)</f>
        <v>0</v>
      </c>
      <c r="G50" s="41">
        <f>SUM(G34:G49)</f>
        <v>2233484.59</v>
      </c>
      <c r="H50" s="41">
        <f t="shared" si="2"/>
        <v>3495665.0199999996</v>
      </c>
      <c r="I50" s="124"/>
    </row>
    <row r="51" spans="1:9" ht="12" thickTop="1" x14ac:dyDescent="0.2">
      <c r="A51" s="38" t="s">
        <v>885</v>
      </c>
      <c r="B51" s="2"/>
      <c r="C51" s="41">
        <f>C50+C31</f>
        <v>3392001.53</v>
      </c>
      <c r="D51" s="41">
        <f>D50+D31</f>
        <v>187833.57</v>
      </c>
      <c r="E51" s="41">
        <f>E50+E31</f>
        <v>815976.23</v>
      </c>
      <c r="F51" s="41">
        <f>F50+F31</f>
        <v>0</v>
      </c>
      <c r="G51" s="41">
        <f>G50+G31</f>
        <v>2364800.9099999997</v>
      </c>
      <c r="H51" s="41">
        <f t="shared" si="2"/>
        <v>6760612.2400000002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10108586</v>
      </c>
      <c r="D56" s="95">
        <f>'DOE25'!G60</f>
        <v>0</v>
      </c>
      <c r="E56" s="95">
        <f>'DOE25'!H60</f>
        <v>0</v>
      </c>
      <c r="F56" s="95">
        <f>'DOE25'!I60</f>
        <v>0</v>
      </c>
      <c r="G56" s="95">
        <f>'DOE25'!J60</f>
        <v>0</v>
      </c>
      <c r="H56" s="124">
        <f t="shared" ref="H56:H63" si="3">SUM(C56:G56)</f>
        <v>10108586</v>
      </c>
      <c r="I56"/>
    </row>
    <row r="57" spans="1:9" x14ac:dyDescent="0.2">
      <c r="A57" s="1" t="s">
        <v>164</v>
      </c>
      <c r="B57" s="6" t="s">
        <v>165</v>
      </c>
      <c r="C57" s="95">
        <f>'DOE25'!F79</f>
        <v>1278356.44</v>
      </c>
      <c r="D57" s="24" t="s">
        <v>288</v>
      </c>
      <c r="E57" s="95">
        <f>'DOE25'!H79</f>
        <v>0</v>
      </c>
      <c r="F57" s="24" t="s">
        <v>288</v>
      </c>
      <c r="G57" s="24" t="s">
        <v>288</v>
      </c>
      <c r="H57" s="124">
        <f t="shared" si="3"/>
        <v>1278356.44</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12906.34</v>
      </c>
      <c r="D59" s="95">
        <f>'DOE25'!G96</f>
        <v>0</v>
      </c>
      <c r="E59" s="95">
        <f>'DOE25'!H96</f>
        <v>0</v>
      </c>
      <c r="F59" s="95">
        <f>'DOE25'!I96</f>
        <v>0</v>
      </c>
      <c r="G59" s="95">
        <f>'DOE25'!J96</f>
        <v>16206.99</v>
      </c>
      <c r="H59" s="124">
        <f t="shared" si="3"/>
        <v>29113.33</v>
      </c>
      <c r="I59"/>
    </row>
    <row r="60" spans="1:9" x14ac:dyDescent="0.2">
      <c r="A60" s="1" t="s">
        <v>170</v>
      </c>
      <c r="B60" s="118" t="s">
        <v>171</v>
      </c>
      <c r="C60" s="24" t="s">
        <v>288</v>
      </c>
      <c r="D60" s="95">
        <f>'DOE25'!G97</f>
        <v>32269.919999999998</v>
      </c>
      <c r="E60" s="24" t="s">
        <v>288</v>
      </c>
      <c r="F60" s="24" t="s">
        <v>288</v>
      </c>
      <c r="G60" s="24" t="s">
        <v>288</v>
      </c>
      <c r="H60" s="124">
        <f t="shared" si="3"/>
        <v>32269.919999999998</v>
      </c>
      <c r="I60"/>
    </row>
    <row r="61" spans="1:9" ht="12" thickBot="1" x14ac:dyDescent="0.25">
      <c r="A61" s="1" t="s">
        <v>172</v>
      </c>
      <c r="B61" s="118" t="s">
        <v>173</v>
      </c>
      <c r="C61" s="95">
        <f>SUM('DOE25'!F98:F110)</f>
        <v>108073.48999999999</v>
      </c>
      <c r="D61" s="95">
        <f>SUM('DOE25'!G98:G110)</f>
        <v>3161.16</v>
      </c>
      <c r="E61" s="95">
        <f>SUM('DOE25'!H98:H110)</f>
        <v>181025.93999999997</v>
      </c>
      <c r="F61" s="95">
        <f>SUM('DOE25'!I98:I110)</f>
        <v>0</v>
      </c>
      <c r="G61" s="95">
        <f>SUM('DOE25'!J98:J110)</f>
        <v>0</v>
      </c>
      <c r="H61" s="124">
        <f t="shared" si="3"/>
        <v>292260.58999999997</v>
      </c>
      <c r="I61"/>
    </row>
    <row r="62" spans="1:9" ht="12.75" thickTop="1" thickBot="1" x14ac:dyDescent="0.25">
      <c r="A62" s="29" t="s">
        <v>174</v>
      </c>
      <c r="B62" s="6"/>
      <c r="C62" s="130">
        <f>SUM(C57:C61)</f>
        <v>1399336.27</v>
      </c>
      <c r="D62" s="130">
        <f>SUM(D57:D61)</f>
        <v>35431.08</v>
      </c>
      <c r="E62" s="130">
        <f>SUM(E57:E61)</f>
        <v>181025.93999999997</v>
      </c>
      <c r="F62" s="130">
        <f>SUM(F57:F61)</f>
        <v>0</v>
      </c>
      <c r="G62" s="130">
        <f>SUM(G57:G61)</f>
        <v>16206.99</v>
      </c>
      <c r="H62" s="124">
        <f t="shared" si="3"/>
        <v>1632000.28</v>
      </c>
      <c r="I62"/>
    </row>
    <row r="63" spans="1:9" ht="12" thickTop="1" x14ac:dyDescent="0.2">
      <c r="A63" s="29" t="s">
        <v>175</v>
      </c>
      <c r="B63" s="6"/>
      <c r="C63" s="22">
        <f>C56+C62</f>
        <v>11507922.27</v>
      </c>
      <c r="D63" s="22">
        <f>D56+D62</f>
        <v>35431.08</v>
      </c>
      <c r="E63" s="22">
        <f>E56+E62</f>
        <v>181025.93999999997</v>
      </c>
      <c r="F63" s="22">
        <f>F56+F62</f>
        <v>0</v>
      </c>
      <c r="G63" s="22">
        <f>G56+G62</f>
        <v>16206.99</v>
      </c>
      <c r="H63" s="124">
        <f t="shared" si="3"/>
        <v>11740586.279999999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7005383.79</v>
      </c>
      <c r="D66" s="24" t="s">
        <v>288</v>
      </c>
      <c r="E66" s="24" t="s">
        <v>288</v>
      </c>
      <c r="F66" s="24" t="s">
        <v>288</v>
      </c>
      <c r="G66" s="24" t="s">
        <v>288</v>
      </c>
      <c r="H66" s="124">
        <f t="shared" ref="H66:H81" si="4">SUM(C66:G66)</f>
        <v>7005383.79</v>
      </c>
      <c r="I66"/>
    </row>
    <row r="67" spans="1:9" x14ac:dyDescent="0.2">
      <c r="A67" s="1" t="s">
        <v>770</v>
      </c>
      <c r="B67" s="6">
        <v>3112</v>
      </c>
      <c r="C67" s="95">
        <f>'DOE25'!F118</f>
        <v>2048037</v>
      </c>
      <c r="D67" s="24"/>
      <c r="E67" s="24"/>
      <c r="F67" s="24"/>
      <c r="G67" s="24"/>
      <c r="H67" s="124">
        <f t="shared" si="4"/>
        <v>2048037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9053420.7899999991</v>
      </c>
      <c r="D70" s="139">
        <f>D69</f>
        <v>0</v>
      </c>
      <c r="E70" s="139">
        <f>E69</f>
        <v>0</v>
      </c>
      <c r="F70" s="139">
        <f>F69</f>
        <v>0</v>
      </c>
      <c r="G70" s="139">
        <f>G69</f>
        <v>0</v>
      </c>
      <c r="H70" s="124">
        <f t="shared" si="4"/>
        <v>9053420.7899999991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390135.49</v>
      </c>
      <c r="D75" s="24" t="s">
        <v>288</v>
      </c>
      <c r="E75" s="24" t="s">
        <v>288</v>
      </c>
      <c r="F75" s="24" t="s">
        <v>288</v>
      </c>
      <c r="G75" s="24" t="s">
        <v>288</v>
      </c>
      <c r="H75" s="124">
        <f t="shared" si="4"/>
        <v>390135.49</v>
      </c>
      <c r="I75"/>
    </row>
    <row r="76" spans="1:9" x14ac:dyDescent="0.2">
      <c r="A76" s="1" t="s">
        <v>257</v>
      </c>
      <c r="B76" s="6" t="s">
        <v>179</v>
      </c>
      <c r="C76" s="95">
        <f>SUM('DOE25'!F127:F130)</f>
        <v>101737.79000000001</v>
      </c>
      <c r="D76" s="24" t="s">
        <v>288</v>
      </c>
      <c r="E76" s="95">
        <f>SUM('DOE25'!H127:H130)</f>
        <v>0</v>
      </c>
      <c r="F76" s="95">
        <f>SUM('DOE25'!I127:I130)</f>
        <v>0</v>
      </c>
      <c r="G76" s="24" t="s">
        <v>288</v>
      </c>
      <c r="H76" s="124">
        <f t="shared" si="4"/>
        <v>101737.79000000001</v>
      </c>
      <c r="I76"/>
    </row>
    <row r="77" spans="1:9" ht="12" thickBot="1" x14ac:dyDescent="0.25">
      <c r="A77" s="1" t="s">
        <v>258</v>
      </c>
      <c r="B77" s="6" t="s">
        <v>180</v>
      </c>
      <c r="C77" s="95">
        <f>SUM('DOE25'!F131:F135)</f>
        <v>0</v>
      </c>
      <c r="D77" s="95">
        <f>SUM('DOE25'!G131:G135)</f>
        <v>8027.83</v>
      </c>
      <c r="E77" s="95">
        <f>SUM('DOE25'!H131:H135)</f>
        <v>0</v>
      </c>
      <c r="F77" s="95">
        <f>SUM('DOE25'!I131:I135)</f>
        <v>0</v>
      </c>
      <c r="G77" s="95">
        <f>SUM('DOE25'!J131:J135)</f>
        <v>0</v>
      </c>
      <c r="H77" s="124">
        <f t="shared" si="4"/>
        <v>8027.83</v>
      </c>
      <c r="I77"/>
    </row>
    <row r="78" spans="1:9" ht="12.75" thickTop="1" thickBot="1" x14ac:dyDescent="0.25">
      <c r="A78" s="29" t="s">
        <v>259</v>
      </c>
      <c r="B78" s="6"/>
      <c r="C78" s="130">
        <f>SUM(C72:C77)</f>
        <v>491873.28000000003</v>
      </c>
      <c r="D78" s="130">
        <f>SUM(D72:D77)</f>
        <v>8027.83</v>
      </c>
      <c r="E78" s="130">
        <f>SUM(E72:E77)</f>
        <v>0</v>
      </c>
      <c r="F78" s="130">
        <f>SUM(F72:F77)</f>
        <v>0</v>
      </c>
      <c r="G78" s="130">
        <f>SUM(G72:G77)</f>
        <v>0</v>
      </c>
      <c r="H78" s="124">
        <f t="shared" si="4"/>
        <v>499901.11000000004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9545294.0699999984</v>
      </c>
      <c r="D81" s="130">
        <f>SUM(D79:D80)+D78+D70</f>
        <v>8027.83</v>
      </c>
      <c r="E81" s="130">
        <f>SUM(E79:E80)+E78+E70</f>
        <v>0</v>
      </c>
      <c r="F81" s="130">
        <f>SUM(F79:F80)+F78+F70</f>
        <v>0</v>
      </c>
      <c r="G81" s="130">
        <f>SUM(G79:G80)+G78+G70</f>
        <v>0</v>
      </c>
      <c r="H81" s="130">
        <f t="shared" si="4"/>
        <v>9553321.8999999985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66859.83</v>
      </c>
      <c r="D88" s="326">
        <f>SUM('DOE25'!G153:G162)</f>
        <v>703176.49</v>
      </c>
      <c r="E88" s="326">
        <f>SUM('DOE25'!H153:H162)</f>
        <v>2868595.39</v>
      </c>
      <c r="F88" s="326">
        <f>SUM('DOE25'!I153:I162)</f>
        <v>0</v>
      </c>
      <c r="G88" s="24" t="s">
        <v>288</v>
      </c>
      <c r="H88" s="124">
        <f t="shared" si="5"/>
        <v>3638631.71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19509.740000000002</v>
      </c>
      <c r="D90" s="24" t="s">
        <v>288</v>
      </c>
      <c r="E90" s="24" t="s">
        <v>288</v>
      </c>
      <c r="F90" s="24" t="s">
        <v>288</v>
      </c>
      <c r="G90" s="24" t="s">
        <v>288</v>
      </c>
      <c r="H90" s="124">
        <f t="shared" si="5"/>
        <v>19509.740000000002</v>
      </c>
    </row>
    <row r="91" spans="1:9" ht="12.75" thickTop="1" thickBot="1" x14ac:dyDescent="0.25">
      <c r="A91" s="33" t="s">
        <v>750</v>
      </c>
      <c r="C91" s="131">
        <f>SUM(C85:C90)</f>
        <v>86369.57</v>
      </c>
      <c r="D91" s="131">
        <f>SUM(D85:D90)</f>
        <v>703176.49</v>
      </c>
      <c r="E91" s="131">
        <f>SUM(E85:E90)</f>
        <v>2868595.39</v>
      </c>
      <c r="F91" s="131">
        <f>SUM(F85:F90)</f>
        <v>0</v>
      </c>
      <c r="G91" s="24" t="s">
        <v>288</v>
      </c>
      <c r="H91" s="124">
        <f t="shared" si="5"/>
        <v>3658141.45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362.1</v>
      </c>
      <c r="E96" s="95">
        <f>'DOE25'!H180</f>
        <v>0</v>
      </c>
      <c r="F96" s="95">
        <f>'DOE25'!I180</f>
        <v>0</v>
      </c>
      <c r="G96" s="95">
        <f>'DOE25'!J180</f>
        <v>1067785.76</v>
      </c>
      <c r="H96" s="124">
        <f t="shared" si="5"/>
        <v>1068147.8600000001</v>
      </c>
    </row>
    <row r="97" spans="1:8" x14ac:dyDescent="0.2">
      <c r="A97" t="s">
        <v>754</v>
      </c>
      <c r="B97" s="32" t="s">
        <v>188</v>
      </c>
      <c r="C97" s="95">
        <f>SUM('DOE25'!F181:F182)</f>
        <v>66790.720000000001</v>
      </c>
      <c r="D97" s="95">
        <f>SUM('DOE25'!G181:G182)</f>
        <v>0</v>
      </c>
      <c r="E97" s="95">
        <f>SUM('DOE25'!H181:H182)</f>
        <v>0</v>
      </c>
      <c r="F97" s="95">
        <f>SUM('DOE25'!I181:I182)</f>
        <v>0</v>
      </c>
      <c r="G97" s="95">
        <f>SUM('DOE25'!J181:J182)</f>
        <v>0</v>
      </c>
      <c r="H97" s="124">
        <f t="shared" si="5"/>
        <v>66790.720000000001</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211202.32</v>
      </c>
      <c r="D99" s="95">
        <f>'DOE25'!G186</f>
        <v>0</v>
      </c>
      <c r="E99" s="95">
        <f>'DOE25'!H186</f>
        <v>0</v>
      </c>
      <c r="F99" s="95">
        <f>'DOE25'!I186</f>
        <v>0</v>
      </c>
      <c r="G99" s="24" t="s">
        <v>288</v>
      </c>
      <c r="H99" s="124">
        <f t="shared" si="5"/>
        <v>211202.32</v>
      </c>
    </row>
    <row r="100" spans="1:8" x14ac:dyDescent="0.2">
      <c r="A100" t="s">
        <v>757</v>
      </c>
      <c r="B100" s="32" t="s">
        <v>190</v>
      </c>
      <c r="C100" s="95">
        <f>SUM('DOE25'!F187:F188)</f>
        <v>652998.54</v>
      </c>
      <c r="D100" s="95">
        <f>SUM('DOE25'!G187:G188)</f>
        <v>0</v>
      </c>
      <c r="E100" s="95">
        <f>SUM('DOE25'!H187:H188)</f>
        <v>0</v>
      </c>
      <c r="F100" s="95">
        <f>SUM('DOE25'!I187:I188)</f>
        <v>0</v>
      </c>
      <c r="G100" s="24" t="s">
        <v>288</v>
      </c>
      <c r="H100" s="124">
        <f t="shared" si="5"/>
        <v>652998.54</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930991.58000000007</v>
      </c>
      <c r="D103" s="86">
        <f>SUM(D93:D102)</f>
        <v>362.1</v>
      </c>
      <c r="E103" s="86">
        <f>SUM(E93:E102)</f>
        <v>0</v>
      </c>
      <c r="F103" s="86">
        <f>SUM(F93:F102)</f>
        <v>0</v>
      </c>
      <c r="G103" s="86">
        <f>SUM(G93:G102)</f>
        <v>1067785.76</v>
      </c>
      <c r="H103" s="86">
        <f t="shared" si="5"/>
        <v>1999139.44</v>
      </c>
    </row>
    <row r="104" spans="1:8" ht="12.75" thickTop="1" thickBot="1" x14ac:dyDescent="0.25">
      <c r="A104" s="33" t="s">
        <v>761</v>
      </c>
      <c r="C104" s="86">
        <f>C63+C81+C91+C103</f>
        <v>22070577.489999995</v>
      </c>
      <c r="D104" s="86">
        <f>D63+D81+D91+D103</f>
        <v>746997.5</v>
      </c>
      <c r="E104" s="86">
        <f>E63+E81+E91+E103</f>
        <v>3049621.33</v>
      </c>
      <c r="F104" s="86">
        <f>F63+F81+F91+F103</f>
        <v>0</v>
      </c>
      <c r="G104" s="86">
        <f>G63+G81+G103</f>
        <v>1083992.75</v>
      </c>
      <c r="H104" s="86">
        <f t="shared" si="5"/>
        <v>26951189.069999993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6331739.2600000007</v>
      </c>
      <c r="D109" s="24" t="s">
        <v>288</v>
      </c>
      <c r="E109" s="95">
        <f>('DOE25'!L277)+('DOE25'!L296)+('DOE25'!L315)</f>
        <v>913438.12</v>
      </c>
      <c r="F109" s="24" t="s">
        <v>288</v>
      </c>
      <c r="G109" s="24" t="s">
        <v>288</v>
      </c>
      <c r="H109" s="124">
        <f t="shared" ref="H109:H115" si="6">SUM(C109:G109)</f>
        <v>7245177.3800000008</v>
      </c>
    </row>
    <row r="110" spans="1:8" x14ac:dyDescent="0.2">
      <c r="A110" t="s">
        <v>198</v>
      </c>
      <c r="B110" s="32" t="s">
        <v>199</v>
      </c>
      <c r="C110" s="95">
        <f>('DOE25'!L199)+('DOE25'!L217)+('DOE25'!L235)</f>
        <v>3139463.11</v>
      </c>
      <c r="D110" s="24" t="s">
        <v>288</v>
      </c>
      <c r="E110" s="95">
        <f>('DOE25'!L278)+('DOE25'!L297)+('DOE25'!L316)</f>
        <v>54604.600000000006</v>
      </c>
      <c r="F110" s="24" t="s">
        <v>288</v>
      </c>
      <c r="G110" s="24" t="s">
        <v>288</v>
      </c>
      <c r="H110" s="124">
        <f t="shared" si="6"/>
        <v>3194067.71</v>
      </c>
    </row>
    <row r="111" spans="1:8" x14ac:dyDescent="0.2">
      <c r="A111" t="s">
        <v>200</v>
      </c>
      <c r="B111" s="32" t="s">
        <v>165</v>
      </c>
      <c r="C111" s="95">
        <f>('DOE25'!L200)+('DOE25'!L218)+('DOE25'!L236)</f>
        <v>553476.41</v>
      </c>
      <c r="D111" s="24" t="s">
        <v>288</v>
      </c>
      <c r="E111" s="95">
        <f>('DOE25'!L279)+('DOE25'!L298)+('DOE25'!L317)</f>
        <v>178687.33999999997</v>
      </c>
      <c r="F111" s="24" t="s">
        <v>288</v>
      </c>
      <c r="G111" s="24" t="s">
        <v>288</v>
      </c>
      <c r="H111" s="124">
        <f t="shared" si="6"/>
        <v>732163.75</v>
      </c>
    </row>
    <row r="112" spans="1:8" x14ac:dyDescent="0.2">
      <c r="A112" t="s">
        <v>201</v>
      </c>
      <c r="B112" s="32" t="s">
        <v>167</v>
      </c>
      <c r="C112" s="95">
        <f>('DOE25'!L201)+('DOE25'!L219)+('DOE25'!L237)</f>
        <v>551392.87000000011</v>
      </c>
      <c r="D112" s="24" t="s">
        <v>288</v>
      </c>
      <c r="E112" s="95">
        <f>+('DOE25'!L280)+('DOE25'!L299)+('DOE25'!L318)</f>
        <v>109214.24</v>
      </c>
      <c r="F112" s="24" t="s">
        <v>288</v>
      </c>
      <c r="G112" s="24" t="s">
        <v>288</v>
      </c>
      <c r="H112" s="124">
        <f t="shared" si="6"/>
        <v>660607.1100000001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2305.85</v>
      </c>
      <c r="F114" s="24" t="s">
        <v>288</v>
      </c>
      <c r="G114" s="24" t="s">
        <v>288</v>
      </c>
      <c r="H114" s="124">
        <f t="shared" si="6"/>
        <v>2305.85</v>
      </c>
    </row>
    <row r="115" spans="1:8" ht="12.75" thickTop="1" thickBot="1" x14ac:dyDescent="0.25">
      <c r="A115" s="33" t="s">
        <v>205</v>
      </c>
      <c r="C115" s="86">
        <f>SUM(C109:C114)</f>
        <v>10576071.650000002</v>
      </c>
      <c r="D115" s="86">
        <f>SUM(D109:D114)</f>
        <v>0</v>
      </c>
      <c r="E115" s="86">
        <f>SUM(E109:E114)</f>
        <v>1258250.1500000001</v>
      </c>
      <c r="F115" s="86">
        <f>SUM(F109:F114)</f>
        <v>0</v>
      </c>
      <c r="G115" s="86">
        <f>SUM(G109:G114)</f>
        <v>0</v>
      </c>
      <c r="H115" s="86">
        <f t="shared" si="6"/>
        <v>11834321.800000003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1622764.9100000001</v>
      </c>
      <c r="D118" s="24" t="s">
        <v>288</v>
      </c>
      <c r="E118" s="95">
        <f>+('DOE25'!L282)+('DOE25'!L301)+('DOE25'!L320)</f>
        <v>769713.34000000008</v>
      </c>
      <c r="F118" s="24" t="s">
        <v>288</v>
      </c>
      <c r="G118" s="24" t="s">
        <v>288</v>
      </c>
      <c r="H118" s="124">
        <f t="shared" ref="H118:H145" si="7">SUM(C118:G118)</f>
        <v>2392478.25</v>
      </c>
    </row>
    <row r="119" spans="1:8" x14ac:dyDescent="0.2">
      <c r="A119" t="s">
        <v>208</v>
      </c>
      <c r="B119" s="32" t="s">
        <v>209</v>
      </c>
      <c r="C119" s="95">
        <f>('DOE25'!L204)+('DOE25'!L222)+('DOE25'!L240)</f>
        <v>831239.52</v>
      </c>
      <c r="D119" s="24" t="s">
        <v>288</v>
      </c>
      <c r="E119" s="95">
        <f>+('DOE25'!L283)+('DOE25'!L302)+('DOE25'!L321)</f>
        <v>473910.47</v>
      </c>
      <c r="F119" s="24" t="s">
        <v>288</v>
      </c>
      <c r="G119" s="24" t="s">
        <v>288</v>
      </c>
      <c r="H119" s="124">
        <f t="shared" si="7"/>
        <v>1305149.99</v>
      </c>
    </row>
    <row r="120" spans="1:8" x14ac:dyDescent="0.2">
      <c r="A120" t="s">
        <v>210</v>
      </c>
      <c r="B120" s="32" t="s">
        <v>211</v>
      </c>
      <c r="C120" s="95">
        <f>('DOE25'!L205)+('DOE25'!L223)+('DOE25'!L241)</f>
        <v>1032146.76</v>
      </c>
      <c r="D120" s="24" t="s">
        <v>288</v>
      </c>
      <c r="E120" s="95">
        <f>+('DOE25'!L284)+('DOE25'!L303)+('DOE25'!L322)</f>
        <v>29780.32</v>
      </c>
      <c r="F120" s="24" t="s">
        <v>288</v>
      </c>
      <c r="G120" s="24" t="s">
        <v>288</v>
      </c>
      <c r="H120" s="124">
        <f t="shared" si="7"/>
        <v>1061927.08</v>
      </c>
    </row>
    <row r="121" spans="1:8" x14ac:dyDescent="0.2">
      <c r="A121" t="s">
        <v>212</v>
      </c>
      <c r="B121" s="32" t="s">
        <v>213</v>
      </c>
      <c r="C121" s="95">
        <f>('DOE25'!L206)+('DOE25'!L224)+('DOE25'!L242)</f>
        <v>1353851.33</v>
      </c>
      <c r="D121" s="24" t="s">
        <v>288</v>
      </c>
      <c r="E121" s="95">
        <f>+('DOE25'!L285)+('DOE25'!L304)+('DOE25'!L323)</f>
        <v>2500</v>
      </c>
      <c r="F121" s="24" t="s">
        <v>288</v>
      </c>
      <c r="G121" s="24" t="s">
        <v>288</v>
      </c>
      <c r="H121" s="124">
        <f t="shared" si="7"/>
        <v>1356351.33</v>
      </c>
    </row>
    <row r="122" spans="1:8" x14ac:dyDescent="0.2">
      <c r="A122" t="s">
        <v>214</v>
      </c>
      <c r="B122" s="32" t="s">
        <v>215</v>
      </c>
      <c r="C122" s="95">
        <f>('DOE25'!L207)+('DOE25'!L225)+('DOE25'!L243)</f>
        <v>345547.69</v>
      </c>
      <c r="D122" s="24" t="s">
        <v>288</v>
      </c>
      <c r="E122" s="95">
        <f>+('DOE25'!L286)+('DOE25'!L305)+('DOE25'!L324)</f>
        <v>22595.280000000002</v>
      </c>
      <c r="F122" s="24" t="s">
        <v>288</v>
      </c>
      <c r="G122" s="24" t="s">
        <v>288</v>
      </c>
      <c r="H122" s="124">
        <f t="shared" si="7"/>
        <v>368142.97000000003</v>
      </c>
    </row>
    <row r="123" spans="1:8" x14ac:dyDescent="0.2">
      <c r="A123" t="s">
        <v>216</v>
      </c>
      <c r="B123" s="32" t="s">
        <v>217</v>
      </c>
      <c r="C123" s="95">
        <f>('DOE25'!L208)+('DOE25'!L226)+('DOE25'!L244)</f>
        <v>3356236.55</v>
      </c>
      <c r="D123" s="24" t="s">
        <v>288</v>
      </c>
      <c r="E123" s="95">
        <f>+('DOE25'!L287)+('DOE25'!L306)+('DOE25'!L325)</f>
        <v>225868.02000000002</v>
      </c>
      <c r="F123" s="24" t="s">
        <v>288</v>
      </c>
      <c r="G123" s="24" t="s">
        <v>288</v>
      </c>
      <c r="H123" s="124">
        <f t="shared" si="7"/>
        <v>3582104.57</v>
      </c>
    </row>
    <row r="124" spans="1:8" x14ac:dyDescent="0.2">
      <c r="A124" t="s">
        <v>218</v>
      </c>
      <c r="B124" s="32" t="s">
        <v>219</v>
      </c>
      <c r="C124" s="95">
        <f>('DOE25'!L209)+('DOE25'!L227)+('DOE25'!L245+'DOE25'!L255)</f>
        <v>1329224.3500000001</v>
      </c>
      <c r="D124" s="24" t="s">
        <v>288</v>
      </c>
      <c r="E124" s="95">
        <f>+('DOE25'!L288)+('DOE25'!L307)+('DOE25'!L326)</f>
        <v>79241.009999999995</v>
      </c>
      <c r="F124" s="24" t="s">
        <v>288</v>
      </c>
      <c r="G124" s="24" t="s">
        <v>288</v>
      </c>
      <c r="H124" s="124">
        <f t="shared" si="7"/>
        <v>1408465.36</v>
      </c>
    </row>
    <row r="125" spans="1:8" x14ac:dyDescent="0.2">
      <c r="A125" t="s">
        <v>220</v>
      </c>
      <c r="B125" s="32" t="s">
        <v>221</v>
      </c>
      <c r="C125" s="95">
        <f>('DOE25'!L210)+('DOE25'!L228)+('DOE25'!L246)</f>
        <v>450177.55</v>
      </c>
      <c r="D125" s="24" t="s">
        <v>288</v>
      </c>
      <c r="E125" s="95">
        <f>+('DOE25'!L289)+('DOE25'!L308)+('DOE25'!L327)</f>
        <v>28500</v>
      </c>
      <c r="F125" s="24" t="s">
        <v>288</v>
      </c>
      <c r="G125" s="24" t="s">
        <v>288</v>
      </c>
      <c r="H125" s="124">
        <f t="shared" si="7"/>
        <v>478677.55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646985.32000000007</v>
      </c>
      <c r="E127" s="24" t="s">
        <v>288</v>
      </c>
      <c r="F127" s="24" t="s">
        <v>288</v>
      </c>
      <c r="G127" s="24" t="s">
        <v>288</v>
      </c>
      <c r="H127" s="124">
        <f t="shared" si="7"/>
        <v>646985.32000000007</v>
      </c>
    </row>
    <row r="128" spans="1:8" ht="12.75" thickTop="1" thickBot="1" x14ac:dyDescent="0.25">
      <c r="A128" s="33" t="s">
        <v>226</v>
      </c>
      <c r="C128" s="86">
        <f>SUM(C118:C127)</f>
        <v>10321188.660000002</v>
      </c>
      <c r="D128" s="86">
        <f>SUM(D118:D127)</f>
        <v>646985.32000000007</v>
      </c>
      <c r="E128" s="86">
        <f>SUM(E118:E127)</f>
        <v>1632108.4400000002</v>
      </c>
      <c r="F128" s="86">
        <f>SUM(F118:F127)</f>
        <v>0</v>
      </c>
      <c r="G128" s="86">
        <f>SUM(G118:G127)</f>
        <v>0</v>
      </c>
      <c r="H128" s="86">
        <f t="shared" si="7"/>
        <v>12600282.420000002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93021.18</v>
      </c>
      <c r="F130" s="129">
        <f>SUM('DOE25'!L375:'DOE25'!L381)</f>
        <v>0</v>
      </c>
      <c r="G130" s="24" t="s">
        <v>288</v>
      </c>
      <c r="H130" s="124">
        <f t="shared" si="7"/>
        <v>93021.18</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66790.720000000001</v>
      </c>
      <c r="F134" s="95">
        <f>'DOE25'!K382</f>
        <v>0</v>
      </c>
      <c r="G134" s="95">
        <f>'DOE25'!K435</f>
        <v>864200.8600000001</v>
      </c>
      <c r="H134" s="124">
        <f t="shared" si="7"/>
        <v>930991.58000000007</v>
      </c>
    </row>
    <row r="135" spans="1:8" x14ac:dyDescent="0.2">
      <c r="A135" t="s">
        <v>233</v>
      </c>
      <c r="B135" s="32" t="s">
        <v>234</v>
      </c>
      <c r="C135" s="95">
        <f>'DOE25'!L264</f>
        <v>362.09999999999997</v>
      </c>
      <c r="D135" s="24" t="s">
        <v>288</v>
      </c>
      <c r="E135" s="129">
        <f>'DOE25'!L346</f>
        <v>0</v>
      </c>
      <c r="F135" s="24" t="s">
        <v>288</v>
      </c>
      <c r="G135" s="24" t="s">
        <v>288</v>
      </c>
      <c r="H135" s="124">
        <f t="shared" si="7"/>
        <v>362.09999999999997</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273748.88</v>
      </c>
      <c r="D138" s="24" t="s">
        <v>288</v>
      </c>
      <c r="E138" s="24" t="s">
        <v>288</v>
      </c>
      <c r="F138" s="24" t="s">
        <v>288</v>
      </c>
      <c r="G138" s="24" t="s">
        <v>288</v>
      </c>
      <c r="H138" s="124">
        <f t="shared" si="7"/>
        <v>273748.88</v>
      </c>
    </row>
    <row r="139" spans="1:8" x14ac:dyDescent="0.2">
      <c r="A139" t="s">
        <v>239</v>
      </c>
      <c r="B139" s="32">
        <v>5252</v>
      </c>
      <c r="C139" s="95">
        <f>'DOE25'!L402</f>
        <v>810243.87</v>
      </c>
      <c r="D139" s="24" t="s">
        <v>288</v>
      </c>
      <c r="E139" s="24" t="s">
        <v>288</v>
      </c>
      <c r="F139" s="24" t="s">
        <v>288</v>
      </c>
      <c r="G139" s="24" t="s">
        <v>288</v>
      </c>
      <c r="H139" s="124">
        <f t="shared" si="7"/>
        <v>810243.87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-16206.989999999991</v>
      </c>
      <c r="D141" s="24" t="s">
        <v>288</v>
      </c>
      <c r="E141" s="24" t="s">
        <v>288</v>
      </c>
      <c r="F141" s="24" t="s">
        <v>288</v>
      </c>
      <c r="G141" s="24" t="s">
        <v>288</v>
      </c>
      <c r="H141" s="124">
        <f t="shared" si="7"/>
        <v>-16206.989999999991</v>
      </c>
    </row>
    <row r="142" spans="1:8" x14ac:dyDescent="0.2">
      <c r="A142" t="s">
        <v>241</v>
      </c>
      <c r="B142" s="32">
        <v>5310</v>
      </c>
      <c r="C142" s="129">
        <f>'DOE25'!L269</f>
        <v>43750</v>
      </c>
      <c r="D142" s="24" t="s">
        <v>288</v>
      </c>
      <c r="E142" s="129">
        <f>'DOE25'!L350</f>
        <v>0</v>
      </c>
      <c r="F142" s="24" t="s">
        <v>288</v>
      </c>
      <c r="G142" s="24" t="s">
        <v>288</v>
      </c>
      <c r="H142" s="124">
        <f t="shared" si="7"/>
        <v>43750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1111897.8600000001</v>
      </c>
      <c r="D144" s="141">
        <f>SUM(D130:D143)</f>
        <v>0</v>
      </c>
      <c r="E144" s="141">
        <f>SUM(E130:E143)</f>
        <v>159811.9</v>
      </c>
      <c r="F144" s="141">
        <f>SUM(F130:F143)</f>
        <v>0</v>
      </c>
      <c r="G144" s="141">
        <f>SUM(G130:G143)</f>
        <v>864200.8600000001</v>
      </c>
      <c r="H144" s="141">
        <f t="shared" si="7"/>
        <v>2135910.62</v>
      </c>
    </row>
    <row r="145" spans="1:9" ht="12.75" thickTop="1" thickBot="1" x14ac:dyDescent="0.25">
      <c r="A145" s="33" t="s">
        <v>244</v>
      </c>
      <c r="C145" s="86">
        <f>(C115+C128+C144)</f>
        <v>22009158.170000002</v>
      </c>
      <c r="D145" s="86">
        <f>(D115+D128+D144)</f>
        <v>646985.32000000007</v>
      </c>
      <c r="E145" s="86">
        <f>(E115+E128+E144)</f>
        <v>3050170.49</v>
      </c>
      <c r="F145" s="86">
        <f>(F115+F128+F144)</f>
        <v>0</v>
      </c>
      <c r="G145" s="86">
        <f>(G115+G128+G144)</f>
        <v>864200.8600000001</v>
      </c>
      <c r="H145" s="86">
        <f t="shared" si="7"/>
        <v>26570514.840000004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White Mountains Regional</v>
      </c>
    </row>
    <row r="3" spans="1:4" x14ac:dyDescent="0.2">
      <c r="B3" s="187" t="s">
        <v>1799</v>
      </c>
    </row>
    <row r="4" spans="1:4" x14ac:dyDescent="0.2">
      <c r="B4" t="s">
        <v>61</v>
      </c>
      <c r="C4" s="178">
        <f>IF('DOE25'!F666+'DOE25'!F671=0,0,ROUND('DOE25'!F673,0))</f>
        <v>21261</v>
      </c>
    </row>
    <row r="5" spans="1:4" x14ac:dyDescent="0.2">
      <c r="B5" t="s">
        <v>700</v>
      </c>
      <c r="C5" s="178">
        <f>IF('DOE25'!G666+'DOE25'!G671=0,0,ROUND('DOE25'!G673,0))</f>
        <v>0</v>
      </c>
    </row>
    <row r="6" spans="1:4" x14ac:dyDescent="0.2">
      <c r="B6" t="s">
        <v>62</v>
      </c>
      <c r="C6" s="178">
        <f>IF('DOE25'!H666+'DOE25'!H671=0,0,ROUND('DOE25'!H673,0))</f>
        <v>21995</v>
      </c>
    </row>
    <row r="7" spans="1:4" x14ac:dyDescent="0.2">
      <c r="B7" t="s">
        <v>701</v>
      </c>
      <c r="C7" s="178">
        <f>IF('DOE25'!I666+'DOE25'!I671=0,0,ROUND('DOE25'!I673,0))</f>
        <v>21517</v>
      </c>
    </row>
    <row r="9" spans="1:4" x14ac:dyDescent="0.2">
      <c r="A9" s="186" t="s">
        <v>94</v>
      </c>
      <c r="B9" s="187" t="s">
        <v>1800</v>
      </c>
      <c r="C9" s="180" t="s">
        <v>720</v>
      </c>
      <c r="D9" s="180" t="s">
        <v>721</v>
      </c>
    </row>
    <row r="10" spans="1:4" x14ac:dyDescent="0.2">
      <c r="A10">
        <v>1100</v>
      </c>
      <c r="B10" t="s">
        <v>702</v>
      </c>
      <c r="C10" s="178">
        <f>ROUND('DOE25'!L198+'DOE25'!L216+'DOE25'!L234+'DOE25'!L277+'DOE25'!L296+'DOE25'!L315,0)</f>
        <v>7245177</v>
      </c>
      <c r="D10" s="181">
        <f>ROUND((C10/$C$28)*100,1)</f>
        <v>29.6</v>
      </c>
    </row>
    <row r="11" spans="1:4" x14ac:dyDescent="0.2">
      <c r="A11">
        <v>1200</v>
      </c>
      <c r="B11" t="s">
        <v>703</v>
      </c>
      <c r="C11" s="178">
        <f>ROUND('DOE25'!L199+'DOE25'!L217+'DOE25'!L235+'DOE25'!L278+'DOE25'!L297+'DOE25'!L316,0)</f>
        <v>3194068</v>
      </c>
      <c r="D11" s="181">
        <f>ROUND((C11/$C$28)*100,1)</f>
        <v>13.1</v>
      </c>
    </row>
    <row r="12" spans="1:4" x14ac:dyDescent="0.2">
      <c r="A12">
        <v>1300</v>
      </c>
      <c r="B12" t="s">
        <v>704</v>
      </c>
      <c r="C12" s="178">
        <f>ROUND('DOE25'!L200+'DOE25'!L218+'DOE25'!L236+'DOE25'!L279+'DOE25'!L298+'DOE25'!L317,0)</f>
        <v>732164</v>
      </c>
      <c r="D12" s="181">
        <f>ROUND((C12/$C$28)*100,1)</f>
        <v>3</v>
      </c>
    </row>
    <row r="13" spans="1:4" x14ac:dyDescent="0.2">
      <c r="A13">
        <v>1400</v>
      </c>
      <c r="B13" t="s">
        <v>705</v>
      </c>
      <c r="C13" s="178">
        <f>ROUND('DOE25'!L201+'DOE25'!L219+'DOE25'!L237+'DOE25'!L280+'DOE25'!L299+'DOE25'!L318,0)</f>
        <v>660607</v>
      </c>
      <c r="D13" s="181">
        <f>ROUND((C13/$C$28)*100,1)</f>
        <v>2.7</v>
      </c>
    </row>
    <row r="14" spans="1:4" x14ac:dyDescent="0.2">
      <c r="D14" s="181"/>
    </row>
    <row r="15" spans="1:4" x14ac:dyDescent="0.2">
      <c r="A15">
        <v>2100</v>
      </c>
      <c r="B15" t="s">
        <v>706</v>
      </c>
      <c r="C15" s="178">
        <f>ROUND('DOE25'!L203+'DOE25'!L221+'DOE25'!L239+'DOE25'!L282+'DOE25'!L301+'DOE25'!L320,0)</f>
        <v>2392478</v>
      </c>
      <c r="D15" s="181">
        <f t="shared" ref="D15:D27" si="0">ROUND((C15/$C$28)*100,1)</f>
        <v>9.8000000000000007</v>
      </c>
    </row>
    <row r="16" spans="1:4" x14ac:dyDescent="0.2">
      <c r="A16">
        <v>2200</v>
      </c>
      <c r="B16" t="s">
        <v>707</v>
      </c>
      <c r="C16" s="178">
        <f>ROUND('DOE25'!L204+'DOE25'!L222+'DOE25'!L240+'DOE25'!L283+'DOE25'!L302+'DOE25'!L321,0)</f>
        <v>1305150</v>
      </c>
      <c r="D16" s="181">
        <f t="shared" si="0"/>
        <v>5.3</v>
      </c>
    </row>
    <row r="17" spans="1:4" x14ac:dyDescent="0.2">
      <c r="A17" s="182" t="s">
        <v>723</v>
      </c>
      <c r="B17" t="s">
        <v>738</v>
      </c>
      <c r="C17" s="178">
        <f>ROUND('DOE25'!L205+'DOE25'!L210+'DOE25'!L223+'DOE25'!L228+'DOE25'!L241+'DOE25'!L246+'DOE25'!L284+'DOE25'!L289+'DOE25'!L303+'DOE25'!L308+'DOE25'!L322+'DOE25'!L327,0)</f>
        <v>1540605</v>
      </c>
      <c r="D17" s="181">
        <f t="shared" si="0"/>
        <v>6.3</v>
      </c>
    </row>
    <row r="18" spans="1:4" x14ac:dyDescent="0.2">
      <c r="A18">
        <v>2400</v>
      </c>
      <c r="B18" t="s">
        <v>711</v>
      </c>
      <c r="C18" s="178">
        <f>ROUND('DOE25'!L206+'DOE25'!L224+'DOE25'!L242+'DOE25'!L285+'DOE25'!L304+'DOE25'!L323,0)</f>
        <v>1356351</v>
      </c>
      <c r="D18" s="181">
        <f t="shared" si="0"/>
        <v>5.5</v>
      </c>
    </row>
    <row r="19" spans="1:4" x14ac:dyDescent="0.2">
      <c r="A19">
        <v>2500</v>
      </c>
      <c r="B19" t="s">
        <v>708</v>
      </c>
      <c r="C19" s="178">
        <f>ROUND('DOE25'!L207+'DOE25'!L225+'DOE25'!L243+'DOE25'!L286+'DOE25'!L305+'DOE25'!L324,0)</f>
        <v>368143</v>
      </c>
      <c r="D19" s="181">
        <f t="shared" si="0"/>
        <v>1.5</v>
      </c>
    </row>
    <row r="20" spans="1:4" x14ac:dyDescent="0.2">
      <c r="A20">
        <v>2600</v>
      </c>
      <c r="B20" t="s">
        <v>709</v>
      </c>
      <c r="C20" s="178">
        <f>ROUND('DOE25'!L208+'DOE25'!L226+'DOE25'!L244+'DOE25'!L287+'DOE25'!L306+'DOE25'!L325,0)</f>
        <v>3582105</v>
      </c>
      <c r="D20" s="181">
        <f t="shared" si="0"/>
        <v>14.7</v>
      </c>
    </row>
    <row r="21" spans="1:4" x14ac:dyDescent="0.2">
      <c r="A21">
        <v>2700</v>
      </c>
      <c r="B21" t="s">
        <v>710</v>
      </c>
      <c r="C21" s="178">
        <f>ROUND('DOE25'!L209+'DOE25'!L227+'DOE25'!L245+'DOE25'!L288+'DOE25'!L307+'DOE25'!L326,0)</f>
        <v>1408465</v>
      </c>
      <c r="D21" s="181">
        <f t="shared" si="0"/>
        <v>5.8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2306</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43750</v>
      </c>
      <c r="D26" s="181">
        <f t="shared" si="0"/>
        <v>0.2</v>
      </c>
    </row>
    <row r="27" spans="1:4" x14ac:dyDescent="0.2">
      <c r="A27">
        <v>3100</v>
      </c>
      <c r="B27" t="s">
        <v>11</v>
      </c>
      <c r="C27" s="178">
        <f>ROUND('DOE25'!L363-'DOE25'!L362,0)-SUM('DOE25'!G97:G110)</f>
        <v>611553.92000000004</v>
      </c>
      <c r="D27" s="181">
        <f t="shared" si="0"/>
        <v>2.5</v>
      </c>
    </row>
    <row r="28" spans="1:4" x14ac:dyDescent="0.2">
      <c r="B28" s="186" t="s">
        <v>719</v>
      </c>
      <c r="C28" s="179">
        <f>SUM(C10:C27)</f>
        <v>24442922.920000002</v>
      </c>
      <c r="D28" s="183">
        <f>ROUND(SUM(D10:D27),0)</f>
        <v>100</v>
      </c>
    </row>
    <row r="29" spans="1:4" x14ac:dyDescent="0.2">
      <c r="A29">
        <v>4000</v>
      </c>
      <c r="B29" t="s">
        <v>724</v>
      </c>
      <c r="C29" s="178">
        <f>ROUND('DOE25'!L256+'DOE25'!L337+'DOE25'!L375+'DOE25'!L376+'DOE25'!L377+'DOE25'!L378+'DOE25'!L379+'DOE25'!L380+'DOE25'!L381,0)</f>
        <v>93021</v>
      </c>
    </row>
    <row r="30" spans="1:4" x14ac:dyDescent="0.2">
      <c r="B30" s="186" t="s">
        <v>725</v>
      </c>
      <c r="C30" s="179">
        <f>SUM(C28:C29)</f>
        <v>24535943.920000002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10108586</v>
      </c>
      <c r="D35" s="181">
        <f t="shared" ref="D35:D40" si="1">ROUND((C35/$C$41)*100,1)</f>
        <v>40.6</v>
      </c>
    </row>
    <row r="36" spans="1:4" x14ac:dyDescent="0.2">
      <c r="B36" s="184" t="s">
        <v>739</v>
      </c>
      <c r="C36" s="178">
        <f>SUM('DOE25'!F112:J112)-SUM('DOE25'!G97:G110)+('DOE25'!F175+'DOE25'!F176+'DOE25'!I175+'DOE25'!I176)-C35</f>
        <v>1596569.1999999993</v>
      </c>
      <c r="D36" s="181">
        <f t="shared" si="1"/>
        <v>6.4</v>
      </c>
    </row>
    <row r="37" spans="1:4" x14ac:dyDescent="0.2">
      <c r="A37" s="182" t="s">
        <v>835</v>
      </c>
      <c r="B37" s="184" t="s">
        <v>728</v>
      </c>
      <c r="C37" s="178">
        <f>ROUND('DOE25'!F117+'DOE25'!F118,0)</f>
        <v>9053421</v>
      </c>
      <c r="D37" s="181">
        <f t="shared" si="1"/>
        <v>36.299999999999997</v>
      </c>
    </row>
    <row r="38" spans="1:4" x14ac:dyDescent="0.2">
      <c r="A38" s="182" t="s">
        <v>734</v>
      </c>
      <c r="B38" s="184" t="s">
        <v>729</v>
      </c>
      <c r="C38" s="178">
        <f>ROUND(SUM('DOE25'!F140:J140)-SUM('DOE25'!F117:F119),0)</f>
        <v>499901</v>
      </c>
      <c r="D38" s="181">
        <f t="shared" si="1"/>
        <v>2</v>
      </c>
    </row>
    <row r="39" spans="1:4" x14ac:dyDescent="0.2">
      <c r="A39">
        <v>4000</v>
      </c>
      <c r="B39" s="184" t="s">
        <v>730</v>
      </c>
      <c r="C39" s="178">
        <f>ROUND('DOE25'!F170+'DOE25'!G170+'DOE25'!H170+'DOE25'!I170,0)</f>
        <v>3658141</v>
      </c>
      <c r="D39" s="181">
        <f t="shared" si="1"/>
        <v>14.7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24916618.199999999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White Mountains Regional</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4</v>
      </c>
      <c r="B4" s="218">
        <v>10</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92</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313</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f>IF('School Level Expenditures'!$B$2='School Tables'!W95,'School Tables'!AD95,"")</f>
        <v>92</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f>IF('School Level Expenditures'!$B$2=A158,'School Tables'!H158,"")</f>
        <v>155</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f>IF('School Level Expenditures'!$B$2=A316,'School Tables'!H316,"")</f>
        <v>313</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2022-12-20T17:35:27Z</dcterms:modified>
</cp:coreProperties>
</file>