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2B75B21-3D42-4E08-A5AB-17E65DBA818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E124"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C12" i="10" l="1"/>
  <c r="H72" i="2"/>
  <c r="H140" i="1"/>
  <c r="G62" i="2"/>
  <c r="E125" i="2"/>
  <c r="E112" i="2"/>
  <c r="H112" i="2" s="1"/>
  <c r="H76" i="2"/>
  <c r="E121" i="2"/>
  <c r="F409" i="1"/>
  <c r="H644" i="1" s="1"/>
  <c r="C13" i="10"/>
  <c r="H99" i="2"/>
  <c r="H58" i="2"/>
  <c r="H477" i="1"/>
  <c r="H625" i="1" s="1"/>
  <c r="I409" i="1"/>
  <c r="H101" i="2"/>
  <c r="H79" i="2"/>
  <c r="H25" i="2"/>
  <c r="H102" i="2"/>
  <c r="H100" i="2"/>
  <c r="H98" i="2"/>
  <c r="H73" i="2"/>
  <c r="D6" i="13"/>
  <c r="C6" i="13" s="1"/>
  <c r="E13" i="13"/>
  <c r="C13" i="13" s="1"/>
  <c r="H125" i="2"/>
  <c r="J652" i="1"/>
  <c r="C110" i="2"/>
  <c r="C121" i="2"/>
  <c r="C120" i="2"/>
  <c r="H120" i="2" s="1"/>
  <c r="A40" i="12"/>
  <c r="G477" i="1"/>
  <c r="H624" i="1" s="1"/>
  <c r="J624" i="1" s="1"/>
  <c r="G662" i="1"/>
  <c r="H15" i="2"/>
  <c r="G646" i="1"/>
  <c r="D144" i="2"/>
  <c r="H97" i="2"/>
  <c r="H93" i="2"/>
  <c r="H87" i="2"/>
  <c r="H61" i="2"/>
  <c r="H26" i="2"/>
  <c r="H22" i="2"/>
  <c r="H113" i="2"/>
  <c r="H132" i="2"/>
  <c r="H36" i="2"/>
  <c r="H44" i="2"/>
  <c r="H48" i="2"/>
  <c r="H35" i="2"/>
  <c r="H13" i="2"/>
  <c r="H9" i="2"/>
  <c r="H69" i="2"/>
  <c r="H30" i="2"/>
  <c r="H28" i="2"/>
  <c r="H17" i="2"/>
  <c r="H12" i="2"/>
  <c r="H23" i="2"/>
  <c r="H11" i="2"/>
  <c r="H96" i="2"/>
  <c r="H80" i="2"/>
  <c r="H77" i="2"/>
  <c r="H143" i="2"/>
  <c r="H38" i="2"/>
  <c r="H43" i="2"/>
  <c r="H47" i="2"/>
  <c r="H89" i="2"/>
  <c r="H59" i="2"/>
  <c r="H34" i="2"/>
  <c r="H94" i="2"/>
  <c r="H29" i="2"/>
  <c r="H27" i="2"/>
  <c r="H24" i="2"/>
  <c r="H8" i="2"/>
  <c r="G409" i="1"/>
  <c r="H646" i="1" s="1"/>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1" i="2" l="1"/>
  <c r="H123" i="2"/>
  <c r="H109" i="2"/>
  <c r="E51" i="2"/>
  <c r="J646" i="1"/>
  <c r="E115" i="2"/>
  <c r="H42" i="2"/>
  <c r="F661" i="1"/>
  <c r="F665" i="1" s="1"/>
  <c r="F668" i="1" s="1"/>
  <c r="L572" i="1"/>
  <c r="H85" i="2"/>
  <c r="I663" i="1"/>
  <c r="F194" i="1"/>
  <c r="G628" i="1" s="1"/>
  <c r="J628" i="1" s="1"/>
  <c r="B33" i="16"/>
  <c r="H18" i="2"/>
  <c r="D51" i="2"/>
  <c r="D128" i="2"/>
  <c r="D145" i="2" s="1"/>
  <c r="H127" i="2"/>
  <c r="H103" i="2"/>
  <c r="C81" i="2"/>
  <c r="H81" i="2" s="1"/>
  <c r="H78" i="2"/>
  <c r="H57" i="2"/>
  <c r="H134" i="2"/>
  <c r="H62" i="2"/>
  <c r="H21" i="2"/>
  <c r="H16" i="2"/>
  <c r="H31" i="2"/>
  <c r="H50" i="2"/>
  <c r="E128" i="2"/>
  <c r="H9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E145" i="2"/>
  <c r="H673" i="1"/>
  <c r="C6" i="10" s="1"/>
  <c r="H128" i="2"/>
  <c r="H51" i="2"/>
  <c r="C104" i="2"/>
  <c r="H104" i="2" s="1"/>
  <c r="H63" i="2"/>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<sst xmlns="http://schemas.openxmlformats.org/spreadsheetml/2006/main" count="6552" uniqueCount="1818">
  <si>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</si>
  <si>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</si>
  <si>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</si>
  <si>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</si>
  <si>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</si>
  <si>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</si>
  <si>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</si>
  <si>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</si>
  <si>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</si>
  <si>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</si>
  <si>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</si>
  <si>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</si>
  <si>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</si>
  <si>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</si>
  <si>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</si>
  <si>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</si>
  <si>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</si>
  <si>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</si>
  <si>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</si>
  <si>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</si>
  <si>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</si>
  <si>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</si>
  <si>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</si>
  <si>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</si>
  <si>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</si>
  <si>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</si>
  <si>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</si>
  <si>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</si>
  <si>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</si>
  <si>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</si>
  <si>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</si>
  <si>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</si>
  <si>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</si>
  <si>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</si>
  <si>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</si>
  <si>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</si>
  <si>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</si>
  <si>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</si>
  <si>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</si>
  <si>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</si>
  <si>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</si>
  <si>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</si>
  <si>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</si>
  <si>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</si>
  <si>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</si>
  <si>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</si>
  <si>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</si>
  <si>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</si>
  <si>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</si>
  <si>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</si>
  <si>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</si>
  <si>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</si>
  <si>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</si>
  <si>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</si>
  <si>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</si>
  <si>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</si>
  <si>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</si>
  <si>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</si>
  <si>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</si>
  <si>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</si>
  <si>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</si>
  <si>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</si>
  <si>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</si>
  <si>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</si>
  <si>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</si>
  <si>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</si>
  <si>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</si>
  <si>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</si>
  <si>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</si>
  <si>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</si>
  <si>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</si>
  <si>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</si>
  <si>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</si>
  <si>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</si>
  <si>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</si>
  <si>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</si>
  <si>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</si>
  <si>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</si>
  <si>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</si>
  <si>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</si>
  <si>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</si>
  <si>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</si>
  <si>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</si>
  <si>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</si>
  <si>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</si>
  <si>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</si>
  <si>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</si>
  <si>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</si>
  <si>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</si>
  <si>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</si>
  <si>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</si>
  <si>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</si>
  <si>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</si>
  <si>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</si>
  <si>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</si>
  <si>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</si>
  <si>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</si>
  <si>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</si>
  <si>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</si>
  <si>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</si>
  <si>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</si>
  <si>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</si>
  <si>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</si>
  <si>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</si>
  <si>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</si>
  <si>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</si>
  <si>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</si>
  <si>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</si>
  <si>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</si>
  <si>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</si>
  <si>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</si>
  <si>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</si>
  <si>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</si>
  <si>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</si>
  <si>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</si>
  <si>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</si>
  <si>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</si>
  <si>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</si>
  <si>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</si>
  <si>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</si>
  <si>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</si>
  <si>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</si>
  <si>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</si>
  <si>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</si>
  <si>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</si>
  <si>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</si>
  <si>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</si>
  <si>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</si>
  <si>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</si>
  <si>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</si>
  <si>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</si>
  <si>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</si>
  <si>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</si>
  <si>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</si>
  <si>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</si>
  <si>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</si>
  <si>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</si>
  <si>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</si>
  <si>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</si>
  <si>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</si>
  <si>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</si>
  <si>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</si>
  <si>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</si>
  <si>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</si>
  <si>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</si>
  <si>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</si>
  <si>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</si>
  <si>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</si>
  <si>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</si>
  <si>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</si>
  <si>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</si>
  <si>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</si>
  <si>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</si>
  <si>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</si>
  <si>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</si>
  <si>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</si>
  <si>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</si>
  <si>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</si>
  <si>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</si>
  <si>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</si>
  <si>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</si>
  <si>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</si>
  <si>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</si>
  <si>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</si>
  <si>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</si>
  <si>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</si>
  <si>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</si>
  <si>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</si>
  <si>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</si>
  <si>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</si>
  <si>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</si>
  <si>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</si>
  <si>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</si>
  <si>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</si>
  <si>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</si>
  <si>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</si>
  <si>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</si>
  <si>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</si>
  <si>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</si>
  <si>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</si>
  <si>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</si>
  <si>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</si>
  <si>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</si>
  <si>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</si>
  <si>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</si>
  <si>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</si>
  <si>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</si>
  <si>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</si>
  <si>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</si>
  <si>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</si>
  <si>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</si>
  <si>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</si>
  <si>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</si>
  <si>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</si>
  <si>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</si>
  <si>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</si>
  <si>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</si>
  <si>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</si>
  <si>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</si>
  <si>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</si>
  <si>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</si>
  <si>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</si>
  <si>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</si>
  <si>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</si>
  <si>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</si>
  <si>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</si>
  <si>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</si>
  <si>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</si>
  <si>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</si>
  <si>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</si>
  <si>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</si>
  <si>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</si>
  <si>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</si>
  <si>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</si>
  <si>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</si>
  <si>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</si>
  <si>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</si>
  <si>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</si>
  <si>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</si>
  <si>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</si>
  <si>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</si>
  <si>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</si>
  <si>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</si>
  <si>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</si>
  <si>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</si>
  <si>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</si>
  <si>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</si>
  <si>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</si>
  <si>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</si>
  <si>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</si>
  <si>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</si>
  <si>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</si>
  <si>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</si>
  <si>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</si>
  <si>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</si>
  <si>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</si>
  <si>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</si>
  <si>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</si>
  <si>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</si>
  <si>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</si>
  <si>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</si>
  <si>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</si>
  <si>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</si>
  <si>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</si>
  <si>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</si>
  <si>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</si>
  <si>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</si>
  <si>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</si>
  <si>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</si>
  <si>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</si>
  <si>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</si>
  <si>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</si>
  <si>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</si>
  <si>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</si>
  <si>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</si>
  <si>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</si>
  <si>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</si>
  <si>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</si>
  <si>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</si>
  <si>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</si>
  <si>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</si>
  <si>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</si>
  <si>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</si>
  <si>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</si>
  <si>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</si>
  <si>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</si>
  <si>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</si>
  <si>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</si>
  <si>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</si>
  <si>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</si>
  <si>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</si>
  <si>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</si>
  <si>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</si>
  <si>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</si>
  <si>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</si>
  <si>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</si>
  <si>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</si>
  <si>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</si>
  <si>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</si>
  <si>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</si>
  <si>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</si>
  <si>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</si>
  <si>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</si>
  <si>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</si>
  <si>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</si>
  <si>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</si>
  <si>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</si>
  <si>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</si>
  <si>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</si>
  <si>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</si>
  <si>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</si>
  <si>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</si>
  <si>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</si>
  <si>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</si>
  <si>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</si>
  <si>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</si>
  <si>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</si>
  <si>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</si>
  <si>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</si>
  <si>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</si>
  <si>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</si>
  <si>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</si>
  <si>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</si>
  <si>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</si>
  <si>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</si>
  <si>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</si>
  <si>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</si>
  <si>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</si>
  <si>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</si>
  <si>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</si>
  <si>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</si>
  <si>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</si>
  <si>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</si>
  <si>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</si>
  <si>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</si>
  <si>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</si>
  <si>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</si>
  <si>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</si>
  <si>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</si>
  <si>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</si>
  <si>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</si>
  <si>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</si>
  <si>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</si>
  <si>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</si>
  <si>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</si>
  <si>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</si>
  <si>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</si>
  <si>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</si>
  <si>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</si>
  <si>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</si>
  <si>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</si>
  <si>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</si>
  <si>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</si>
  <si>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</si>
  <si>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</si>
  <si>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</si>
  <si>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</si>
  <si>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</si>
  <si>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</si>
  <si>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</si>
  <si>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</si>
  <si>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</si>
  <si>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</si>
  <si>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</si>
  <si>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</si>
  <si>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</si>
  <si>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</si>
  <si>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</si>
  <si>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</si>
  <si>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</si>
  <si>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</si>
  <si>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</si>
  <si>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</si>
  <si>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</si>
  <si>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</si>
  <si>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</si>
  <si>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</si>
  <si>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</si>
  <si>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</si>
  <si>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</si>
  <si>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</si>
  <si>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</si>
  <si>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</si>
  <si>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</si>
  <si>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</si>
  <si>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</si>
  <si>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</si>
  <si>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</si>
  <si>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</si>
  <si>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</si>
  <si>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</si>
  <si>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</si>
  <si>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</si>
  <si>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</si>
  <si>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</si>
  <si>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</si>
  <si>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</si>
  <si>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</si>
  <si>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</si>
  <si>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</si>
  <si>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</si>
  <si>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</si>
  <si>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</si>
  <si>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</si>
  <si>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</si>
  <si>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</si>
  <si>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</si>
  <si>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</si>
  <si>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</si>
  <si>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</si>
  <si>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</si>
  <si>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</si>
  <si>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</si>
  <si>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</si>
  <si>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</si>
  <si>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</si>
  <si>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</si>
  <si>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</si>
  <si>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</si>
  <si>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</si>
  <si>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</si>
  <si>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</si>
  <si>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</si>
  <si>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</si>
  <si>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</si>
  <si>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</si>
  <si>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</si>
  <si>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</si>
  <si>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</si>
  <si>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</si>
  <si>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</si>
  <si>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</si>
  <si>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</si>
  <si>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</si>
  <si>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</si>
  <si>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</si>
  <si>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</si>
  <si>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</si>
  <si>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</si>
  <si>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</si>
  <si>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</si>
  <si>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</si>
  <si>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</si>
  <si>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</si>
  <si>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</si>
  <si>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</si>
  <si>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</si>
  <si>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</si>
  <si>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</si>
  <si>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</si>
  <si>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</si>
  <si>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</si>
  <si>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</si>
  <si>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</si>
  <si>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</si>
  <si>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</si>
  <si>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</si>
  <si>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</si>
  <si>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</si>
  <si>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</si>
  <si>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</si>
  <si>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</si>
  <si>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</si>
  <si>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</si>
  <si>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</si>
  <si>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</si>
  <si>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</si>
  <si>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</si>
  <si>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</si>
  <si>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</si>
  <si>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</si>
  <si>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</si>
  <si>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</si>
  <si>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</si>
  <si>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</si>
  <si>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</si>
  <si>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</si>
  <si>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</si>
  <si>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</si>
  <si>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</si>
  <si>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</si>
  <si>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</si>
  <si>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</si>
  <si>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</si>
  <si>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</si>
  <si>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</si>
  <si>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</si>
  <si>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</si>
  <si>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</si>
  <si>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</si>
  <si>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</si>
  <si>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</si>
  <si>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</si>
  <si>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</si>
  <si>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</si>
  <si>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</si>
  <si>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</si>
  <si>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</si>
  <si>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</si>
  <si>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</si>
  <si>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</si>
  <si>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</si>
  <si>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</si>
  <si>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</si>
  <si>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</si>
  <si>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</si>
  <si>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</si>
  <si>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</si>
  <si>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</si>
  <si>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</si>
  <si>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</si>
  <si>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</si>
  <si>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</si>
  <si>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</si>
  <si>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</si>
  <si>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</si>
  <si>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</si>
  <si>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</si>
  <si>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</si>
  <si>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</si>
  <si>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</si>
  <si>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</si>
  <si>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</si>
  <si>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</si>
  <si>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</si>
  <si>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</si>
  <si>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</si>
  <si>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</si>
  <si>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</si>
  <si>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</si>
  <si>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</si>
  <si>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</si>
  <si>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</si>
  <si>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</si>
  <si>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</si>
  <si>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</si>
  <si>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</si>
  <si>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</si>
  <si>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</si>
  <si>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</si>
  <si>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</si>
  <si>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</si>
  <si>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</si>
  <si>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</si>
  <si>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</si>
  <si>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</si>
  <si>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</si>
  <si>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</si>
  <si>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</si>
  <si>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</si>
  <si>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</si>
  <si>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</si>
  <si>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</si>
  <si>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</si>
  <si>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</si>
  <si>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</si>
  <si>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</si>
  <si>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</si>
  <si>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</si>
  <si>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</si>
  <si>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</si>
  <si>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</si>
  <si>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</si>
  <si>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</si>
  <si>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</si>
  <si>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</si>
  <si>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</si>
  <si>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</si>
  <si>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</si>
  <si>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</si>
  <si>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</si>
  <si>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</si>
  <si>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</si>
  <si>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</si>
  <si>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</si>
  <si>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</si>
  <si>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</si>
  <si>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</si>
  <si>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</si>
  <si>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</si>
  <si>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</si>
  <si>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</si>
  <si>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</si>
  <si>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</si>
  <si>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</si>
  <si>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</si>
  <si>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</si>
  <si>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</si>
  <si>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</si>
  <si>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</si>
  <si>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</si>
  <si>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</si>
  <si>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</si>
  <si>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</si>
  <si>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</si>
  <si>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</si>
  <si>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</si>
  <si>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</si>
  <si>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</si>
  <si>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</si>
  <si>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</si>
  <si>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</si>
  <si>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</si>
  <si>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</si>
  <si>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</si>
  <si>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</si>
  <si>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</si>
  <si>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</si>
  <si>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</si>
  <si>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</si>
  <si>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</si>
  <si>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</si>
  <si>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</si>
  <si>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</si>
  <si>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</si>
  <si>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</si>
  <si>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</si>
  <si>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</si>
  <si>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</si>
  <si>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</si>
  <si>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</si>
  <si>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</si>
  <si>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</si>
  <si>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</si>
  <si>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</si>
  <si>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</si>
  <si>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</si>
  <si>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</si>
  <si>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</si>
  <si>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</si>
  <si>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</si>
  <si>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</si>
  <si>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</si>
  <si>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</si>
  <si>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</si>
  <si>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</si>
  <si>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</si>
  <si>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</si>
  <si>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</si>
  <si>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</si>
  <si>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</si>
  <si>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</si>
  <si>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</si>
  <si>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</si>
  <si>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</si>
  <si>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</si>
  <si>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</si>
  <si>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</si>
  <si>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</si>
  <si>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</si>
  <si>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</si>
  <si>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</si>
  <si>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</si>
  <si>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</si>
  <si>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</si>
  <si>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</si>
  <si>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</si>
  <si>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</si>
  <si>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</si>
  <si>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</si>
  <si>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</si>
  <si>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</si>
  <si>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</si>
  <si>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</si>
  <si>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</si>
  <si>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</si>
  <si>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</si>
  <si>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</si>
  <si>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</si>
  <si>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</si>
  <si>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</si>
  <si>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</si>
  <si>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</si>
  <si>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</si>
  <si>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</si>
  <si>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</si>
  <si>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</si>
  <si>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</si>
  <si>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</si>
  <si>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</si>
  <si>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</si>
  <si>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</si>
  <si>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</si>
  <si>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</si>
  <si>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</si>
  <si>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</si>
  <si>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</si>
  <si>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</si>
  <si>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</si>
  <si>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</si>
  <si>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</si>
  <si>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</si>
  <si>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</si>
  <si>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</si>
  <si>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</si>
  <si>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</si>
  <si>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</si>
  <si>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</si>
  <si>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</si>
  <si>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</si>
  <si>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</si>
  <si>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</si>
  <si>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</si>
  <si>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</si>
  <si>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</si>
  <si>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</si>
  <si>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</si>
  <si>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</si>
  <si>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</si>
  <si>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</si>
  <si>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</si>
  <si>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</si>
  <si>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</si>
  <si>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</si>
  <si>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</si>
  <si>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</si>
  <si>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</si>
  <si>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</si>
  <si>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</si>
  <si>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</si>
  <si>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</si>
  <si>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</si>
  <si>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</si>
  <si>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</si>
  <si>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</si>
  <si>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</si>
  <si>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</si>
  <si>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</si>
  <si>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</si>
  <si>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</si>
  <si>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</si>
  <si>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</si>
  <si>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</si>
  <si>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</si>
  <si>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</si>
  <si>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</si>
  <si>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</si>
  <si>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</si>
  <si>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</si>
  <si>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</si>
  <si>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</si>
  <si>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</si>
  <si>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</si>
  <si>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</si>
  <si>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</si>
  <si>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</si>
  <si>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</si>
  <si>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</si>
  <si>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</si>
  <si>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</si>
  <si>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</si>
  <si>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</si>
  <si>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</si>
  <si>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</si>
  <si>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</si>
  <si>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</si>
  <si>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</si>
  <si>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</si>
  <si>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</si>
  <si>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</si>
  <si>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</si>
  <si>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</si>
  <si>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</si>
  <si>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</si>
  <si>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</si>
  <si>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</si>
  <si>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</si>
  <si>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</si>
  <si>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</si>
  <si>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</si>
  <si>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</si>
  <si>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</si>
  <si>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</si>
  <si>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</si>
  <si>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</si>
  <si>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</si>
  <si>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</si>
  <si>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</si>
  <si>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</si>
  <si>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</si>
  <si>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</si>
  <si>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</si>
  <si>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</si>
  <si>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</si>
  <si>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</si>
  <si>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</si>
  <si>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</si>
  <si>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</si>
  <si>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</si>
  <si>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</si>
  <si>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</si>
  <si>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</si>
  <si>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</si>
  <si>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</si>
  <si>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</si>
  <si>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</si>
  <si>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</si>
  <si>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</si>
  <si>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</si>
  <si>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</si>
  <si>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</si>
  <si>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</si>
  <si>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</si>
  <si>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</si>
  <si>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</si>
  <si>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</si>
  <si>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</si>
  <si>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</si>
  <si>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</si>
  <si>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</si>
  <si>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</si>
  <si>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</si>
  <si>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</si>
  <si>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</si>
  <si>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</si>
  <si>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</si>
  <si>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</si>
  <si>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</si>
  <si>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</si>
  <si>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</si>
  <si>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</si>
  <si>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</si>
  <si>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</si>
  <si>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</si>
  <si>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</si>
  <si>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</si>
  <si>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</si>
  <si>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</si>
  <si>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</si>
  <si>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</si>
  <si>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</si>
  <si>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</si>
  <si>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</si>
  <si>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</si>
  <si>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</si>
  <si>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</si>
  <si>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</si>
  <si>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</si>
  <si>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</si>
  <si>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</si>
  <si>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</si>
  <si>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</si>
  <si>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</si>
  <si>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</si>
  <si>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</si>
  <si>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</si>
  <si>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</si>
  <si>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</si>
  <si>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</si>
  <si>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</si>
  <si>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</si>
  <si>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</si>
  <si>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</si>
  <si>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</si>
  <si>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</si>
  <si>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</si>
  <si>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</si>
  <si>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</si>
  <si>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</si>
  <si>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</si>
  <si>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</si>
  <si>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</si>
  <si>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</si>
  <si>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</si>
  <si>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</si>
  <si>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</si>
  <si>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</si>
  <si>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</si>
  <si>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</si>
  <si>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</si>
  <si>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</si>
  <si>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</si>
  <si>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</si>
  <si>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</si>
  <si>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</si>
  <si>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</si>
  <si>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</si>
  <si>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</si>
  <si>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</si>
  <si>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</si>
  <si>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</si>
  <si>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</si>
  <si>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</si>
  <si>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</si>
  <si>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</si>
  <si>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</si>
  <si>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</si>
  <si>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</si>
  <si>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</si>
  <si>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</si>
  <si>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</si>
  <si>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</si>
  <si>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</si>
  <si>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</si>
  <si>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</si>
  <si>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</si>
  <si>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</si>
  <si>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</si>
  <si>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</si>
  <si>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</si>
  <si>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</si>
  <si>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</si>
  <si>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</si>
  <si>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</si>
  <si>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</si>
  <si>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</si>
  <si>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</si>
  <si>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</si>
  <si>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</si>
  <si>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</si>
  <si>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</si>
  <si>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</si>
  <si>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</si>
  <si>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</si>
  <si>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</si>
  <si>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</si>
  <si>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</si>
  <si>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</si>
  <si>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</si>
  <si>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</si>
  <si>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</si>
  <si>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</si>
  <si>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</si>
  <si>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</si>
  <si>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</si>
  <si>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</si>
  <si>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</si>
  <si>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</si>
  <si>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</si>
  <si>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</si>
  <si>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</si>
  <si>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</si>
  <si>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</si>
  <si>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</si>
  <si>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</si>
  <si>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</si>
  <si>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</si>
  <si>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</si>
  <si>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</si>
  <si>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</si>
  <si>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</si>
  <si>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</si>
  <si>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</si>
  <si>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</si>
  <si>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</si>
  <si>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</si>
  <si>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</si>
  <si>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</si>
  <si>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</si>
  <si>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</si>
  <si>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</si>
  <si>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</si>
  <si>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</si>
  <si>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</si>
  <si>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</si>
  <si>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</si>
  <si>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</si>
  <si>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</si>
  <si>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</si>
  <si>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</si>
  <si>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</si>
  <si>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</si>
  <si>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</si>
  <si>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</si>
  <si>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</si>
  <si>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</si>
  <si>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</si>
  <si>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</si>
  <si>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</si>
  <si>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</si>
  <si>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</si>
  <si>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</si>
  <si>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</si>
  <si>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</si>
  <si>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</si>
  <si>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</si>
  <si>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</si>
  <si>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</si>
  <si>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</si>
  <si>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</si>
  <si>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</si>
  <si>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</si>
  <si>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</si>
  <si>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</si>
  <si>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</si>
  <si>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</si>
  <si>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</si>
  <si>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</si>
  <si>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</si>
  <si>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</si>
  <si>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</si>
  <si>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</si>
  <si>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</si>
  <si>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</si>
  <si>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</si>
  <si>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</si>
  <si>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</si>
  <si>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</si>
  <si>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</si>
  <si>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</si>
  <si>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</si>
  <si>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</si>
  <si>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</si>
  <si>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</si>
  <si>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</si>
  <si>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</si>
  <si>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</si>
  <si>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</si>
  <si>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</si>
  <si>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</si>
  <si>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</si>
  <si>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</si>
  <si>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</si>
  <si>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</si>
  <si>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</si>
  <si>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</si>
  <si>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</si>
  <si>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</si>
  <si>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</si>
  <si>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</si>
  <si>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</si>
  <si>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</si>
  <si>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</si>
  <si>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</si>
  <si>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</si>
  <si>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</si>
  <si>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</si>
  <si>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</si>
  <si>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</si>
  <si>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</si>
  <si>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</si>
  <si>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</si>
  <si>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</si>
  <si>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</si>
  <si>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</si>
  <si>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</si>
  <si>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</si>
  <si>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</si>
  <si>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</si>
  <si>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</si>
  <si>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</si>
  <si>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</si>
  <si>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</si>
  <si>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</si>
  <si>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</si>
  <si>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</si>
  <si>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</si>
  <si>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</si>
  <si>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</si>
  <si>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</si>
  <si>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</si>
  <si>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</si>
  <si>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</si>
  <si>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</si>
  <si>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</si>
  <si>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</si>
  <si>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</si>
  <si>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</si>
  <si>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</si>
  <si>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</si>
  <si>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</si>
  <si>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</si>
  <si>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</si>
  <si>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</si>
  <si>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</si>
  <si>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</si>
  <si>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</si>
  <si>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</si>
  <si>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</si>
  <si>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</si>
  <si>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</si>
  <si>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</si>
  <si>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</si>
  <si>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</si>
  <si>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</si>
  <si>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</si>
  <si>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</si>
  <si>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</si>
  <si>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</si>
  <si>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</si>
  <si>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</si>
  <si>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</si>
  <si>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</si>
  <si>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</si>
  <si>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</si>
  <si>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</si>
  <si>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</si>
  <si>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</si>
  <si>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</si>
  <si>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</si>
  <si>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</si>
  <si>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</si>
  <si>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</si>
  <si>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</si>
  <si>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</si>
  <si>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</si>
  <si>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</si>
  <si>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</si>
  <si>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</si>
  <si>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</si>
  <si>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</si>
  <si>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</si>
  <si>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</si>
  <si>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</si>
  <si>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</si>
  <si>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</si>
  <si>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</si>
  <si>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</si>
  <si>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</si>
  <si>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</si>
  <si>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</si>
  <si>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</si>
  <si>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</si>
  <si>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</si>
  <si>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</si>
  <si>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</si>
  <si>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</si>
  <si>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</si>
  <si>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</si>
  <si>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</si>
  <si>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</si>
  <si>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</si>
  <si>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</si>
  <si>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</si>
  <si>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</si>
  <si>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</si>
  <si>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</si>
  <si>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</si>
  <si>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</si>
  <si>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</si>
  <si>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</si>
  <si>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</si>
  <si>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</si>
  <si>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</si>
  <si>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</si>
  <si>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</si>
  <si>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</si>
  <si>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</si>
  <si>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</si>
  <si>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</si>
  <si>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</si>
  <si>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</si>
  <si>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</si>
  <si>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</si>
  <si>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</si>
  <si>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</si>
  <si>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</si>
  <si>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</si>
  <si>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</si>
  <si>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</si>
  <si>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</si>
  <si>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</si>
  <si>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</si>
  <si>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</si>
  <si>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</si>
  <si>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</si>
  <si>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</si>
  <si>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</si>
  <si>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</si>
  <si>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</si>
  <si>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</si>
  <si>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</si>
  <si>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</si>
  <si>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</si>
  <si>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</si>
  <si>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</si>
  <si>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</si>
  <si>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</si>
  <si>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</si>
  <si>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</si>
  <si>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</si>
  <si>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</si>
  <si>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</si>
  <si>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</si>
  <si>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</si>
  <si>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</si>
  <si>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</si>
  <si>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</si>
  <si>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</si>
  <si>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</si>
  <si>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</si>
  <si>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</si>
  <si>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</si>
  <si>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</si>
  <si>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</si>
  <si>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</si>
  <si>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</si>
  <si>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</si>
  <si>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</si>
  <si>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</si>
  <si>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</si>
  <si>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</si>
  <si>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</si>
  <si>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</si>
  <si>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</si>
  <si>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</si>
  <si>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</si>
  <si>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</si>
  <si>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</si>
  <si>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</si>
  <si>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</si>
  <si>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</si>
  <si>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</si>
  <si>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</si>
  <si>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</si>
  <si>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</si>
  <si>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</si>
  <si>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</si>
  <si>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</si>
  <si>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</si>
  <si>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</si>
  <si>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</si>
  <si>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</si>
  <si>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</si>
  <si>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</si>
  <si>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</si>
  <si>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</si>
  <si>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</si>
  <si>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</si>
  <si>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</si>
  <si>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</si>
  <si>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</si>
  <si>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</si>
  <si>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</si>
  <si>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</si>
  <si>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</si>
  <si>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</si>
  <si>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</si>
  <si>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</si>
  <si>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</si>
  <si>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</si>
  <si>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</si>
  <si>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</si>
  <si>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</si>
  <si>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</si>
  <si>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</si>
  <si>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</si>
  <si>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</si>
  <si>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</si>
  <si>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</si>
  <si>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</si>
  <si>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</si>
  <si>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</si>
  <si>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</si>
  <si>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</si>
  <si>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</si>
  <si>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</si>
  <si>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</si>
  <si>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</si>
  <si>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</si>
  <si>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</si>
  <si>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</si>
  <si>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</si>
  <si>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</si>
  <si>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</si>
  <si>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</si>
  <si>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</si>
  <si>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</si>
  <si>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</si>
  <si>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</si>
  <si>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</si>
  <si>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</si>
  <si>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</si>
  <si>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</si>
  <si>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</si>
  <si>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</si>
  <si>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</si>
  <si>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</si>
  <si>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</si>
  <si>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</si>
  <si>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</si>
  <si>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</si>
  <si>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</si>
  <si>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</si>
  <si>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</si>
  <si>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</si>
  <si>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</si>
  <si>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</si>
  <si>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</si>
  <si>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</si>
  <si>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</si>
  <si>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</si>
  <si>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</si>
  <si>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</si>
  <si>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</si>
  <si>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</si>
  <si>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</si>
  <si>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</si>
  <si>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</si>
  <si>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</si>
  <si>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</si>
  <si>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</si>
  <si>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</si>
  <si>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</si>
  <si>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</si>
  <si>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</si>
  <si>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</si>
  <si>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</si>
  <si>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</si>
  <si>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</si>
  <si>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</si>
  <si>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</si>
  <si>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</si>
  <si>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</si>
  <si>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</si>
  <si>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</si>
  <si>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</si>
  <si>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</si>
  <si>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</si>
  <si>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</si>
  <si>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</si>
  <si>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</si>
  <si>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</si>
  <si>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</si>
  <si>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</si>
  <si>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</si>
  <si>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</si>
  <si>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</si>
  <si>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</si>
  <si>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</si>
  <si>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</si>
  <si>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</si>
  <si>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</si>
  <si>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</si>
  <si>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</si>
  <si>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</si>
  <si>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</si>
  <si>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</si>
  <si>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</si>
  <si>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</si>
  <si>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</si>
  <si>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</si>
  <si>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</si>
  <si>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</si>
  <si>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</si>
  <si>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</si>
  <si>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</si>
  <si>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</si>
  <si>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</si>
  <si>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</si>
  <si>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</si>
  <si>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</si>
  <si>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</si>
  <si>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</si>
  <si>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</si>
  <si>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</si>
  <si>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</si>
  <si>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</si>
  <si>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</si>
  <si>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</si>
  <si>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</si>
  <si>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</si>
  <si>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</si>
  <si>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</si>
  <si>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</si>
  <si>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</si>
  <si>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</si>
  <si>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</si>
  <si>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</si>
  <si>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</si>
  <si>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</si>
  <si>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</si>
  <si>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</si>
  <si>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</si>
  <si>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</si>
  <si>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</si>
  <si>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</si>
  <si>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</si>
  <si>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</si>
  <si>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</si>
  <si>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</si>
  <si>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</si>
  <si>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</si>
  <si>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</si>
  <si>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</si>
  <si>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</si>
  <si>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</si>
  <si>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</si>
  <si>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</si>
  <si>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</si>
  <si>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</si>
  <si>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</si>
  <si>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</si>
  <si>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</si>
  <si>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</si>
  <si>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</si>
  <si>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</si>
  <si>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</si>
  <si>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</si>
  <si>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</si>
  <si>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</si>
  <si>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</si>
  <si>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</si>
  <si>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</si>
  <si>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</si>
  <si>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</si>
  <si>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</si>
  <si>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</si>
  <si>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</si>
  <si>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</si>
  <si>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</si>
  <si>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</si>
  <si>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</si>
  <si>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</si>
  <si>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</si>
  <si>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</si>
  <si>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</si>
  <si>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</si>
  <si>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</si>
  <si>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</si>
  <si>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</si>
  <si>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</si>
  <si>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</si>
  <si>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</si>
  <si>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</si>
  <si>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</si>
  <si>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</si>
  <si>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</si>
  <si>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</si>
  <si>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</si>
  <si>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</si>
  <si>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</si>
  <si>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</si>
  <si>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</si>
  <si>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</si>
  <si>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</si>
  <si>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</si>
  <si>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</si>
  <si>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</si>
  <si>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</si>
  <si>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</si>
  <si>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</si>
  <si>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</si>
  <si>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</si>
  <si>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</si>
  <si>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</si>
  <si>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</si>
  <si>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</si>
  <si>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</si>
  <si>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</si>
  <si>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</si>
  <si>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</si>
  <si>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</si>
  <si>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</si>
  <si>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</si>
  <si>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</si>
  <si>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</si>
  <si>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</si>
  <si>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</si>
  <si>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</si>
  <si>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</si>
  <si>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</si>
  <si>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</si>
  <si>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</si>
  <si>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</si>
  <si>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</si>
  <si>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</si>
  <si>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</si>
  <si>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</si>
  <si>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</si>
  <si>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</si>
  <si>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</si>
  <si>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</si>
  <si>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</si>
  <si>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</si>
  <si>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</si>
  <si>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</si>
  <si>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</si>
  <si>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</si>
  <si>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</si>
  <si>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</si>
  <si>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</si>
  <si>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</si>
  <si>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</si>
  <si>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</si>
  <si>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</si>
  <si>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</si>
  <si>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</si>
  <si>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</si>
  <si>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</si>
  <si>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</si>
  <si>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</si>
  <si>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</si>
  <si>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</si>
  <si>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</si>
  <si>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</si>
  <si>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</si>
  <si>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</si>
  <si>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</si>
  <si>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</si>
  <si>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</si>
  <si>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</si>
  <si>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</si>
  <si>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</si>
  <si>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</si>
  <si>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</si>
  <si>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</si>
  <si>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</si>
  <si>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</si>
  <si>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</si>
  <si>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</si>
  <si>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</si>
  <si>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</si>
  <si>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</si>
  <si>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</si>
  <si>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</si>
  <si>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</si>
  <si>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</si>
  <si>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</si>
  <si>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</si>
  <si>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</si>
  <si>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</si>
  <si>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</si>
  <si>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</si>
  <si>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</si>
  <si>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</si>
  <si>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</si>
  <si>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</si>
  <si>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</si>
  <si>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</si>
  <si>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</si>
  <si>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</si>
  <si>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</si>
  <si>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</si>
  <si>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</si>
  <si>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</si>
  <si>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</si>
  <si>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</si>
  <si>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</si>
  <si>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</si>
  <si>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</si>
  <si>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</si>
  <si>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</si>
  <si>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</si>
  <si>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</si>
  <si>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</si>
  <si>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</si>
  <si>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</si>
  <si>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</si>
  <si>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</si>
  <si>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</si>
  <si>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</si>
  <si>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</si>
  <si>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</si>
  <si>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</si>
  <si>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</si>
  <si>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</si>
  <si>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</si>
  <si>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</si>
  <si>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</si>
  <si>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</si>
  <si>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</si>
  <si>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</si>
  <si>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</si>
  <si>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</si>
  <si>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</si>
  <si>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</si>
  <si>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</si>
  <si>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</si>
  <si>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</si>
  <si>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</si>
  <si>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</si>
  <si>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</si>
  <si>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</si>
  <si>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</si>
  <si>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</si>
  <si>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</si>
  <si>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</si>
  <si>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</si>
  <si>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</si>
  <si>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</si>
  <si>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</si>
  <si>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</si>
  <si>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</si>
  <si>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</si>
  <si>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</si>
  <si>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</si>
  <si>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</si>
  <si>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</si>
  <si>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</si>
  <si>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</si>
  <si>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</si>
  <si>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</si>
  <si>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</si>
  <si>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</si>
  <si>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</si>
  <si>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</si>
  <si>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</si>
  <si>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</si>
  <si>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</si>
  <si>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</si>
  <si>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</si>
  <si>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</si>
  <si>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</si>
  <si>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</si>
  <si>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</si>
  <si>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</si>
  <si>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</si>
  <si>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</si>
  <si>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</si>
  <si>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</si>
  <si>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</si>
  <si>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</si>
  <si>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</si>
  <si>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</si>
  <si>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</si>
  <si>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</si>
  <si>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</si>
  <si>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</si>
  <si>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</si>
  <si>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</si>
  <si>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</si>
  <si>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</si>
  <si>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</si>
  <si>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</si>
  <si>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</si>
  <si>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</si>
  <si>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</si>
  <si>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</si>
  <si>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</si>
  <si>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</si>
  <si>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</si>
  <si>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</si>
  <si>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</si>
  <si>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</si>
  <si>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</si>
  <si>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</si>
  <si>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</si>
  <si>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</si>
  <si>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</si>
  <si>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</si>
  <si>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</si>
  <si>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</si>
  <si>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</si>
  <si>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</si>
  <si>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</si>
  <si>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</si>
  <si>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</si>
  <si>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</si>
  <si>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</si>
  <si>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</si>
  <si>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</si>
  <si>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</si>
  <si>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</si>
  <si>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</si>
  <si>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</si>
  <si>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</si>
  <si>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</si>
  <si>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</si>
  <si>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</si>
  <si>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</si>
  <si>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</si>
  <si>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</si>
  <si>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</si>
  <si>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</si>
  <si>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</si>
  <si>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</si>
  <si>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</si>
  <si>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</si>
  <si>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</si>
  <si>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</si>
  <si>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</si>
  <si>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</si>
  <si>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</si>
  <si>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</si>
  <si>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</si>
  <si>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</si>
  <si>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</si>
  <si>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</si>
  <si>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</si>
  <si>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</si>
  <si>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</si>
  <si>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</si>
  <si>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</si>
  <si>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</si>
  <si>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</si>
  <si>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</si>
  <si>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</si>
  <si>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</si>
  <si>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</si>
  <si>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</si>
  <si>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</si>
  <si>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</si>
  <si>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</si>
  <si>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</si>
  <si>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</si>
  <si>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</si>
  <si>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</si>
  <si>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</si>
  <si>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</si>
  <si>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</si>
  <si>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</si>
  <si>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</si>
  <si>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</si>
  <si>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</si>
  <si>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</si>
  <si>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</si>
  <si>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</si>
  <si>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</si>
  <si>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</si>
  <si>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</si>
  <si>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</si>
  <si>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</si>
  <si>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</si>
  <si>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</si>
  <si>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</si>
  <si>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</si>
  <si>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</si>
  <si>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</si>
  <si>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</si>
  <si>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</si>
  <si>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</si>
  <si>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</si>
  <si>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</si>
  <si>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</si>
  <si>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</si>
  <si>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</si>
  <si>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</si>
  <si>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</si>
  <si>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</si>
  <si>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</si>
  <si>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</si>
  <si>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</si>
  <si>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</si>
  <si>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</si>
  <si>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</si>
  <si>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</si>
  <si>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</si>
  <si>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</si>
  <si>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</si>
  <si>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</si>
  <si>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</si>
  <si>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</si>
  <si>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</si>
  <si>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</si>
  <si>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</si>
  <si>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</si>
  <si>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</si>
  <si>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</si>
  <si>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</si>
  <si>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</si>
  <si>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</si>
  <si>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</si>
  <si>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</si>
  <si>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</si>
  <si>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</si>
  <si>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</si>
  <si>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</si>
  <si>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</si>
  <si>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</si>
  <si>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</si>
  <si>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</si>
  <si>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</si>
  <si>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</si>
  <si>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</si>
  <si>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</si>
  <si>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</si>
  <si>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</si>
  <si>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</si>
  <si>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</si>
  <si>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</si>
  <si>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</si>
  <si>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</si>
  <si>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</si>
  <si>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</si>
  <si>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</si>
  <si>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</si>
  <si>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</si>
  <si>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</si>
  <si>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</si>
  <si>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</si>
  <si>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</si>
  <si>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</si>
  <si>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</si>
  <si>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</si>
  <si>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</si>
  <si>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</si>
  <si>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</si>
  <si>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</si>
  <si>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</si>
  <si>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</si>
  <si>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</si>
  <si>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</si>
  <si>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</si>
  <si>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</si>
  <si>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</si>
  <si>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</si>
  <si>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</si>
  <si>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</si>
  <si>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</si>
  <si>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</si>
  <si>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</si>
  <si>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</si>
  <si>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</si>
  <si>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</si>
  <si>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</si>
  <si>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</si>
  <si>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</si>
  <si>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</si>
  <si>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</si>
  <si>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</si>
  <si>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</si>
  <si>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</si>
  <si>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</si>
  <si>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</si>
  <si>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</si>
  <si>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</si>
  <si>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</si>
  <si>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</si>
  <si>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</si>
  <si>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</si>
  <si>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</si>
  <si>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</si>
  <si>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</si>
  <si>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</si>
  <si>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</si>
  <si>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</si>
  <si>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</si>
  <si>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</si>
  <si>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</si>
  <si>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</si>
  <si>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</si>
  <si>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08/15/2003</t>
  </si>
  <si>
    <t>$3,302.33 Net Change from the FY21 Fund "10" Fund Balance, after official audit was completed.</t>
  </si>
  <si>
    <t>I corrected the amount entered for HS transportation, as I originally entered the full cost and not just the SPED portion</t>
  </si>
  <si>
    <t>I corrected the amount entered for Elem transportation, as I originally entered full Elem SPED cost, not just SPED Transportaton</t>
  </si>
  <si>
    <t>*School Level Expenditures tab:  I corrected the total Elem expenditures for both Local &amp; Federal portions</t>
  </si>
  <si>
    <t>Column J - Was reduced by $25,000</t>
  </si>
  <si>
    <t>Column F - Was reduced by $25,000</t>
  </si>
  <si>
    <t>Column K - Was reduced by $25,000</t>
  </si>
  <si>
    <t>Column G - Was reduced by $25,000</t>
  </si>
  <si>
    <t>the Net Assessment - Per RSA adopted during 2018 - Amount to be Retained $189,181</t>
  </si>
  <si>
    <t>Column F - Was reduced by Retained amount of $189,181</t>
  </si>
  <si>
    <t>Column F - Was Increased by $25,000</t>
  </si>
  <si>
    <t>Column F - GF - The school district discussed and approved to retain an amount up to the allowable 2.5% of</t>
  </si>
  <si>
    <t>Column F - Was Increased by Warrant Article #6 $25,000</t>
  </si>
  <si>
    <t>Column F - Was Decreased by Warrant Article #6 amt of $25,000</t>
  </si>
  <si>
    <t>08/15/2023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</si>
</sst>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1477</v>
      </c>
      <c r="B2" s="126">
        <f>INDEX('School Tables'!$AH$3:$AH$208,MATCH('DOE25'!A2,'School Tables'!$AJ$3:$AJ$208,0))</f>
        <v>573</v>
      </c>
      <c r="C2" s="126">
        <f>INDEX('School Tables'!$AI$3:$AI$208,MATCH('DOE25'!A2,'School Tables'!$AJ$3:$AJ$208,0))</f>
        <v>573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1284044.7</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-553.55999999999995</v>
      </c>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417156.89</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17635.18</v>
      </c>
      <c r="H13" s="18"/>
      <c r="I13" s="18"/>
      <c r="J13" s="67">
        <f>SUM(I443)</f>
        <v>447390.33</v>
      </c>
      <c r="K13" s="24" t="s">
        <v>288</v>
      </c>
      <c r="L13" s="24" t="s">
        <v>288</v>
      </c>
      <c r="M13" s="8"/>
      <c r="N13" s="265"/>
    </row>
    <row r="14" spans="1:14" s="3" customFormat="1" ht="12.2" customHeight="1" x14ac:dyDescent="0.15">
      <c r="A14" s="1" t="s">
        <v>565</v>
      </c>
      <c r="B14" s="2" t="s">
        <v>289</v>
      </c>
      <c r="C14" s="6">
        <v>6</v>
      </c>
      <c r="D14" s="2" t="s">
        <v>428</v>
      </c>
      <c r="E14" s="6">
        <v>150</v>
      </c>
      <c r="F14" s="18">
        <v>1920</v>
      </c>
      <c r="G14" s="18">
        <v>59335.23</v>
      </c>
      <c r="H14" s="18">
        <v>553174.55000000005</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9583.7199999999993</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51064.19</v>
      </c>
      <c r="G17" s="18"/>
      <c r="H17" s="18">
        <v>24960.46</v>
      </c>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1753632.2199999997</v>
      </c>
      <c r="G19" s="41">
        <f>SUM(G9:G18)</f>
        <v>86554.13</v>
      </c>
      <c r="H19" s="41">
        <f>SUM(H9:H18)</f>
        <v>578135.01</v>
      </c>
      <c r="I19" s="41">
        <f>SUM(I9:I18)</f>
        <v>0</v>
      </c>
      <c r="J19" s="41">
        <f>SUM(J9:J18)</f>
        <v>447390.33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-335736.32000000001</v>
      </c>
      <c r="G22" s="18">
        <v>-56601.1</v>
      </c>
      <c r="H22" s="18">
        <v>423873.27</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-123.7</v>
      </c>
      <c r="G23" s="18"/>
      <c r="H23" s="18">
        <v>6748.05</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180117.48</v>
      </c>
      <c r="G24" s="18">
        <v>52392.24</v>
      </c>
      <c r="H24" s="18">
        <v>1500.75</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161989.16</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200554.46</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23675.15</v>
      </c>
      <c r="H30" s="18">
        <v>146012.94</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206801.08</v>
      </c>
      <c r="G32" s="41">
        <f>SUM(G22:G31)</f>
        <v>19466.29</v>
      </c>
      <c r="H32" s="41">
        <f>SUM(H22:H31)</f>
        <v>578135.01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51064.21</v>
      </c>
      <c r="G35" s="18">
        <v>9583.7199999999993</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57504.12</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164181</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447390.33</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1306585.93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1546831.14</v>
      </c>
      <c r="G51" s="41">
        <f>SUM(G35:G50)</f>
        <v>67087.839999999997</v>
      </c>
      <c r="H51" s="41">
        <f>SUM(H35:H50)</f>
        <v>0</v>
      </c>
      <c r="I51" s="41">
        <f>SUM(I35:I50)</f>
        <v>0</v>
      </c>
      <c r="J51" s="41">
        <f>SUM(J35:J50)</f>
        <v>447390.33</v>
      </c>
      <c r="K51" s="45" t="s">
        <v>288</v>
      </c>
      <c r="L51" s="45" t="s">
        <v>288</v>
      </c>
      <c r="N51" s="263"/>
    </row>
    <row r="52" spans="1:14" s="3" customFormat="1" ht="12.2" customHeight="1" thickTop="1" x14ac:dyDescent="0.15">
      <c r="A52" s="38" t="s">
        <v>455</v>
      </c>
      <c r="B52" s="39" t="s">
        <v>289</v>
      </c>
      <c r="C52" s="6">
        <v>37</v>
      </c>
      <c r="D52" s="39" t="s">
        <v>653</v>
      </c>
      <c r="E52" s="39"/>
      <c r="F52" s="41">
        <f>F51+F32</f>
        <v>1753632.22</v>
      </c>
      <c r="G52" s="41">
        <f>G51+G32</f>
        <v>86554.13</v>
      </c>
      <c r="H52" s="41">
        <f>H51+H32</f>
        <v>578135.01</v>
      </c>
      <c r="I52" s="41">
        <f>I51+I32</f>
        <v>0</v>
      </c>
      <c r="J52" s="41">
        <f>J51+J32</f>
        <v>447390.33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6662508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6662508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1457</v>
      </c>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1457</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v>2483.15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11920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131904.39000000001</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4860.7700000000004</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148685.16</v>
      </c>
      <c r="G111" s="41">
        <f>SUM(G96:G110)</f>
        <v>2483.15</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6812650.1600000001</v>
      </c>
      <c r="G112" s="41">
        <f>G60+G111</f>
        <v>2483.15</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4304923.33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504737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4813650.75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61927.87</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195850.27</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3312.1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257778.13999999998</v>
      </c>
      <c r="G136" s="41">
        <f>SUM(G123:G135)</f>
        <v>3312.1</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5071428.8899999997</v>
      </c>
      <c r="G140" s="41">
        <f>G121+SUM(G136:G137)</f>
        <v>3312.1</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325179</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73100.55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313232.40000000002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208108.61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843252.04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313232.40000000002</v>
      </c>
      <c r="H163" s="41">
        <f>SUM(H150:H162)</f>
        <v>1449640.2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313232.40000000002</v>
      </c>
      <c r="H170" s="41">
        <f>H147+H163+SUM(H164:H169)</f>
        <v>1449640.2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40250.31</v>
      </c>
      <c r="H180" s="18"/>
      <c r="I180" s="18"/>
      <c r="J180" s="18">
        <v>150000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v>143532.85999999999</v>
      </c>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143532.85999999999</v>
      </c>
      <c r="G184" s="41">
        <f>SUM(G180:G183)</f>
        <v>40250.31</v>
      </c>
      <c r="H184" s="41">
        <f>SUM(H180:H183)</f>
        <v>0</v>
      </c>
      <c r="I184" s="41">
        <f>SUM(I180:I183)</f>
        <v>0</v>
      </c>
      <c r="J184" s="41">
        <f>SUM(J180:J183)</f>
        <v>150000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125000</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125000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268532.86</v>
      </c>
      <c r="G193" s="41">
        <f>G184+SUM(G189:G192)</f>
        <v>40250.31</v>
      </c>
      <c r="H193" s="41">
        <f>+H184+SUM(H189:H192)</f>
        <v>0</v>
      </c>
      <c r="I193" s="41">
        <f>I178+I184+SUM(I189:I192)</f>
        <v>0</v>
      </c>
      <c r="J193" s="41">
        <f>J184</f>
        <v>150000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12152611.91</v>
      </c>
      <c r="G194" s="47">
        <f>G112+G140+G170+G193</f>
        <v>359277.96</v>
      </c>
      <c r="H194" s="47">
        <f>H112+H140+H170+H193</f>
        <v>1449640.2</v>
      </c>
      <c r="I194" s="47">
        <f>I112+I140+I170+I193</f>
        <v>0</v>
      </c>
      <c r="J194" s="47">
        <f>J112+J140+J193</f>
        <v>150000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1316815.03</v>
      </c>
      <c r="G198" s="18">
        <v>733884.36</v>
      </c>
      <c r="H198" s="18"/>
      <c r="I198" s="18">
        <v>26793.4</v>
      </c>
      <c r="J198" s="18">
        <v>594.5</v>
      </c>
      <c r="K198" s="18">
        <v>199</v>
      </c>
      <c r="L198" s="19">
        <f>SUM(F198:K198)</f>
        <v>2078286.29</v>
      </c>
      <c r="M198" s="8"/>
      <c r="N198" s="265"/>
    </row>
    <row r="199" spans="1:14" s="3" customFormat="1" ht="12.2" customHeight="1" x14ac:dyDescent="0.15">
      <c r="A199" s="1" t="s">
        <v>439</v>
      </c>
      <c r="B199" s="2" t="s">
        <v>341</v>
      </c>
      <c r="C199" s="2" t="s">
        <v>291</v>
      </c>
      <c r="D199" s="2" t="s">
        <v>431</v>
      </c>
      <c r="E199" s="6">
        <v>1200</v>
      </c>
      <c r="F199" s="18">
        <v>815137.32</v>
      </c>
      <c r="G199" s="18">
        <v>269643.40000000002</v>
      </c>
      <c r="H199" s="18">
        <v>556433.43000000005</v>
      </c>
      <c r="I199" s="18">
        <v>2894.59</v>
      </c>
      <c r="J199" s="18"/>
      <c r="K199" s="18"/>
      <c r="L199" s="19">
        <f>SUM(F199:K199)</f>
        <v>1644108.74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16386.45</v>
      </c>
      <c r="G201" s="18">
        <v>1795.49</v>
      </c>
      <c r="H201" s="18">
        <v>2665</v>
      </c>
      <c r="I201" s="18">
        <v>7173.08</v>
      </c>
      <c r="J201" s="18"/>
      <c r="K201" s="18"/>
      <c r="L201" s="19">
        <f>SUM(F201:K201)</f>
        <v>28020.020000000004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469848.97</v>
      </c>
      <c r="G203" s="18">
        <v>241711.87</v>
      </c>
      <c r="H203" s="18"/>
      <c r="I203" s="18">
        <v>3187.99</v>
      </c>
      <c r="J203" s="18"/>
      <c r="K203" s="18"/>
      <c r="L203" s="19">
        <f t="shared" ref="L203:L209" si="0">SUM(F203:K203)</f>
        <v>714748.83</v>
      </c>
      <c r="M203" s="8"/>
      <c r="N203" s="265"/>
    </row>
    <row r="204" spans="1:14" s="3" customFormat="1" ht="12.2" customHeight="1" x14ac:dyDescent="0.15">
      <c r="A204" s="1" t="s">
        <v>443</v>
      </c>
      <c r="B204" s="2" t="s">
        <v>341</v>
      </c>
      <c r="C204" s="2" t="s">
        <v>295</v>
      </c>
      <c r="D204" s="2" t="s">
        <v>431</v>
      </c>
      <c r="E204" s="6">
        <v>2200</v>
      </c>
      <c r="F204" s="18">
        <v>51128</v>
      </c>
      <c r="G204" s="18">
        <v>44175.02</v>
      </c>
      <c r="H204" s="18">
        <v>6423.33</v>
      </c>
      <c r="I204" s="18">
        <v>2663.63</v>
      </c>
      <c r="J204" s="18"/>
      <c r="K204" s="18"/>
      <c r="L204" s="19">
        <f t="shared" si="0"/>
        <v>104389.98</v>
      </c>
      <c r="M204" s="8"/>
      <c r="N204" s="265"/>
    </row>
    <row r="205" spans="1:14" s="3" customFormat="1" ht="12.2" customHeight="1" x14ac:dyDescent="0.15">
      <c r="A205" s="1" t="s">
        <v>444</v>
      </c>
      <c r="B205" s="2" t="s">
        <v>341</v>
      </c>
      <c r="C205" s="2" t="s">
        <v>296</v>
      </c>
      <c r="D205" s="2" t="s">
        <v>431</v>
      </c>
      <c r="E205" s="6">
        <v>2300</v>
      </c>
      <c r="F205" s="18">
        <v>294841.06</v>
      </c>
      <c r="G205" s="18">
        <v>80099.59</v>
      </c>
      <c r="H205" s="18">
        <v>47462.26</v>
      </c>
      <c r="I205" s="18">
        <v>2574.04</v>
      </c>
      <c r="J205" s="18"/>
      <c r="K205" s="18">
        <v>6425.72</v>
      </c>
      <c r="L205" s="19">
        <f t="shared" si="0"/>
        <v>431402.67</v>
      </c>
      <c r="M205" s="8"/>
      <c r="N205" s="265"/>
    </row>
    <row r="206" spans="1:14" s="3" customFormat="1" ht="12.2" customHeight="1" x14ac:dyDescent="0.15">
      <c r="A206" s="1" t="s">
        <v>445</v>
      </c>
      <c r="B206" s="2" t="s">
        <v>341</v>
      </c>
      <c r="C206" s="2" t="s">
        <v>297</v>
      </c>
      <c r="D206" s="2" t="s">
        <v>431</v>
      </c>
      <c r="E206" s="6">
        <v>2400</v>
      </c>
      <c r="F206" s="18">
        <v>188869.7</v>
      </c>
      <c r="G206" s="18">
        <v>76269.58</v>
      </c>
      <c r="H206" s="18">
        <v>11.65</v>
      </c>
      <c r="I206" s="18"/>
      <c r="J206" s="18"/>
      <c r="K206" s="18">
        <v>405.76</v>
      </c>
      <c r="L206" s="19">
        <f t="shared" si="0"/>
        <v>265556.69000000006</v>
      </c>
      <c r="M206" s="8"/>
      <c r="N206" s="265"/>
    </row>
    <row r="207" spans="1:14" s="3" customFormat="1" ht="12.2" customHeight="1" x14ac:dyDescent="0.15">
      <c r="A207" s="1" t="s">
        <v>446</v>
      </c>
      <c r="B207" s="2" t="s">
        <v>341</v>
      </c>
      <c r="C207" s="2" t="s">
        <v>298</v>
      </c>
      <c r="D207" s="2" t="s">
        <v>431</v>
      </c>
      <c r="E207" s="6">
        <v>2500</v>
      </c>
      <c r="F207" s="18">
        <v>102218.86</v>
      </c>
      <c r="G207" s="18">
        <v>30651.88</v>
      </c>
      <c r="H207" s="18">
        <v>5952.09</v>
      </c>
      <c r="I207" s="18"/>
      <c r="J207" s="18"/>
      <c r="K207" s="18">
        <v>43.52</v>
      </c>
      <c r="L207" s="19">
        <f t="shared" si="0"/>
        <v>138866.34999999998</v>
      </c>
      <c r="M207" s="8"/>
      <c r="N207" s="265"/>
    </row>
    <row r="208" spans="1:14" s="3" customFormat="1" ht="12.2" customHeight="1" x14ac:dyDescent="0.15">
      <c r="A208" s="1" t="s">
        <v>447</v>
      </c>
      <c r="B208" s="2" t="s">
        <v>341</v>
      </c>
      <c r="C208" s="2" t="s">
        <v>299</v>
      </c>
      <c r="D208" s="2" t="s">
        <v>431</v>
      </c>
      <c r="E208" s="6">
        <v>2600</v>
      </c>
      <c r="F208" s="18">
        <v>223463.24</v>
      </c>
      <c r="G208" s="18">
        <v>126650.27</v>
      </c>
      <c r="H208" s="18">
        <v>219641.56</v>
      </c>
      <c r="I208" s="18">
        <v>159047.98000000001</v>
      </c>
      <c r="J208" s="18">
        <v>47397.42</v>
      </c>
      <c r="K208" s="18"/>
      <c r="L208" s="19">
        <f t="shared" si="0"/>
        <v>776200.47000000009</v>
      </c>
      <c r="M208" s="8"/>
      <c r="N208" s="265"/>
    </row>
    <row r="209" spans="1:14" s="3" customFormat="1" ht="12.2" customHeight="1" x14ac:dyDescent="0.15">
      <c r="A209" s="1" t="s">
        <v>448</v>
      </c>
      <c r="B209" s="2" t="s">
        <v>341</v>
      </c>
      <c r="C209" s="2" t="s">
        <v>300</v>
      </c>
      <c r="D209" s="2" t="s">
        <v>431</v>
      </c>
      <c r="E209" s="6">
        <v>2700</v>
      </c>
      <c r="F209" s="18"/>
      <c r="G209" s="18"/>
      <c r="H209" s="18">
        <v>515916.12</v>
      </c>
      <c r="I209" s="18"/>
      <c r="J209" s="18"/>
      <c r="K209" s="18"/>
      <c r="L209" s="19">
        <f t="shared" si="0"/>
        <v>515916.12</v>
      </c>
      <c r="M209" s="8"/>
      <c r="N209" s="265"/>
    </row>
    <row r="210" spans="1:14" s="3" customFormat="1" ht="12.2" customHeight="1" x14ac:dyDescent="0.15">
      <c r="A210" s="1" t="s">
        <v>449</v>
      </c>
      <c r="B210" s="2" t="s">
        <v>341</v>
      </c>
      <c r="C210" s="2" t="s">
        <v>343</v>
      </c>
      <c r="D210" s="2" t="s">
        <v>431</v>
      </c>
      <c r="E210" s="6">
        <v>2800</v>
      </c>
      <c r="F210" s="18">
        <v>76256.33</v>
      </c>
      <c r="G210" s="18">
        <v>46167.17</v>
      </c>
      <c r="H210" s="18">
        <v>109358.04</v>
      </c>
      <c r="I210" s="18">
        <v>29930.16</v>
      </c>
      <c r="J210" s="18">
        <v>26232.12</v>
      </c>
      <c r="K210" s="18"/>
      <c r="L210" s="19">
        <f>SUM(F210:K210)</f>
        <v>287943.82</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3554964.9600000009</v>
      </c>
      <c r="G212" s="41">
        <f t="shared" si="1"/>
        <v>1651048.6300000001</v>
      </c>
      <c r="H212" s="41">
        <f t="shared" si="1"/>
        <v>1463863.48</v>
      </c>
      <c r="I212" s="41">
        <f t="shared" si="1"/>
        <v>234264.87000000002</v>
      </c>
      <c r="J212" s="41">
        <f t="shared" si="1"/>
        <v>74224.039999999994</v>
      </c>
      <c r="K212" s="41">
        <f t="shared" si="1"/>
        <v>7074.0000000000009</v>
      </c>
      <c r="L212" s="41">
        <f t="shared" si="1"/>
        <v>6985439.9800000004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1640523.42</v>
      </c>
      <c r="I234" s="18"/>
      <c r="J234" s="18"/>
      <c r="K234" s="18"/>
      <c r="L234" s="19">
        <f>SUM(F234:K234)</f>
        <v>1640523.42</v>
      </c>
      <c r="M234" s="8"/>
      <c r="N234" s="265"/>
    </row>
    <row r="235" spans="1:14" s="3" customFormat="1" ht="12.2" customHeight="1" x14ac:dyDescent="0.15">
      <c r="A235" s="1" t="s">
        <v>439</v>
      </c>
      <c r="B235" s="2" t="s">
        <v>350</v>
      </c>
      <c r="C235" s="2" t="s">
        <v>291</v>
      </c>
      <c r="D235" s="2" t="s">
        <v>431</v>
      </c>
      <c r="E235" s="6">
        <v>1200</v>
      </c>
      <c r="F235" s="18"/>
      <c r="G235" s="18"/>
      <c r="H235" s="18">
        <v>1578082.22</v>
      </c>
      <c r="I235" s="18"/>
      <c r="J235" s="18"/>
      <c r="K235" s="18"/>
      <c r="L235" s="19">
        <f>SUM(F235:K235)</f>
        <v>1578082.22</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204664.59</v>
      </c>
      <c r="I245" s="18"/>
      <c r="J245" s="18"/>
      <c r="K245" s="18"/>
      <c r="L245" s="19">
        <f t="shared" si="4"/>
        <v>204664.59</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3423270.2299999995</v>
      </c>
      <c r="I248" s="41">
        <f t="shared" si="5"/>
        <v>0</v>
      </c>
      <c r="J248" s="41">
        <f t="shared" si="5"/>
        <v>0</v>
      </c>
      <c r="K248" s="41">
        <f t="shared" si="5"/>
        <v>0</v>
      </c>
      <c r="L248" s="41">
        <f t="shared" si="5"/>
        <v>3423270.2299999995</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3554964.9600000009</v>
      </c>
      <c r="G258" s="41">
        <f t="shared" si="8"/>
        <v>1651048.6300000001</v>
      </c>
      <c r="H258" s="41">
        <f t="shared" si="8"/>
        <v>4887133.709999999</v>
      </c>
      <c r="I258" s="41">
        <f t="shared" si="8"/>
        <v>234264.87000000002</v>
      </c>
      <c r="J258" s="41">
        <f t="shared" si="8"/>
        <v>74224.039999999994</v>
      </c>
      <c r="K258" s="41">
        <f t="shared" si="8"/>
        <v>7074.0000000000009</v>
      </c>
      <c r="L258" s="41">
        <f t="shared" si="8"/>
        <v>10408710.210000001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175000</v>
      </c>
      <c r="L261" s="19">
        <f>SUM(F261:K261)</f>
        <v>175000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11612.25</v>
      </c>
      <c r="L262" s="19">
        <f>SUM(F262:K262)</f>
        <v>11612.25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40250.31</v>
      </c>
      <c r="L264" s="19">
        <f>SUM(F264:K264)</f>
        <v>40250.31</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150000</v>
      </c>
      <c r="L267" s="19">
        <f t="shared" si="9"/>
        <v>150000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376862.56</v>
      </c>
      <c r="L271" s="41">
        <f t="shared" si="9"/>
        <v>376862.56</v>
      </c>
      <c r="M271" s="8"/>
      <c r="N271" s="265"/>
    </row>
    <row r="272" spans="1:14" s="34" customFormat="1" ht="12.2" customHeight="1" thickTop="1" x14ac:dyDescent="0.2">
      <c r="A272" s="43" t="s">
        <v>464</v>
      </c>
      <c r="B272" s="40">
        <v>10</v>
      </c>
      <c r="C272" s="40">
        <v>18</v>
      </c>
      <c r="D272" s="39" t="s">
        <v>431</v>
      </c>
      <c r="E272" s="40"/>
      <c r="F272" s="42">
        <f t="shared" ref="F272:L272" si="11">F258+F271</f>
        <v>3554964.9600000009</v>
      </c>
      <c r="G272" s="42">
        <f t="shared" si="11"/>
        <v>1651048.6300000001</v>
      </c>
      <c r="H272" s="42">
        <f t="shared" si="11"/>
        <v>4887133.709999999</v>
      </c>
      <c r="I272" s="42">
        <f t="shared" si="11"/>
        <v>234264.87000000002</v>
      </c>
      <c r="J272" s="42">
        <f t="shared" si="11"/>
        <v>74224.039999999994</v>
      </c>
      <c r="K272" s="42">
        <f t="shared" si="11"/>
        <v>383936.56</v>
      </c>
      <c r="L272" s="42">
        <f t="shared" si="11"/>
        <v>10785572.770000001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285866.33</v>
      </c>
      <c r="G277" s="18">
        <v>198329.48</v>
      </c>
      <c r="H277" s="18"/>
      <c r="I277" s="18">
        <v>77810.14</v>
      </c>
      <c r="J277" s="18">
        <v>7842.85</v>
      </c>
      <c r="K277" s="18"/>
      <c r="L277" s="19">
        <f>SUM(F277:K277)</f>
        <v>569848.80000000005</v>
      </c>
      <c r="M277" s="8"/>
      <c r="N277" s="265"/>
    </row>
    <row r="278" spans="1:14" s="3" customFormat="1" ht="12.2" customHeight="1" x14ac:dyDescent="0.15">
      <c r="A278" s="1" t="s">
        <v>439</v>
      </c>
      <c r="B278" s="2" t="s">
        <v>357</v>
      </c>
      <c r="C278" s="2" t="s">
        <v>291</v>
      </c>
      <c r="D278" s="2" t="s">
        <v>431</v>
      </c>
      <c r="E278" s="6">
        <v>1200</v>
      </c>
      <c r="F278" s="18">
        <v>87414.53</v>
      </c>
      <c r="G278" s="18">
        <v>31091.37</v>
      </c>
      <c r="H278" s="18">
        <v>16558.5</v>
      </c>
      <c r="I278" s="18">
        <v>1061.23</v>
      </c>
      <c r="J278" s="18"/>
      <c r="K278" s="18"/>
      <c r="L278" s="19">
        <f>SUM(F278:K278)</f>
        <v>136125.63</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13941.3</v>
      </c>
      <c r="G280" s="18">
        <v>3050.92</v>
      </c>
      <c r="H280" s="18">
        <v>1247.03</v>
      </c>
      <c r="I280" s="18">
        <v>5486.93</v>
      </c>
      <c r="J280" s="18"/>
      <c r="K280" s="18"/>
      <c r="L280" s="19">
        <f>SUM(F280:K280)</f>
        <v>23726.18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770</v>
      </c>
      <c r="G282" s="18">
        <v>58.92</v>
      </c>
      <c r="H282" s="18">
        <v>11815</v>
      </c>
      <c r="I282" s="18"/>
      <c r="J282" s="18"/>
      <c r="K282" s="18"/>
      <c r="L282" s="19">
        <f t="shared" ref="L282:L288" si="12">SUM(F282:K282)</f>
        <v>12643.92</v>
      </c>
      <c r="M282" s="8"/>
      <c r="N282" s="265"/>
    </row>
    <row r="283" spans="1:14" s="3" customFormat="1" ht="12.2" customHeight="1" x14ac:dyDescent="0.15">
      <c r="A283" s="1" t="s">
        <v>443</v>
      </c>
      <c r="B283" s="2" t="s">
        <v>357</v>
      </c>
      <c r="C283" s="2" t="s">
        <v>295</v>
      </c>
      <c r="D283" s="2" t="s">
        <v>431</v>
      </c>
      <c r="E283" s="6">
        <v>2200</v>
      </c>
      <c r="F283" s="18">
        <v>68280.42</v>
      </c>
      <c r="G283" s="18">
        <v>25132.29</v>
      </c>
      <c r="H283" s="18">
        <v>58123.51</v>
      </c>
      <c r="I283" s="18">
        <v>54624.5</v>
      </c>
      <c r="J283" s="18"/>
      <c r="K283" s="18">
        <v>2201</v>
      </c>
      <c r="L283" s="19">
        <f t="shared" si="12"/>
        <v>208361.72</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424533</v>
      </c>
      <c r="I287" s="18">
        <v>599.97</v>
      </c>
      <c r="J287" s="18">
        <v>9380</v>
      </c>
      <c r="K287" s="18"/>
      <c r="L287" s="19">
        <f t="shared" si="12"/>
        <v>434512.97</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v>4000</v>
      </c>
      <c r="J289" s="18"/>
      <c r="K289" s="18"/>
      <c r="L289" s="19">
        <f>SUM(F289:K289)</f>
        <v>4000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456272.57999999996</v>
      </c>
      <c r="G291" s="42">
        <f t="shared" si="13"/>
        <v>257662.98000000004</v>
      </c>
      <c r="H291" s="42">
        <f t="shared" si="13"/>
        <v>512277.04000000004</v>
      </c>
      <c r="I291" s="42">
        <f t="shared" si="13"/>
        <v>143582.76999999999</v>
      </c>
      <c r="J291" s="42">
        <f t="shared" si="13"/>
        <v>17222.849999999999</v>
      </c>
      <c r="K291" s="42">
        <f t="shared" si="13"/>
        <v>2201</v>
      </c>
      <c r="L291" s="41">
        <f t="shared" si="13"/>
        <v>1389219.2200000002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456272.57999999996</v>
      </c>
      <c r="G339" s="41">
        <f t="shared" si="20"/>
        <v>257662.98000000004</v>
      </c>
      <c r="H339" s="41">
        <f t="shared" si="20"/>
        <v>512277.04000000004</v>
      </c>
      <c r="I339" s="41">
        <f t="shared" si="20"/>
        <v>143582.76999999999</v>
      </c>
      <c r="J339" s="41">
        <f t="shared" si="20"/>
        <v>17222.849999999999</v>
      </c>
      <c r="K339" s="41">
        <f t="shared" si="20"/>
        <v>2201</v>
      </c>
      <c r="L339" s="41">
        <f t="shared" si="20"/>
        <v>1389219.2200000002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60420.98</v>
      </c>
      <c r="L345" s="19">
        <f t="shared" ref="L345:L351" si="21">SUM(F345:K345)</f>
        <v>60420.98</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60420.98</v>
      </c>
      <c r="L352" s="41">
        <f>SUM(L342:L351)</f>
        <v>60420.98</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456272.57999999996</v>
      </c>
      <c r="G353" s="41">
        <f>G339</f>
        <v>257662.98000000004</v>
      </c>
      <c r="H353" s="41">
        <f>H339</f>
        <v>512277.04000000004</v>
      </c>
      <c r="I353" s="41">
        <f>I339</f>
        <v>143582.76999999999</v>
      </c>
      <c r="J353" s="41">
        <f>J339</f>
        <v>17222.849999999999</v>
      </c>
      <c r="K353" s="47">
        <f>K339+K352</f>
        <v>62621.98</v>
      </c>
      <c r="L353" s="41">
        <f>L339+L352</f>
        <v>1449640.2000000002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269471.61</v>
      </c>
      <c r="I359" s="18">
        <v>3925</v>
      </c>
      <c r="J359" s="18">
        <v>29245.74</v>
      </c>
      <c r="K359" s="18"/>
      <c r="L359" s="13">
        <f>SUM(F359:K359)</f>
        <v>302642.34999999998</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269471.61</v>
      </c>
      <c r="I363" s="47">
        <f t="shared" si="22"/>
        <v>3925</v>
      </c>
      <c r="J363" s="47">
        <f t="shared" si="22"/>
        <v>29245.74</v>
      </c>
      <c r="K363" s="47">
        <f t="shared" si="22"/>
        <v>0</v>
      </c>
      <c r="L363" s="47">
        <f t="shared" si="22"/>
        <v>302642.34999999998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3925</v>
      </c>
      <c r="G369" s="63"/>
      <c r="H369" s="63"/>
      <c r="I369" s="56">
        <f>SUM(F369:H369)</f>
        <v>3925</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3925</v>
      </c>
      <c r="G370" s="47">
        <f>SUM(G368:G369)</f>
        <v>0</v>
      </c>
      <c r="H370" s="47">
        <f>SUM(H368:H369)</f>
        <v>0</v>
      </c>
      <c r="I370" s="47">
        <f>SUM(I368:I369)</f>
        <v>3925</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125000</v>
      </c>
      <c r="H397" s="18"/>
      <c r="I397" s="18"/>
      <c r="J397" s="24" t="s">
        <v>288</v>
      </c>
      <c r="K397" s="24" t="s">
        <v>288</v>
      </c>
      <c r="L397" s="56">
        <f t="shared" si="26"/>
        <v>125000</v>
      </c>
      <c r="M397" s="8"/>
      <c r="N397" s="265"/>
    </row>
    <row r="398" spans="1:14" s="3" customFormat="1" ht="12.2" customHeight="1" x14ac:dyDescent="0.15">
      <c r="A398" s="79" t="s">
        <v>515</v>
      </c>
      <c r="B398" s="2" t="s">
        <v>381</v>
      </c>
      <c r="C398" s="6">
        <v>10</v>
      </c>
      <c r="D398" s="2" t="s">
        <v>432</v>
      </c>
      <c r="E398" s="6"/>
      <c r="F398" s="18"/>
      <c r="G398" s="18">
        <v>25000</v>
      </c>
      <c r="H398" s="18"/>
      <c r="I398" s="18"/>
      <c r="J398" s="24" t="s">
        <v>288</v>
      </c>
      <c r="K398" s="24" t="s">
        <v>288</v>
      </c>
      <c r="L398" s="56">
        <f t="shared" si="26"/>
        <v>25000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150000</v>
      </c>
      <c r="H402" s="47">
        <f>SUM(H396:H401)</f>
        <v>0</v>
      </c>
      <c r="I402" s="47">
        <f>SUM(I396:I401)</f>
        <v>0</v>
      </c>
      <c r="J402" s="45" t="s">
        <v>288</v>
      </c>
      <c r="K402" s="45" t="s">
        <v>288</v>
      </c>
      <c r="L402" s="47">
        <f>SUM(L396:L401)</f>
        <v>150000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150000</v>
      </c>
      <c r="H409" s="47">
        <f>H394+H402+H408</f>
        <v>0</v>
      </c>
      <c r="I409" s="47">
        <f>I394+I402+I408</f>
        <v>0</v>
      </c>
      <c r="J409" s="24" t="s">
        <v>288</v>
      </c>
      <c r="K409" s="24" t="s">
        <v>288</v>
      </c>
      <c r="L409" s="47">
        <f>L394+L402+L408</f>
        <v>150000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4"/>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220624.63</v>
      </c>
      <c r="G443" s="18">
        <v>226765.7</v>
      </c>
      <c r="H443" s="18"/>
      <c r="I443" s="56">
        <f t="shared" si="33"/>
        <v>447390.33</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220624.63</v>
      </c>
      <c r="G447" s="13">
        <f>SUM(G440:G446)</f>
        <v>226765.7</v>
      </c>
      <c r="H447" s="13">
        <f>SUM(H440:H446)</f>
        <v>0</v>
      </c>
      <c r="I447" s="13">
        <f>SUM(I440:I446)</f>
        <v>447390.33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220624.63</v>
      </c>
      <c r="G460" s="18">
        <v>226765.7</v>
      </c>
      <c r="H460" s="18"/>
      <c r="I460" s="56">
        <f t="shared" si="34"/>
        <v>447390.33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220624.63</v>
      </c>
      <c r="G461" s="83">
        <f>SUM(G455:G460)</f>
        <v>226765.7</v>
      </c>
      <c r="H461" s="83">
        <f>SUM(H455:H460)</f>
        <v>0</v>
      </c>
      <c r="I461" s="83">
        <f>SUM(I455:I460)</f>
        <v>447390.33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220624.63</v>
      </c>
      <c r="G462" s="42">
        <f>G453+G461</f>
        <v>226765.7</v>
      </c>
      <c r="H462" s="42">
        <f>H453+H461</f>
        <v>0</v>
      </c>
      <c r="I462" s="42">
        <f>I453+I461</f>
        <v>447390.33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179792</v>
      </c>
      <c r="G466" s="18">
        <v>10452.23</v>
      </c>
      <c r="H466" s="18">
        <v>0</v>
      </c>
      <c r="I466" s="18">
        <v>0</v>
      </c>
      <c r="J466" s="18">
        <v>294036.40999999997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12152611.91</v>
      </c>
      <c r="G469" s="18">
        <v>359277.96</v>
      </c>
      <c r="H469" s="18">
        <v>1449640.2</v>
      </c>
      <c r="I469" s="18"/>
      <c r="J469" s="18">
        <v>150000</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v>3353.92</v>
      </c>
      <c r="K470" s="24" t="s">
        <v>288</v>
      </c>
      <c r="L470" s="24" t="s">
        <v>288</v>
      </c>
      <c r="N470" s="264"/>
    </row>
    <row r="471" spans="1:14" s="52" customFormat="1" ht="12.2" customHeight="1" x14ac:dyDescent="0.2">
      <c r="A471" s="92" t="s">
        <v>425</v>
      </c>
      <c r="B471" s="75">
        <v>19</v>
      </c>
      <c r="C471" s="80">
        <v>4</v>
      </c>
      <c r="D471" s="2" t="s">
        <v>432</v>
      </c>
      <c r="E471" s="80"/>
      <c r="F471" s="53">
        <f>SUM(F469:F470)</f>
        <v>12152611.91</v>
      </c>
      <c r="G471" s="53">
        <f>SUM(G469:G470)</f>
        <v>359277.96</v>
      </c>
      <c r="H471" s="53">
        <f>SUM(H469:H470)</f>
        <v>1449640.2</v>
      </c>
      <c r="I471" s="53">
        <f>SUM(I469:I470)</f>
        <v>0</v>
      </c>
      <c r="J471" s="53">
        <f>SUM(J469:J470)</f>
        <v>153353.92000000001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10785572.77</v>
      </c>
      <c r="G473" s="18">
        <v>302642.34999999998</v>
      </c>
      <c r="H473" s="18">
        <v>1449640.2</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v>0</v>
      </c>
      <c r="K474" s="24" t="s">
        <v>288</v>
      </c>
      <c r="L474" s="24" t="s">
        <v>288</v>
      </c>
      <c r="N474" s="264"/>
    </row>
    <row r="475" spans="1:14" s="52" customFormat="1" ht="12.2" customHeight="1" x14ac:dyDescent="0.2">
      <c r="A475" s="92" t="s">
        <v>426</v>
      </c>
      <c r="B475" s="75">
        <v>19</v>
      </c>
      <c r="C475" s="80">
        <v>7</v>
      </c>
      <c r="D475" s="2" t="s">
        <v>432</v>
      </c>
      <c r="E475" s="80"/>
      <c r="F475" s="53">
        <f>SUM(F473:F474)</f>
        <v>10785572.77</v>
      </c>
      <c r="G475" s="53">
        <f>SUM(G473:G474)</f>
        <v>302642.34999999998</v>
      </c>
      <c r="H475" s="53">
        <f>SUM(H473:H474)</f>
        <v>1449640.2</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1546831.1400000006</v>
      </c>
      <c r="G477" s="53">
        <f>(G466+G471)- G475</f>
        <v>67087.840000000026</v>
      </c>
      <c r="H477" s="53">
        <f>(H466+H471)- H475</f>
        <v>0</v>
      </c>
      <c r="I477" s="53">
        <f>(I466+I471)- I475</f>
        <v>0</v>
      </c>
      <c r="J477" s="53">
        <f>(J466+J471)- J475</f>
        <v>447390.32999999996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1817</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3504725</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4.75</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525000</v>
      </c>
      <c r="G496" s="18"/>
      <c r="H496" s="18"/>
      <c r="I496" s="18"/>
      <c r="J496" s="18"/>
      <c r="K496" s="53">
        <f>SUM(F496:J496)</f>
        <v>525000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v>350000</v>
      </c>
      <c r="G499" s="203"/>
      <c r="H499" s="203"/>
      <c r="I499" s="203"/>
      <c r="J499" s="203"/>
      <c r="K499" s="204">
        <f t="shared" si="35"/>
        <v>350000</v>
      </c>
      <c r="L499" s="205" t="s">
        <v>288</v>
      </c>
      <c r="N499" s="264"/>
    </row>
    <row r="500" spans="1:14" s="52" customFormat="1" ht="12.2" customHeight="1" thickBot="1" x14ac:dyDescent="0.25">
      <c r="A500" s="22" t="s">
        <v>623</v>
      </c>
      <c r="B500" s="75">
        <v>20</v>
      </c>
      <c r="C500" s="115">
        <v>10</v>
      </c>
      <c r="D500" s="2" t="s">
        <v>432</v>
      </c>
      <c r="E500" s="115"/>
      <c r="F500" s="18">
        <v>14000</v>
      </c>
      <c r="G500" s="18"/>
      <c r="H500" s="18"/>
      <c r="I500" s="18"/>
      <c r="J500" s="18"/>
      <c r="K500" s="53">
        <f t="shared" si="35"/>
        <v>14000</v>
      </c>
      <c r="L500" s="24" t="s">
        <v>288</v>
      </c>
      <c r="N500" s="264"/>
    </row>
    <row r="501" spans="1:14" s="52" customFormat="1" ht="12.2" customHeight="1" thickTop="1" x14ac:dyDescent="0.2">
      <c r="A501" s="139" t="s">
        <v>624</v>
      </c>
      <c r="B501" s="44">
        <v>20</v>
      </c>
      <c r="C501" s="194">
        <v>11</v>
      </c>
      <c r="D501" s="39" t="s">
        <v>432</v>
      </c>
      <c r="E501" s="194"/>
      <c r="F501" s="42">
        <f>SUM(F499:F500)</f>
        <v>364000</v>
      </c>
      <c r="G501" s="42">
        <f>SUM(G499:G500)</f>
        <v>0</v>
      </c>
      <c r="H501" s="42">
        <f>SUM(H499:H500)</f>
        <v>0</v>
      </c>
      <c r="I501" s="42">
        <f>SUM(I499:I500)</f>
        <v>0</v>
      </c>
      <c r="J501" s="42">
        <f>SUM(J499:J500)</f>
        <v>0</v>
      </c>
      <c r="K501" s="42">
        <f t="shared" si="35"/>
        <v>364000</v>
      </c>
      <c r="L501" s="45" t="s">
        <v>288</v>
      </c>
      <c r="N501" s="264"/>
    </row>
    <row r="502" spans="1:14" s="52" customFormat="1" ht="12.2" customHeight="1" x14ac:dyDescent="0.2">
      <c r="A502" s="199" t="s">
        <v>651</v>
      </c>
      <c r="B502" s="200">
        <v>20</v>
      </c>
      <c r="C502" s="201">
        <v>12</v>
      </c>
      <c r="D502" s="202" t="s">
        <v>432</v>
      </c>
      <c r="E502" s="201"/>
      <c r="F502" s="203">
        <v>175000</v>
      </c>
      <c r="G502" s="203"/>
      <c r="H502" s="203"/>
      <c r="I502" s="203"/>
      <c r="J502" s="203"/>
      <c r="K502" s="204">
        <f t="shared" si="35"/>
        <v>175000</v>
      </c>
      <c r="L502" s="205" t="s">
        <v>288</v>
      </c>
      <c r="N502" s="264"/>
    </row>
    <row r="503" spans="1:14" s="52" customFormat="1" ht="12.2" customHeight="1" thickBot="1" x14ac:dyDescent="0.25">
      <c r="A503" s="22" t="s">
        <v>625</v>
      </c>
      <c r="B503" s="75">
        <v>20</v>
      </c>
      <c r="C503" s="115">
        <v>13</v>
      </c>
      <c r="D503" s="2" t="s">
        <v>432</v>
      </c>
      <c r="E503" s="115"/>
      <c r="F503" s="18">
        <v>10500</v>
      </c>
      <c r="G503" s="18"/>
      <c r="H503" s="18"/>
      <c r="I503" s="18"/>
      <c r="J503" s="18"/>
      <c r="K503" s="53">
        <f t="shared" si="35"/>
        <v>10500</v>
      </c>
      <c r="L503" s="24" t="s">
        <v>288</v>
      </c>
      <c r="N503" s="264"/>
    </row>
    <row r="504" spans="1:14" s="52" customFormat="1" ht="12.2" customHeight="1" thickTop="1" x14ac:dyDescent="0.2">
      <c r="A504" s="139" t="s">
        <v>626</v>
      </c>
      <c r="B504" s="44">
        <v>20</v>
      </c>
      <c r="C504" s="194">
        <v>14</v>
      </c>
      <c r="D504" s="39" t="s">
        <v>432</v>
      </c>
      <c r="E504" s="194"/>
      <c r="F504" s="42">
        <f>SUM(F502:F503)</f>
        <v>185500</v>
      </c>
      <c r="G504" s="42">
        <f>SUM(G502:G503)</f>
        <v>0</v>
      </c>
      <c r="H504" s="42">
        <f>SUM(H502:H503)</f>
        <v>0</v>
      </c>
      <c r="I504" s="42">
        <f>SUM(I502:I503)</f>
        <v>0</v>
      </c>
      <c r="J504" s="42">
        <f>SUM(J502:J503)</f>
        <v>0</v>
      </c>
      <c r="K504" s="42">
        <f t="shared" si="35"/>
        <v>185500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783799.86</v>
      </c>
      <c r="G522" s="18">
        <v>214568.09</v>
      </c>
      <c r="H522" s="18">
        <v>1852071.91</v>
      </c>
      <c r="I522" s="18">
        <v>3955.82</v>
      </c>
      <c r="J522" s="18"/>
      <c r="K522" s="18"/>
      <c r="L522" s="88">
        <f>SUM(F522:K522)</f>
        <v>2854395.6799999997</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1599278.38</v>
      </c>
      <c r="I524" s="18"/>
      <c r="J524" s="18"/>
      <c r="K524" s="18"/>
      <c r="L524" s="88">
        <f>SUM(F524:K524)</f>
        <v>1599278.38</v>
      </c>
      <c r="N524" s="264"/>
    </row>
    <row r="525" spans="1:14" s="52" customFormat="1" ht="12.2" customHeight="1" thickTop="1" x14ac:dyDescent="0.2">
      <c r="A525" s="139" t="s">
        <v>63</v>
      </c>
      <c r="B525" s="107">
        <v>21</v>
      </c>
      <c r="C525" s="194">
        <v>4</v>
      </c>
      <c r="D525" s="195" t="s">
        <v>432</v>
      </c>
      <c r="E525" s="194"/>
      <c r="F525" s="108">
        <f>SUM(F522:F524)</f>
        <v>783799.86</v>
      </c>
      <c r="G525" s="108">
        <f t="shared" ref="G525:L525" si="36">SUM(G522:G524)</f>
        <v>214568.09</v>
      </c>
      <c r="H525" s="108">
        <f t="shared" si="36"/>
        <v>3451350.29</v>
      </c>
      <c r="I525" s="108">
        <f t="shared" si="36"/>
        <v>3955.82</v>
      </c>
      <c r="J525" s="108">
        <f t="shared" si="36"/>
        <v>0</v>
      </c>
      <c r="K525" s="108">
        <f t="shared" si="36"/>
        <v>0</v>
      </c>
      <c r="L525" s="89">
        <f t="shared" si="36"/>
        <v>4453674.0599999996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234621</v>
      </c>
      <c r="G527" s="18">
        <v>117997.93</v>
      </c>
      <c r="H527" s="18">
        <v>11815</v>
      </c>
      <c r="I527" s="18">
        <v>1173.76</v>
      </c>
      <c r="J527" s="18">
        <v>200</v>
      </c>
      <c r="K527" s="18"/>
      <c r="L527" s="88">
        <f>SUM(F527:K527)</f>
        <v>365807.69</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85588.33</v>
      </c>
      <c r="I529" s="18"/>
      <c r="J529" s="18"/>
      <c r="K529" s="18"/>
      <c r="L529" s="88">
        <f>SUM(F529:K529)</f>
        <v>85588.33</v>
      </c>
      <c r="M529" s="8"/>
      <c r="N529" s="265"/>
    </row>
    <row r="530" spans="1:14" s="3" customFormat="1" ht="12.2" customHeight="1" thickTop="1" x14ac:dyDescent="0.15">
      <c r="A530" s="139" t="s">
        <v>65</v>
      </c>
      <c r="B530" s="107">
        <v>21</v>
      </c>
      <c r="C530" s="107">
        <v>8</v>
      </c>
      <c r="D530" s="158" t="s">
        <v>432</v>
      </c>
      <c r="E530" s="107"/>
      <c r="F530" s="89">
        <f>SUM(F527:F529)</f>
        <v>234621</v>
      </c>
      <c r="G530" s="89">
        <f t="shared" ref="G530:L530" si="37">SUM(G527:G529)</f>
        <v>117997.93</v>
      </c>
      <c r="H530" s="89">
        <f t="shared" si="37"/>
        <v>97403.33</v>
      </c>
      <c r="I530" s="89">
        <f t="shared" si="37"/>
        <v>1173.76</v>
      </c>
      <c r="J530" s="89">
        <f t="shared" si="37"/>
        <v>200</v>
      </c>
      <c r="K530" s="89">
        <f t="shared" si="37"/>
        <v>0</v>
      </c>
      <c r="L530" s="89">
        <f t="shared" si="37"/>
        <v>451396.02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118751.99</v>
      </c>
      <c r="G532" s="18">
        <v>86166.68</v>
      </c>
      <c r="H532" s="18"/>
      <c r="I532" s="18"/>
      <c r="J532" s="18"/>
      <c r="K532" s="18"/>
      <c r="L532" s="88">
        <f>SUM(F532:K532)</f>
        <v>204918.66999999998</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118751.99</v>
      </c>
      <c r="G535" s="89">
        <f t="shared" ref="G535:L535" si="38">SUM(G532:G534)</f>
        <v>86166.68</v>
      </c>
      <c r="H535" s="89">
        <f t="shared" si="38"/>
        <v>0</v>
      </c>
      <c r="I535" s="89">
        <f t="shared" si="38"/>
        <v>0</v>
      </c>
      <c r="J535" s="89">
        <f t="shared" si="38"/>
        <v>0</v>
      </c>
      <c r="K535" s="89">
        <f t="shared" si="38"/>
        <v>0</v>
      </c>
      <c r="L535" s="89">
        <f t="shared" si="38"/>
        <v>204918.66999999998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299002.23999999999</v>
      </c>
      <c r="I542" s="18"/>
      <c r="J542" s="18"/>
      <c r="K542" s="18"/>
      <c r="L542" s="88">
        <f>SUM(F542:K542)</f>
        <v>299002.23999999999</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117880.1</v>
      </c>
      <c r="I544" s="18"/>
      <c r="J544" s="18"/>
      <c r="K544" s="18"/>
      <c r="L544" s="88">
        <f>SUM(F544:K544)</f>
        <v>117880.1</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416882.33999999997</v>
      </c>
      <c r="I545" s="192">
        <f t="shared" si="40"/>
        <v>0</v>
      </c>
      <c r="J545" s="192">
        <f t="shared" si="40"/>
        <v>0</v>
      </c>
      <c r="K545" s="192">
        <f t="shared" si="40"/>
        <v>0</v>
      </c>
      <c r="L545" s="192">
        <f t="shared" si="40"/>
        <v>416882.33999999997</v>
      </c>
      <c r="M545" s="8"/>
      <c r="N545" s="265"/>
    </row>
    <row r="546" spans="1:14" s="3" customFormat="1" ht="12.2" customHeight="1" thickTop="1" x14ac:dyDescent="0.15">
      <c r="A546" s="98" t="s">
        <v>72</v>
      </c>
      <c r="B546" s="107">
        <v>21</v>
      </c>
      <c r="C546" s="107">
        <v>21</v>
      </c>
      <c r="D546" s="158" t="s">
        <v>432</v>
      </c>
      <c r="E546" s="107"/>
      <c r="F546" s="89">
        <f>F525+F530+F535+F540+F545</f>
        <v>1137172.8500000001</v>
      </c>
      <c r="G546" s="89">
        <f t="shared" ref="G546:L546" si="41">G525+G530+G535+G540+G545</f>
        <v>418732.7</v>
      </c>
      <c r="H546" s="89">
        <f t="shared" si="41"/>
        <v>3965635.96</v>
      </c>
      <c r="I546" s="89">
        <f t="shared" si="41"/>
        <v>5129.58</v>
      </c>
      <c r="J546" s="89">
        <f t="shared" si="41"/>
        <v>200</v>
      </c>
      <c r="K546" s="89">
        <f t="shared" si="41"/>
        <v>0</v>
      </c>
      <c r="L546" s="89">
        <f t="shared" si="41"/>
        <v>5526871.0899999999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2854395.6799999997</v>
      </c>
      <c r="G550" s="87">
        <f>L527</f>
        <v>365807.69</v>
      </c>
      <c r="H550" s="87">
        <f>L532</f>
        <v>204918.66999999998</v>
      </c>
      <c r="I550" s="87">
        <f>L537</f>
        <v>0</v>
      </c>
      <c r="J550" s="87">
        <f>L542</f>
        <v>299002.23999999999</v>
      </c>
      <c r="K550" s="87">
        <f>SUM(F550:J550)</f>
        <v>3724124.2799999993</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1599278.38</v>
      </c>
      <c r="G552" s="87">
        <f>L529</f>
        <v>85588.33</v>
      </c>
      <c r="H552" s="87">
        <f>L534</f>
        <v>0</v>
      </c>
      <c r="I552" s="87">
        <f>L539</f>
        <v>0</v>
      </c>
      <c r="J552" s="87">
        <f>L544</f>
        <v>117880.1</v>
      </c>
      <c r="K552" s="87">
        <f>SUM(F552:J552)</f>
        <v>1802746.81</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4453674.0599999996</v>
      </c>
      <c r="G553" s="89">
        <f t="shared" si="42"/>
        <v>451396.02</v>
      </c>
      <c r="H553" s="89">
        <f t="shared" si="42"/>
        <v>204918.66999999998</v>
      </c>
      <c r="I553" s="89">
        <f t="shared" si="42"/>
        <v>0</v>
      </c>
      <c r="J553" s="89">
        <f t="shared" si="42"/>
        <v>416882.33999999997</v>
      </c>
      <c r="K553" s="89">
        <f t="shared" si="42"/>
        <v>5526871.0899999999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50300</v>
      </c>
      <c r="G563" s="18">
        <v>41800.65</v>
      </c>
      <c r="H563" s="18"/>
      <c r="I563" s="18"/>
      <c r="J563" s="18"/>
      <c r="K563" s="18"/>
      <c r="L563" s="88">
        <f>SUM(F563:K563)</f>
        <v>92100.65</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50300</v>
      </c>
      <c r="G566" s="89">
        <f t="shared" si="44"/>
        <v>41800.65</v>
      </c>
      <c r="H566" s="89">
        <f t="shared" si="44"/>
        <v>0</v>
      </c>
      <c r="I566" s="89">
        <f t="shared" si="44"/>
        <v>0</v>
      </c>
      <c r="J566" s="89">
        <f t="shared" si="44"/>
        <v>0</v>
      </c>
      <c r="K566" s="89">
        <f t="shared" si="44"/>
        <v>0</v>
      </c>
      <c r="L566" s="89">
        <f t="shared" si="44"/>
        <v>92100.65</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50300</v>
      </c>
      <c r="G572" s="89">
        <f t="shared" ref="G572:L572" si="46">G561+G566+G571</f>
        <v>41800.65</v>
      </c>
      <c r="H572" s="89">
        <f t="shared" si="46"/>
        <v>0</v>
      </c>
      <c r="I572" s="89">
        <f t="shared" si="46"/>
        <v>0</v>
      </c>
      <c r="J572" s="89">
        <f t="shared" si="46"/>
        <v>0</v>
      </c>
      <c r="K572" s="89">
        <f t="shared" si="46"/>
        <v>0</v>
      </c>
      <c r="L572" s="89">
        <f t="shared" si="46"/>
        <v>92100.65</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1640523.42</v>
      </c>
      <c r="I576" s="87">
        <f>SUM(F576:H576)</f>
        <v>1640523.42</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1098380.6499999999</v>
      </c>
      <c r="I580" s="87">
        <f t="shared" si="47"/>
        <v>1098380.6499999999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349851.33</v>
      </c>
      <c r="G583" s="18"/>
      <c r="H583" s="18">
        <v>394113.24</v>
      </c>
      <c r="I583" s="87">
        <f t="shared" si="47"/>
        <v>743964.57000000007</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212472.38</v>
      </c>
      <c r="I592" s="18"/>
      <c r="J592" s="18">
        <v>86784.49</v>
      </c>
      <c r="K592" s="104">
        <f t="shared" ref="K592:K598" si="48">SUM(H592:J592)</f>
        <v>299256.87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299002.23999999999</v>
      </c>
      <c r="I593" s="18"/>
      <c r="J593" s="18">
        <v>117880.1</v>
      </c>
      <c r="K593" s="104">
        <f t="shared" si="48"/>
        <v>416882.33999999997</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3890.1</v>
      </c>
      <c r="I595" s="18"/>
      <c r="J595" s="18"/>
      <c r="K595" s="104">
        <f t="shared" si="48"/>
        <v>3890.1</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551.4</v>
      </c>
      <c r="I596" s="18"/>
      <c r="J596" s="18"/>
      <c r="K596" s="104">
        <f t="shared" si="48"/>
        <v>551.4</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515916.12</v>
      </c>
      <c r="I599" s="108">
        <f>SUM(I592:I598)</f>
        <v>0</v>
      </c>
      <c r="J599" s="108">
        <f>SUM(J592:J598)</f>
        <v>204664.59000000003</v>
      </c>
      <c r="K599" s="108">
        <f>SUM(K592:K598)</f>
        <v>720580.71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91446.89</v>
      </c>
      <c r="I605" s="18"/>
      <c r="J605" s="18"/>
      <c r="K605" s="104">
        <f>SUM(H605:J605)</f>
        <v>91446.89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91446.89</v>
      </c>
      <c r="I606" s="108">
        <f>SUM(I603:I605)</f>
        <v>0</v>
      </c>
      <c r="J606" s="108">
        <f>SUM(J603:J605)</f>
        <v>0</v>
      </c>
      <c r="K606" s="108">
        <f>SUM(K603:K605)</f>
        <v>91446.89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49292.2</v>
      </c>
      <c r="G612" s="18">
        <v>10477.09</v>
      </c>
      <c r="H612" s="18">
        <v>1247.03</v>
      </c>
      <c r="I612" s="18">
        <v>5486.93</v>
      </c>
      <c r="J612" s="18"/>
      <c r="K612" s="18"/>
      <c r="L612" s="88">
        <f>SUM(F612:K612)</f>
        <v>66503.25</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49292.2</v>
      </c>
      <c r="G615" s="108">
        <f t="shared" si="49"/>
        <v>10477.09</v>
      </c>
      <c r="H615" s="108">
        <f t="shared" si="49"/>
        <v>1247.03</v>
      </c>
      <c r="I615" s="108">
        <f t="shared" si="49"/>
        <v>5486.93</v>
      </c>
      <c r="J615" s="108">
        <f t="shared" si="49"/>
        <v>0</v>
      </c>
      <c r="K615" s="108">
        <f t="shared" si="49"/>
        <v>0</v>
      </c>
      <c r="L615" s="89">
        <f t="shared" si="49"/>
        <v>66503.25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1753632.2199999997</v>
      </c>
      <c r="H618" s="109">
        <f>SUM(F52)</f>
        <v>1753632.22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86554.13</v>
      </c>
      <c r="H619" s="109">
        <f>SUM(G52)</f>
        <v>86554.13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578135.01</v>
      </c>
      <c r="H620" s="109">
        <f>SUM(H52)</f>
        <v>578135.01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447390.33</v>
      </c>
      <c r="H622" s="109">
        <f>SUM(J52)</f>
        <v>447390.33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1546831.14</v>
      </c>
      <c r="H623" s="109">
        <f>F477</f>
        <v>1546831.1400000006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67087.839999999997</v>
      </c>
      <c r="H624" s="109">
        <f>G477</f>
        <v>67087.840000000026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447390.33</v>
      </c>
      <c r="H627" s="109">
        <f>J477</f>
        <v>447390.32999999996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12152611.91</v>
      </c>
      <c r="H628" s="104">
        <f>SUM(F469)</f>
        <v>12152611.91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359277.96</v>
      </c>
      <c r="H629" s="104">
        <f>SUM(G469)</f>
        <v>359277.96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1449640.2</v>
      </c>
      <c r="H630" s="104">
        <f>SUM(H469)</f>
        <v>1449640.2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150000</v>
      </c>
      <c r="H632" s="104">
        <f>SUM(J469)</f>
        <v>150000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10785572.770000001</v>
      </c>
      <c r="H633" s="104">
        <f>SUM(F473)</f>
        <v>10785572.77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1449640.2000000002</v>
      </c>
      <c r="H634" s="104">
        <f>SUM(H473)</f>
        <v>1449640.2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3925</v>
      </c>
      <c r="H635" s="104">
        <f>I370</f>
        <v>3925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302642.34999999998</v>
      </c>
      <c r="H636" s="104">
        <f>SUM(G473)</f>
        <v>302642.34999999998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150000</v>
      </c>
      <c r="H638" s="164">
        <f>SUM(J469)</f>
        <v>150000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220624.63</v>
      </c>
      <c r="H640" s="104">
        <f>SUM(F462)</f>
        <v>220624.63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226765.7</v>
      </c>
      <c r="H641" s="104">
        <f>SUM(G462)</f>
        <v>226765.7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447390.33</v>
      </c>
      <c r="H643" s="104">
        <f>SUM(I462)</f>
        <v>447390.33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150000</v>
      </c>
      <c r="H646" s="104">
        <f>G409</f>
        <v>150000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150000</v>
      </c>
      <c r="H647" s="104">
        <f>L409</f>
        <v>150000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720580.71</v>
      </c>
      <c r="H648" s="104">
        <f>L209+L227+L245</f>
        <v>720580.71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91446.89</v>
      </c>
      <c r="H649" s="104">
        <f>(J258+J339)-(J256+J337)</f>
        <v>91446.889999999985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515916.12</v>
      </c>
      <c r="H650" s="104">
        <f>H599</f>
        <v>515916.12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204664.59</v>
      </c>
      <c r="H652" s="104">
        <f>J599</f>
        <v>204664.59000000003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40250.31</v>
      </c>
      <c r="H653" s="104">
        <f>K264+K346</f>
        <v>40250.31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150000</v>
      </c>
      <c r="H656" s="104">
        <f>K267+K348</f>
        <v>150000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8677301.5500000007</v>
      </c>
      <c r="G661" s="19">
        <f>(L230+L310+L360)</f>
        <v>0</v>
      </c>
      <c r="H661" s="19">
        <f>(L248+L329+L361)</f>
        <v>3423270.2299999995</v>
      </c>
      <c r="I661" s="19">
        <f>SUM(F661:H661)</f>
        <v>12100571.780000001</v>
      </c>
      <c r="J661" s="13"/>
      <c r="K661" s="13"/>
      <c r="L661" s="13"/>
      <c r="M661" s="9"/>
    </row>
    <row r="662" spans="1:13" s="3" customFormat="1" ht="12.2" customHeight="1" x14ac:dyDescent="0.2">
      <c r="A662" s="1" t="s">
        <v>127</v>
      </c>
      <c r="F662" s="19">
        <f>(L359/IF(SUM(L359:L361)=0,1,SUM(L359:L361))*(SUM(G97:G110)))</f>
        <v>2483.15</v>
      </c>
      <c r="G662" s="19">
        <f>(L360/IF(SUM(L359:L361)=0,1,SUM(L359:L361))*(SUM(G97:G110)))</f>
        <v>0</v>
      </c>
      <c r="H662" s="19">
        <f>(L361/IF(SUM(L359:L361)=0,1,SUM(L359:L361))*(SUM(G97:G110)))</f>
        <v>0</v>
      </c>
      <c r="I662" s="19">
        <f>SUM(F662:H662)</f>
        <v>2483.15</v>
      </c>
      <c r="J662"/>
      <c r="K662" s="13"/>
      <c r="L662" s="13"/>
      <c r="M662" s="8"/>
    </row>
    <row r="663" spans="1:13" s="3" customFormat="1" ht="12.2" customHeight="1" x14ac:dyDescent="0.2">
      <c r="A663" s="1" t="s">
        <v>128</v>
      </c>
      <c r="F663" s="19">
        <f>(L209+L288)-(J209+J288)</f>
        <v>515916.12</v>
      </c>
      <c r="G663" s="19">
        <f>(L227+L307)-(J227+J307)</f>
        <v>0</v>
      </c>
      <c r="H663" s="19">
        <f>(L245+L326)-(J245+J326)</f>
        <v>204664.59</v>
      </c>
      <c r="I663" s="19">
        <f>SUM(F663:H663)</f>
        <v>720580.71</v>
      </c>
      <c r="J663"/>
      <c r="K663" s="13"/>
      <c r="L663" s="13"/>
      <c r="M663" s="9"/>
    </row>
    <row r="664" spans="1:13" s="3" customFormat="1" ht="12.2" customHeight="1" x14ac:dyDescent="0.15">
      <c r="A664" s="197" t="s">
        <v>129</v>
      </c>
      <c r="B664" s="169"/>
      <c r="C664" s="169"/>
      <c r="D664" s="169"/>
      <c r="E664" s="169"/>
      <c r="F664" s="198">
        <f>SUM(F576:F588)+SUM(H603:H605)+SUM(L612)</f>
        <v>507801.47000000003</v>
      </c>
      <c r="G664" s="198">
        <f>SUM(G576:G588)+SUM(I603:I605)+L613</f>
        <v>0</v>
      </c>
      <c r="H664" s="198">
        <f>SUM(H576:H588)+SUM(J603:J605)+L614</f>
        <v>3133017.3099999996</v>
      </c>
      <c r="I664" s="19">
        <f>SUM(F664:H664)</f>
        <v>3640818.78</v>
      </c>
      <c r="J664" s="13"/>
      <c r="K664" s="13"/>
      <c r="L664" s="13"/>
      <c r="M664" s="9"/>
    </row>
    <row r="665" spans="1:13" s="3" customFormat="1" ht="12.2" customHeight="1" x14ac:dyDescent="0.15">
      <c r="A665" s="1" t="s">
        <v>130</v>
      </c>
      <c r="F665" s="19">
        <f>F661-SUM(F662:F664)</f>
        <v>7651100.8100000005</v>
      </c>
      <c r="G665" s="19">
        <f>G661-SUM(G662:G664)</f>
        <v>0</v>
      </c>
      <c r="H665" s="19">
        <f>H661-SUM(H662:H664)</f>
        <v>85588.330000000075</v>
      </c>
      <c r="I665" s="19">
        <f>I661-SUM(I662:I664)</f>
        <v>7736689.1400000015</v>
      </c>
      <c r="J665" s="13"/>
      <c r="K665" s="13"/>
      <c r="L665" s="13"/>
      <c r="M665" s="8"/>
    </row>
    <row r="666" spans="1:13" s="3" customFormat="1" ht="12.2" customHeight="1" x14ac:dyDescent="0.2">
      <c r="A666" s="1" t="s">
        <v>131</v>
      </c>
      <c r="F666" s="245">
        <v>335.48</v>
      </c>
      <c r="G666" s="246"/>
      <c r="H666" s="246"/>
      <c r="I666" s="19">
        <f>SUM(F666:H666)</f>
        <v>335.48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22806.43</v>
      </c>
      <c r="G668" s="19" t="e">
        <f>ROUND(G665/G666,2)</f>
        <v>#DIV/0!</v>
      </c>
      <c r="H668" s="19" t="e">
        <f>ROUND(H665/H666,2)</f>
        <v>#DIV/0!</v>
      </c>
      <c r="I668" s="19">
        <f>ROUND(I665/I666,2)</f>
        <v>23061.55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-85588.33</v>
      </c>
      <c r="I670" s="19">
        <f>SUM(F670:H670)</f>
        <v>-85588.33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22806.43</v>
      </c>
      <c r="G673" s="19" t="e">
        <f>ROUND((G665+G670)/(G666+G671),2)</f>
        <v>#DIV/0!</v>
      </c>
      <c r="H673" s="19" t="e">
        <f>ROUND((H665+H670)/(H666+H671),2)</f>
        <v>#DIV/0!</v>
      </c>
      <c r="I673" s="19">
        <f>ROUND((I665+I670)/(I666+I671),2)</f>
        <v>22806.43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D29" sqref="D29"/>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73100.55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37111.86</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19581.12</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16407.57</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7"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Winchester</v>
      </c>
      <c r="C5" s="375"/>
      <c r="D5" s="375"/>
      <c r="E5" s="375"/>
      <c r="F5" s="375"/>
    </row>
    <row r="8" spans="1:9" ht="18" x14ac:dyDescent="0.25">
      <c r="A8" s="312" t="s">
        <v>1568</v>
      </c>
      <c r="F8" s="319" t="s">
        <v>1586</v>
      </c>
    </row>
    <row r="9" spans="1:9" ht="15" x14ac:dyDescent="0.2">
      <c r="A9" s="310" t="s">
        <v>1569</v>
      </c>
      <c r="B9" s="313">
        <f>'DOE25'!G97</f>
        <v>2483.15</v>
      </c>
      <c r="F9" s="310" t="s">
        <v>1582</v>
      </c>
    </row>
    <row r="10" spans="1:9" ht="15" x14ac:dyDescent="0.2">
      <c r="A10" s="310" t="s">
        <v>1570</v>
      </c>
      <c r="B10" s="313">
        <f>'DOE25'!G112-'DOE25'!G97</f>
        <v>0</v>
      </c>
      <c r="F10" s="310" t="s">
        <v>1583</v>
      </c>
    </row>
    <row r="11" spans="1:9" ht="15" x14ac:dyDescent="0.2">
      <c r="A11" s="310" t="s">
        <v>1571</v>
      </c>
      <c r="B11" s="313">
        <f>'DOE25'!G140</f>
        <v>3312.1</v>
      </c>
      <c r="F11" s="310" t="s">
        <v>1584</v>
      </c>
    </row>
    <row r="12" spans="1:9" ht="15" x14ac:dyDescent="0.2">
      <c r="A12" s="310" t="s">
        <v>1572</v>
      </c>
      <c r="B12" s="313">
        <f>'DOE25'!G170</f>
        <v>313232.40000000002</v>
      </c>
      <c r="F12" s="310" t="s">
        <v>1585</v>
      </c>
    </row>
    <row r="13" spans="1:9" ht="15" x14ac:dyDescent="0.2">
      <c r="A13" s="310" t="s">
        <v>1573</v>
      </c>
      <c r="B13" s="313">
        <f>'DOE25'!G193-'DOE25'!G180</f>
        <v>0</v>
      </c>
      <c r="F13" s="310" t="s">
        <v>1595</v>
      </c>
    </row>
    <row r="14" spans="1:9" ht="18" x14ac:dyDescent="0.25">
      <c r="A14" s="312" t="s">
        <v>732</v>
      </c>
      <c r="B14" s="314">
        <f>SUM(B9:B13)</f>
        <v>319027.65000000002</v>
      </c>
    </row>
    <row r="16" spans="1:9" ht="18" x14ac:dyDescent="0.25">
      <c r="A16" s="312" t="s">
        <v>786</v>
      </c>
      <c r="F16" s="319" t="s">
        <v>1587</v>
      </c>
    </row>
    <row r="17" spans="1:6" ht="15" x14ac:dyDescent="0.2">
      <c r="A17" s="310" t="s">
        <v>1574</v>
      </c>
      <c r="B17" s="313">
        <f>'DOE25'!L363-'DOE25'!L362</f>
        <v>302642.34999999998</v>
      </c>
      <c r="F17" s="310" t="s">
        <v>1588</v>
      </c>
    </row>
    <row r="18" spans="1:6" ht="15" x14ac:dyDescent="0.2">
      <c r="A18" s="310" t="s">
        <v>1575</v>
      </c>
      <c r="B18" s="323"/>
      <c r="F18" s="319" t="s">
        <v>1612</v>
      </c>
    </row>
    <row r="19" spans="1:6" ht="18" x14ac:dyDescent="0.25">
      <c r="A19" s="312" t="s">
        <v>725</v>
      </c>
      <c r="B19" s="314">
        <f>SUM(B17:B18)</f>
        <v>302642.34999999998</v>
      </c>
    </row>
    <row r="21" spans="1:6" ht="18.75" thickBot="1" x14ac:dyDescent="0.3">
      <c r="A21" s="312" t="s">
        <v>1576</v>
      </c>
    </row>
    <row r="22" spans="1:6" ht="18.75" thickTop="1" x14ac:dyDescent="0.25">
      <c r="A22" s="312" t="s">
        <v>1577</v>
      </c>
      <c r="B22" s="318">
        <f>B14-B19</f>
        <v>16385.300000000047</v>
      </c>
      <c r="F22" s="310" t="s">
        <v>1589</v>
      </c>
    </row>
    <row r="26" spans="1:6" ht="18" x14ac:dyDescent="0.25">
      <c r="A26" s="312" t="s">
        <v>186</v>
      </c>
    </row>
    <row r="27" spans="1:6" ht="15" x14ac:dyDescent="0.2">
      <c r="A27" s="310" t="s">
        <v>1578</v>
      </c>
      <c r="B27" s="313">
        <f>'DOE25'!G180</f>
        <v>40250.31</v>
      </c>
      <c r="F27" s="310" t="s">
        <v>1590</v>
      </c>
    </row>
    <row r="28" spans="1:6" ht="15" x14ac:dyDescent="0.2">
      <c r="A28" s="310" t="s">
        <v>1580</v>
      </c>
      <c r="B28" s="313">
        <f>'DOE25'!L362</f>
        <v>0</v>
      </c>
      <c r="F28" s="310" t="s">
        <v>1591</v>
      </c>
    </row>
    <row r="31" spans="1:6" ht="15" x14ac:dyDescent="0.2">
      <c r="A31" s="310" t="s">
        <v>1634</v>
      </c>
      <c r="B31" s="313">
        <f>'DOE25'!G466</f>
        <v>10452.23</v>
      </c>
      <c r="F31" s="310" t="s">
        <v>1592</v>
      </c>
    </row>
    <row r="33" spans="1:6" ht="15" x14ac:dyDescent="0.2">
      <c r="A33" s="310" t="s">
        <v>1635</v>
      </c>
      <c r="B33" s="313">
        <f>'DOE25'!G477</f>
        <v>67087.840000000026</v>
      </c>
      <c r="F33" s="310" t="s">
        <v>1593</v>
      </c>
    </row>
    <row r="36" spans="1:6" ht="15" x14ac:dyDescent="0.2">
      <c r="A36" s="310" t="s">
        <v>1579</v>
      </c>
      <c r="B36" s="324">
        <v>12916.64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26" sqref="G26"/>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Winchester</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1602681.36</v>
      </c>
      <c r="C9" s="228">
        <f>'DOE25'!G198+'DOE25'!G216+'DOE25'!G234+'DOE25'!G277+'DOE25'!G296+'DOE25'!G315</f>
        <v>932213.84</v>
      </c>
    </row>
    <row r="10" spans="1:3" x14ac:dyDescent="0.2">
      <c r="A10" t="s">
        <v>775</v>
      </c>
      <c r="B10" s="239">
        <v>1396391.73</v>
      </c>
      <c r="C10" s="239">
        <v>824018.61</v>
      </c>
    </row>
    <row r="11" spans="1:3" x14ac:dyDescent="0.2">
      <c r="A11" t="s">
        <v>776</v>
      </c>
      <c r="B11" s="239">
        <v>0</v>
      </c>
      <c r="C11" s="239">
        <v>0</v>
      </c>
    </row>
    <row r="12" spans="1:3" x14ac:dyDescent="0.2">
      <c r="A12" t="s">
        <v>777</v>
      </c>
      <c r="B12" s="239">
        <v>206289.63</v>
      </c>
      <c r="C12" s="239">
        <v>108195.23</v>
      </c>
    </row>
    <row r="13" spans="1:3" x14ac:dyDescent="0.2">
      <c r="A13" t="str">
        <f>IF(B9=B13,IF(C9=C13,"Check Total OK","Check Total Error"),"Check Total Error")</f>
        <v>Check Total OK</v>
      </c>
      <c r="B13" s="230">
        <f>SUM(B10:B12)</f>
        <v>1602681.3599999999</v>
      </c>
      <c r="C13" s="230">
        <f>SUM(C10:C12)</f>
        <v>932213.84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902551.85</v>
      </c>
      <c r="C18" s="228">
        <f>'DOE25'!G199+'DOE25'!G217+'DOE25'!G235+'DOE25'!G278+'DOE25'!G297+'DOE25'!G316</f>
        <v>300734.77</v>
      </c>
    </row>
    <row r="19" spans="1:3" x14ac:dyDescent="0.2">
      <c r="A19" t="s">
        <v>775</v>
      </c>
      <c r="B19" s="239">
        <v>316441.94</v>
      </c>
      <c r="C19" s="239">
        <v>157993.04999999999</v>
      </c>
    </row>
    <row r="20" spans="1:3" x14ac:dyDescent="0.2">
      <c r="A20" t="s">
        <v>776</v>
      </c>
      <c r="B20" s="239">
        <v>380605.73</v>
      </c>
      <c r="C20" s="239">
        <v>44848.76</v>
      </c>
    </row>
    <row r="21" spans="1:3" x14ac:dyDescent="0.2">
      <c r="A21" t="s">
        <v>777</v>
      </c>
      <c r="B21" s="239">
        <v>205504.18</v>
      </c>
      <c r="C21" s="239">
        <v>97892.96</v>
      </c>
    </row>
    <row r="22" spans="1:3" x14ac:dyDescent="0.2">
      <c r="A22" t="str">
        <f>IF(B18=B22,IF(C18=C22,"Check Total OK","Check Total Error"),"Check Total Error")</f>
        <v>Check Total OK</v>
      </c>
      <c r="B22" s="230">
        <f>SUM(B19:B21)</f>
        <v>902551.84999999986</v>
      </c>
      <c r="C22" s="230">
        <f>SUM(C19:C21)</f>
        <v>300734.77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30327.75</v>
      </c>
      <c r="C36" s="234">
        <f>'DOE25'!G201+'DOE25'!G219+'DOE25'!G237+'DOE25'!G280+'DOE25'!G299+'DOE25'!G318</f>
        <v>4846.41</v>
      </c>
    </row>
    <row r="37" spans="1:3" x14ac:dyDescent="0.2">
      <c r="A37" t="s">
        <v>775</v>
      </c>
      <c r="B37" s="239">
        <v>27103.95</v>
      </c>
      <c r="C37" s="239">
        <v>2827.88</v>
      </c>
    </row>
    <row r="38" spans="1:3" x14ac:dyDescent="0.2">
      <c r="A38" t="s">
        <v>776</v>
      </c>
      <c r="B38" s="239">
        <v>2023.8</v>
      </c>
      <c r="C38" s="239">
        <v>93.62</v>
      </c>
    </row>
    <row r="39" spans="1:3" x14ac:dyDescent="0.2">
      <c r="A39" t="s">
        <v>777</v>
      </c>
      <c r="B39" s="239">
        <v>1200</v>
      </c>
      <c r="C39" s="239">
        <v>1924.91</v>
      </c>
    </row>
    <row r="40" spans="1:3" x14ac:dyDescent="0.2">
      <c r="A40" t="str">
        <f>IF(B36=B40,IF(C36=C40,"Check Total OK","Check Total Error"),"Check Total Error")</f>
        <v>Check Total OK</v>
      </c>
      <c r="B40" s="230">
        <f>SUM(B37:B39)</f>
        <v>30327.75</v>
      </c>
      <c r="C40" s="230">
        <f>SUM(C37:C39)</f>
        <v>4846.41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L41" sqref="L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Winchester</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6969020.6899999995</v>
      </c>
      <c r="D5" s="20">
        <f>SUM('DOE25'!L198:L201)+SUM('DOE25'!L216:L219)+SUM('DOE25'!L234:L237)-F5-G5-H5</f>
        <v>6968227.1899999995</v>
      </c>
      <c r="E5" s="242"/>
      <c r="F5" s="243">
        <v>0</v>
      </c>
      <c r="G5" s="53">
        <f>SUM('DOE25'!J198:J201)+SUM('DOE25'!J216:J219)+SUM('DOE25'!J234:J237)</f>
        <v>594.5</v>
      </c>
      <c r="H5" s="53">
        <f>SUM('DOE25'!K198:K201)+SUM('DOE25'!K216:K219)+SUM('DOE25'!K234:K237)</f>
        <v>199</v>
      </c>
      <c r="I5" s="255"/>
    </row>
    <row r="6" spans="1:9" x14ac:dyDescent="0.2">
      <c r="A6" s="32">
        <v>2100</v>
      </c>
      <c r="B6" t="s">
        <v>796</v>
      </c>
      <c r="C6" s="274">
        <f t="shared" si="0"/>
        <v>714748.83</v>
      </c>
      <c r="D6" s="20">
        <f>'DOE25'!L203+'DOE25'!L221+'DOE25'!L239-F6-G6-H6</f>
        <v>638917.49</v>
      </c>
      <c r="E6" s="242"/>
      <c r="F6" s="243">
        <v>75831.34</v>
      </c>
      <c r="G6" s="53">
        <f>'DOE25'!J203+'DOE25'!J221+'DOE25'!J239</f>
        <v>0</v>
      </c>
      <c r="H6" s="53">
        <f>'DOE25'!K203+'DOE25'!K221+'DOE25'!K239</f>
        <v>0</v>
      </c>
      <c r="I6" s="255"/>
    </row>
    <row r="7" spans="1:9" x14ac:dyDescent="0.2">
      <c r="A7" s="32">
        <v>2200</v>
      </c>
      <c r="B7" t="s">
        <v>821</v>
      </c>
      <c r="C7" s="274">
        <f t="shared" si="0"/>
        <v>104389.98</v>
      </c>
      <c r="D7" s="20">
        <f>'DOE25'!L204+'DOE25'!L222+'DOE25'!L240-F7-G7-H7</f>
        <v>104389.98</v>
      </c>
      <c r="E7" s="242"/>
      <c r="F7" s="243">
        <v>0</v>
      </c>
      <c r="G7" s="53">
        <f>'DOE25'!J204+'DOE25'!J222+'DOE25'!J240</f>
        <v>0</v>
      </c>
      <c r="H7" s="53">
        <f>'DOE25'!K204+'DOE25'!K222+'DOE25'!K240</f>
        <v>0</v>
      </c>
      <c r="I7" s="255"/>
    </row>
    <row r="8" spans="1:9" x14ac:dyDescent="0.2">
      <c r="A8" s="32">
        <v>2300</v>
      </c>
      <c r="B8" t="s">
        <v>797</v>
      </c>
      <c r="C8" s="274">
        <f t="shared" si="0"/>
        <v>162888.05000000002</v>
      </c>
      <c r="D8" s="242"/>
      <c r="E8" s="20">
        <f>'DOE25'!L205+'DOE25'!L223+'DOE25'!L241-F8-G8-H8-D9-D11</f>
        <v>156462.33000000002</v>
      </c>
      <c r="F8" s="243">
        <v>0</v>
      </c>
      <c r="G8" s="53">
        <f>'DOE25'!J205+'DOE25'!J223+'DOE25'!J241</f>
        <v>0</v>
      </c>
      <c r="H8" s="53">
        <f>'DOE25'!K205+'DOE25'!K223+'DOE25'!K241</f>
        <v>6425.72</v>
      </c>
      <c r="I8" s="255"/>
    </row>
    <row r="9" spans="1:9" ht="14.25" x14ac:dyDescent="0.2">
      <c r="A9" s="32">
        <v>2310</v>
      </c>
      <c r="B9" s="184" t="s">
        <v>888</v>
      </c>
      <c r="C9" s="274">
        <f t="shared" si="0"/>
        <v>45698.61</v>
      </c>
      <c r="D9" s="243">
        <v>45698.61</v>
      </c>
      <c r="E9" s="242"/>
      <c r="F9" s="252"/>
      <c r="G9" s="252"/>
      <c r="H9" s="252"/>
      <c r="I9" s="255"/>
    </row>
    <row r="10" spans="1:9" ht="14.25" x14ac:dyDescent="0.2">
      <c r="A10" s="32">
        <v>2317</v>
      </c>
      <c r="B10" s="184" t="s">
        <v>889</v>
      </c>
      <c r="C10" s="274">
        <f t="shared" si="0"/>
        <v>18400</v>
      </c>
      <c r="D10" s="242"/>
      <c r="E10" s="243">
        <v>18400</v>
      </c>
      <c r="F10" s="252"/>
      <c r="G10" s="252"/>
      <c r="H10" s="252"/>
      <c r="I10" s="255"/>
    </row>
    <row r="11" spans="1:9" ht="14.25" x14ac:dyDescent="0.2">
      <c r="A11" s="32">
        <v>2321</v>
      </c>
      <c r="B11" s="184" t="s">
        <v>890</v>
      </c>
      <c r="C11" s="274">
        <f t="shared" si="0"/>
        <v>222816.01</v>
      </c>
      <c r="D11" s="243">
        <v>222816.01</v>
      </c>
      <c r="E11" s="242"/>
      <c r="F11" s="252"/>
      <c r="G11" s="252"/>
      <c r="H11" s="252"/>
      <c r="I11" s="255"/>
    </row>
    <row r="12" spans="1:9" x14ac:dyDescent="0.2">
      <c r="A12" s="32">
        <v>2400</v>
      </c>
      <c r="B12" t="s">
        <v>711</v>
      </c>
      <c r="C12" s="274">
        <f t="shared" si="0"/>
        <v>265556.69000000006</v>
      </c>
      <c r="D12" s="20">
        <f>'DOE25'!L206+'DOE25'!L224+'DOE25'!L242-F12-G12-H12</f>
        <v>265150.93000000005</v>
      </c>
      <c r="E12" s="242"/>
      <c r="F12" s="243">
        <v>0</v>
      </c>
      <c r="G12" s="53">
        <f>'DOE25'!J206+'DOE25'!J224+'DOE25'!J242</f>
        <v>0</v>
      </c>
      <c r="H12" s="53">
        <f>'DOE25'!K206+'DOE25'!K224+'DOE25'!K242</f>
        <v>405.76</v>
      </c>
      <c r="I12" s="255"/>
    </row>
    <row r="13" spans="1:9" x14ac:dyDescent="0.2">
      <c r="A13" s="32">
        <v>2500</v>
      </c>
      <c r="B13" t="s">
        <v>798</v>
      </c>
      <c r="C13" s="274">
        <f t="shared" si="0"/>
        <v>138866.34999999998</v>
      </c>
      <c r="D13" s="242"/>
      <c r="E13" s="20">
        <f>'DOE25'!L207+'DOE25'!L225+'DOE25'!L243-F13-G13-H13</f>
        <v>138822.82999999999</v>
      </c>
      <c r="F13" s="243">
        <v>0</v>
      </c>
      <c r="G13" s="53">
        <f>'DOE25'!J207+'DOE25'!J225+'DOE25'!J243</f>
        <v>0</v>
      </c>
      <c r="H13" s="53">
        <f>'DOE25'!K207+'DOE25'!K225+'DOE25'!K243</f>
        <v>43.52</v>
      </c>
      <c r="I13" s="255"/>
    </row>
    <row r="14" spans="1:9" x14ac:dyDescent="0.2">
      <c r="A14" s="32">
        <v>2600</v>
      </c>
      <c r="B14" t="s">
        <v>819</v>
      </c>
      <c r="C14" s="274">
        <f t="shared" si="0"/>
        <v>776200.47000000009</v>
      </c>
      <c r="D14" s="20">
        <f>'DOE25'!L208+'DOE25'!L226+'DOE25'!L244-F14-G14-H14</f>
        <v>728803.05</v>
      </c>
      <c r="E14" s="242"/>
      <c r="F14" s="243">
        <v>0</v>
      </c>
      <c r="G14" s="53">
        <f>'DOE25'!J208+'DOE25'!J226+'DOE25'!J244</f>
        <v>47397.42</v>
      </c>
      <c r="H14" s="53">
        <f>'DOE25'!K208+'DOE25'!K226+'DOE25'!K244</f>
        <v>0</v>
      </c>
      <c r="I14" s="255"/>
    </row>
    <row r="15" spans="1:9" x14ac:dyDescent="0.2">
      <c r="A15" s="32">
        <v>2700</v>
      </c>
      <c r="B15" t="s">
        <v>799</v>
      </c>
      <c r="C15" s="274">
        <f t="shared" si="0"/>
        <v>720580.71</v>
      </c>
      <c r="D15" s="20">
        <f>'DOE25'!L209+'DOE25'!L227+'DOE25'!L245-F15-G15-H15</f>
        <v>53194.469999999972</v>
      </c>
      <c r="E15" s="242"/>
      <c r="F15" s="243">
        <v>667386.24</v>
      </c>
      <c r="G15" s="53">
        <f>'DOE25'!J209+'DOE25'!J227+'DOE25'!J245</f>
        <v>0</v>
      </c>
      <c r="H15" s="53">
        <f>'DOE25'!K209+'DOE25'!K227+'DOE25'!K245</f>
        <v>0</v>
      </c>
      <c r="I15" s="255"/>
    </row>
    <row r="16" spans="1:9" x14ac:dyDescent="0.2">
      <c r="A16" s="32">
        <v>2800</v>
      </c>
      <c r="B16" t="s">
        <v>800</v>
      </c>
      <c r="C16" s="274">
        <f t="shared" si="0"/>
        <v>287943.82</v>
      </c>
      <c r="D16" s="242"/>
      <c r="E16" s="20">
        <f>'DOE25'!L210+'DOE25'!L228+'DOE25'!L246-F16-G16-H16</f>
        <v>261711.7</v>
      </c>
      <c r="F16" s="243">
        <v>0</v>
      </c>
      <c r="G16" s="53">
        <f>'DOE25'!J210+'DOE25'!J228+'DOE25'!J246</f>
        <v>26232.12</v>
      </c>
      <c r="H16" s="53">
        <f>'DOE25'!K210+'DOE25'!K228+'DOE25'!K246</f>
        <v>0</v>
      </c>
      <c r="I16" s="255"/>
    </row>
    <row r="17" spans="1:9" x14ac:dyDescent="0.2">
      <c r="A17" s="32">
        <v>1600</v>
      </c>
      <c r="B17" t="s">
        <v>801</v>
      </c>
      <c r="C17" s="274">
        <f t="shared" si="0"/>
        <v>0</v>
      </c>
      <c r="D17" s="20">
        <f>'DOE25'!L252-F17-G17-H17</f>
        <v>0</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0</v>
      </c>
      <c r="D19" s="20">
        <f>'DOE25'!L254-F19-G19-H19</f>
        <v>0</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186612.25</v>
      </c>
      <c r="D25" s="242"/>
      <c r="E25" s="242"/>
      <c r="F25" s="254"/>
      <c r="G25" s="252"/>
      <c r="H25" s="252"/>
      <c r="I25" s="253">
        <f>'DOE25'!L261+'DOE25'!L262+'DOE25'!L342+'DOE25'!L343</f>
        <v>186612.25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302642.34999999998</v>
      </c>
      <c r="D29" s="282">
        <f>'DOE25'!L359+'DOE25'!L360+'DOE25'!L361-'DOE25'!I368-F29-G29-H29</f>
        <v>111771.40999999996</v>
      </c>
      <c r="E29" s="242"/>
      <c r="F29" s="243">
        <v>161625.20000000001</v>
      </c>
      <c r="G29" s="53">
        <f>'DOE25'!J359+'DOE25'!J360+'DOE25'!J361</f>
        <v>29245.74</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1389219.2200000002</v>
      </c>
      <c r="D31" s="20">
        <f>'DOE25'!L291+'DOE25'!L310+'DOE25'!L329+'DOE25'!L334+'DOE25'!L335+'DOE25'!L336-F31-G31-H31</f>
        <v>999557.01000000024</v>
      </c>
      <c r="E31" s="242"/>
      <c r="F31" s="243">
        <v>370238.36</v>
      </c>
      <c r="G31" s="53">
        <f>'DOE25'!J291+'DOE25'!J310+'DOE25'!J329+'DOE25'!J334+'DOE25'!J335+'DOE25'!J336</f>
        <v>17222.849999999999</v>
      </c>
      <c r="H31" s="53">
        <f>'DOE25'!K291+'DOE25'!K310+'DOE25'!K329+'DOE25'!K334+'DOE25'!K335+'DOE25'!K336</f>
        <v>2201</v>
      </c>
      <c r="I31" s="255"/>
    </row>
    <row r="32" spans="1:9" ht="12" thickBot="1" x14ac:dyDescent="0.25">
      <c r="C32" s="275"/>
      <c r="G32" s="250"/>
      <c r="H32" s="250"/>
      <c r="I32" s="257"/>
    </row>
    <row r="33" spans="1:9" ht="12" thickTop="1" x14ac:dyDescent="0.2">
      <c r="B33" t="s">
        <v>809</v>
      </c>
      <c r="D33" s="244">
        <f t="shared" ref="D33:I33" si="1">SUM(D5:D31)</f>
        <v>10138526.15</v>
      </c>
      <c r="E33" s="244">
        <f t="shared" si="1"/>
        <v>575396.8600000001</v>
      </c>
      <c r="F33" s="244">
        <f t="shared" si="1"/>
        <v>1275081.1400000001</v>
      </c>
      <c r="G33" s="244">
        <f t="shared" si="1"/>
        <v>120692.63</v>
      </c>
      <c r="H33" s="244">
        <f t="shared" si="1"/>
        <v>9275</v>
      </c>
      <c r="I33" s="244">
        <f t="shared" si="1"/>
        <v>186612.25</v>
      </c>
    </row>
    <row r="35" spans="1:9" ht="12" thickBot="1" x14ac:dyDescent="0.25">
      <c r="B35" s="250" t="s">
        <v>831</v>
      </c>
      <c r="D35" s="251">
        <f>E33</f>
        <v>575396.8600000001</v>
      </c>
      <c r="E35" s="247"/>
      <c r="F35" s="328" t="s">
        <v>1617</v>
      </c>
      <c r="G35" s="329"/>
      <c r="H35" s="329"/>
      <c r="I35" s="329"/>
    </row>
    <row r="36" spans="1:9" ht="12" thickTop="1" x14ac:dyDescent="0.2">
      <c r="B36" t="s">
        <v>810</v>
      </c>
      <c r="D36" s="20">
        <f>D33</f>
        <v>10138526.15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I20" sqref="I2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Winchester</v>
      </c>
      <c r="B2" s="126">
        <f>'DOE25'!B2</f>
        <v>573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8374659.2000000002</v>
      </c>
      <c r="G4" s="299">
        <f>'DOE25'!L212+'DOE25'!L291</f>
        <v>8374659.2000000011</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 xml:space="preserve">Winchester School </v>
      </c>
      <c r="B6" s="300">
        <f>IFERROR(VLOOKUP(A6,'School Tables'!$C$3:$D$365,2,FALSE),"")</f>
        <v>21735</v>
      </c>
      <c r="C6" s="293" t="str">
        <f>IFERROR(INDEX('School Tables'!$B$3:$B$365,MATCH('School Level Expenditures'!B6,'School Tables'!$D$3:$D$365,0)),"")</f>
        <v>Winchester</v>
      </c>
      <c r="D6" s="290">
        <v>6985439.9800000004</v>
      </c>
      <c r="E6" s="290">
        <v>1389219.22</v>
      </c>
      <c r="F6" s="303">
        <f t="shared" ref="F6:F20" si="0">D6+E6</f>
        <v>8374659.2000000002</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6985439.9800000004</v>
      </c>
      <c r="E21" s="338">
        <f>SUM(E5:E20)</f>
        <v>1389219.22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3423270.23</v>
      </c>
      <c r="G36" s="299">
        <f>'DOE25'!L248+'DOE25'!L329</f>
        <v>3423270.2299999995</v>
      </c>
      <c r="H36" s="340">
        <f>F36-G36</f>
        <v>0</v>
      </c>
      <c r="I36" s="383" t="str">
        <f>IF(H36=0,"","ISSUES!! Please review page 9 and 13 totals in comparison with total on this page")</f>
        <v/>
      </c>
      <c r="N36"/>
    </row>
    <row r="37" spans="1:14" x14ac:dyDescent="0.2">
      <c r="A37" s="126" t="s">
        <v>1548</v>
      </c>
      <c r="B37" s="300">
        <v>99999</v>
      </c>
      <c r="C37" s="293" t="s">
        <v>1548</v>
      </c>
      <c r="D37" s="290">
        <v>3423270.23</v>
      </c>
      <c r="E37" s="290"/>
      <c r="F37" s="303">
        <f t="shared" ref="F37:F42" si="2">D37+E37</f>
        <v>3423270.23</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3423270.23</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K42" sqref="K4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Winchester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1284044.7</v>
      </c>
      <c r="D8" s="95">
        <f>'DOE25'!G9</f>
        <v>0</v>
      </c>
      <c r="E8" s="95">
        <f>'DOE25'!H9</f>
        <v>0</v>
      </c>
      <c r="F8" s="95">
        <f>'DOE25'!I9</f>
        <v>0</v>
      </c>
      <c r="G8" s="95">
        <f>'DOE25'!J9</f>
        <v>0</v>
      </c>
      <c r="H8" s="124">
        <f>SUM(C8:G8)</f>
        <v>1284044.7</v>
      </c>
      <c r="I8" s="124"/>
    </row>
    <row r="9" spans="1:9" x14ac:dyDescent="0.2">
      <c r="A9" s="1" t="s">
        <v>140</v>
      </c>
      <c r="B9" s="6">
        <v>110</v>
      </c>
      <c r="C9" s="95">
        <f>'DOE25'!F10</f>
        <v>-553.55999999999995</v>
      </c>
      <c r="D9" s="95">
        <f>'DOE25'!G10</f>
        <v>0</v>
      </c>
      <c r="E9" s="95">
        <f>'DOE25'!H10</f>
        <v>0</v>
      </c>
      <c r="F9" s="95">
        <f>'DOE25'!I10</f>
        <v>0</v>
      </c>
      <c r="G9" s="95">
        <f>'DOE25'!J10</f>
        <v>0</v>
      </c>
      <c r="H9" s="124">
        <f t="shared" ref="H9:H18" si="0">SUM(C9:G9)</f>
        <v>-553.55999999999995</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417156.89</v>
      </c>
      <c r="D11" s="95">
        <f>'DOE25'!G12</f>
        <v>0</v>
      </c>
      <c r="E11" s="95">
        <f>'DOE25'!H12</f>
        <v>0</v>
      </c>
      <c r="F11" s="95">
        <f>'DOE25'!I12</f>
        <v>0</v>
      </c>
      <c r="G11" s="95">
        <f>'DOE25'!J12</f>
        <v>0</v>
      </c>
      <c r="H11" s="124">
        <f t="shared" si="0"/>
        <v>417156.89</v>
      </c>
      <c r="I11" s="124"/>
    </row>
    <row r="12" spans="1:9" x14ac:dyDescent="0.2">
      <c r="A12" s="1" t="s">
        <v>143</v>
      </c>
      <c r="B12" s="6">
        <v>140</v>
      </c>
      <c r="C12" s="95">
        <f>'DOE25'!F13</f>
        <v>0</v>
      </c>
      <c r="D12" s="95">
        <f>'DOE25'!G13</f>
        <v>17635.18</v>
      </c>
      <c r="E12" s="95">
        <f>'DOE25'!H13</f>
        <v>0</v>
      </c>
      <c r="F12" s="95">
        <f>'DOE25'!I13</f>
        <v>0</v>
      </c>
      <c r="G12" s="95">
        <f>'DOE25'!J13</f>
        <v>447390.33</v>
      </c>
      <c r="H12" s="124">
        <f t="shared" si="0"/>
        <v>465025.51</v>
      </c>
      <c r="I12" s="124"/>
    </row>
    <row r="13" spans="1:9" x14ac:dyDescent="0.2">
      <c r="A13" s="1" t="s">
        <v>144</v>
      </c>
      <c r="B13" s="6">
        <v>150</v>
      </c>
      <c r="C13" s="95">
        <f>'DOE25'!F14</f>
        <v>1920</v>
      </c>
      <c r="D13" s="95">
        <f>'DOE25'!G14</f>
        <v>59335.23</v>
      </c>
      <c r="E13" s="95">
        <f>'DOE25'!H14</f>
        <v>553174.55000000005</v>
      </c>
      <c r="F13" s="95">
        <f>'DOE25'!I14</f>
        <v>0</v>
      </c>
      <c r="G13" s="95">
        <f>'DOE25'!J14</f>
        <v>0</v>
      </c>
      <c r="H13" s="124">
        <f t="shared" si="0"/>
        <v>614429.78</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9583.7199999999993</v>
      </c>
      <c r="E15" s="95">
        <f>'DOE25'!H16</f>
        <v>0</v>
      </c>
      <c r="F15" s="95">
        <f>'DOE25'!I16</f>
        <v>0</v>
      </c>
      <c r="G15" s="24" t="s">
        <v>288</v>
      </c>
      <c r="H15" s="124">
        <f t="shared" si="0"/>
        <v>9583.7199999999993</v>
      </c>
      <c r="I15" s="124"/>
    </row>
    <row r="16" spans="1:9" x14ac:dyDescent="0.2">
      <c r="A16" s="1" t="s">
        <v>147</v>
      </c>
      <c r="B16" s="6">
        <v>180</v>
      </c>
      <c r="C16" s="95">
        <f>'DOE25'!F17</f>
        <v>51064.19</v>
      </c>
      <c r="D16" s="95">
        <f>'DOE25'!G17</f>
        <v>0</v>
      </c>
      <c r="E16" s="95">
        <f>'DOE25'!H17</f>
        <v>24960.46</v>
      </c>
      <c r="F16" s="95">
        <f>'DOE25'!I17</f>
        <v>0</v>
      </c>
      <c r="G16" s="95">
        <f>'DOE25'!J17</f>
        <v>0</v>
      </c>
      <c r="H16" s="124">
        <f t="shared" si="0"/>
        <v>76024.649999999994</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1753632.2199999997</v>
      </c>
      <c r="D18" s="41">
        <f>SUM(D8:D17)</f>
        <v>86554.13</v>
      </c>
      <c r="E18" s="41">
        <f>SUM(E8:E17)</f>
        <v>578135.01</v>
      </c>
      <c r="F18" s="41">
        <f>SUM(F8:F17)</f>
        <v>0</v>
      </c>
      <c r="G18" s="41">
        <f>SUM(G8:G17)</f>
        <v>447390.33</v>
      </c>
      <c r="H18" s="41">
        <f t="shared" si="0"/>
        <v>2865711.6899999995</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-335736.32000000001</v>
      </c>
      <c r="D21" s="95">
        <f>'DOE25'!G22</f>
        <v>-56601.1</v>
      </c>
      <c r="E21" s="95">
        <f>'DOE25'!H22</f>
        <v>423873.27</v>
      </c>
      <c r="F21" s="95">
        <f>'DOE25'!I22</f>
        <v>0</v>
      </c>
      <c r="G21" s="95">
        <f>'DOE25'!J22</f>
        <v>0</v>
      </c>
      <c r="H21" s="124">
        <f t="shared" ref="H21:H31" si="1">SUM(C21:G21)</f>
        <v>31535.850000000035</v>
      </c>
      <c r="I21" s="124"/>
    </row>
    <row r="22" spans="1:9" x14ac:dyDescent="0.2">
      <c r="A22" s="1" t="s">
        <v>151</v>
      </c>
      <c r="B22" s="6">
        <v>410</v>
      </c>
      <c r="C22" s="95">
        <f>'DOE25'!F23</f>
        <v>-123.7</v>
      </c>
      <c r="D22" s="95">
        <f>'DOE25'!G23</f>
        <v>0</v>
      </c>
      <c r="E22" s="95">
        <f>'DOE25'!H23</f>
        <v>6748.05</v>
      </c>
      <c r="F22" s="95">
        <f>'DOE25'!I23</f>
        <v>0</v>
      </c>
      <c r="G22" s="95">
        <f>'DOE25'!J23</f>
        <v>0</v>
      </c>
      <c r="H22" s="124">
        <f t="shared" si="1"/>
        <v>6624.35</v>
      </c>
      <c r="I22" s="124"/>
    </row>
    <row r="23" spans="1:9" x14ac:dyDescent="0.2">
      <c r="A23" s="1" t="s">
        <v>152</v>
      </c>
      <c r="B23" s="6">
        <v>420</v>
      </c>
      <c r="C23" s="95">
        <f>'DOE25'!F24</f>
        <v>180117.48</v>
      </c>
      <c r="D23" s="95">
        <f>'DOE25'!G24</f>
        <v>52392.24</v>
      </c>
      <c r="E23" s="95">
        <f>'DOE25'!H24</f>
        <v>1500.75</v>
      </c>
      <c r="F23" s="95">
        <f>'DOE25'!I24</f>
        <v>0</v>
      </c>
      <c r="G23" s="95">
        <f>'DOE25'!J24</f>
        <v>0</v>
      </c>
      <c r="H23" s="124">
        <f t="shared" si="1"/>
        <v>234010.47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161989.16</v>
      </c>
      <c r="D27" s="95">
        <f>'DOE25'!G28</f>
        <v>0</v>
      </c>
      <c r="E27" s="95">
        <f>'DOE25'!H28</f>
        <v>0</v>
      </c>
      <c r="F27" s="95">
        <f>'DOE25'!I28</f>
        <v>0</v>
      </c>
      <c r="G27" s="24" t="s">
        <v>288</v>
      </c>
      <c r="H27" s="124">
        <f t="shared" si="1"/>
        <v>161989.16</v>
      </c>
      <c r="I27" s="124"/>
    </row>
    <row r="28" spans="1:9" x14ac:dyDescent="0.2">
      <c r="A28" s="1" t="s">
        <v>157</v>
      </c>
      <c r="B28" s="6">
        <v>470</v>
      </c>
      <c r="C28" s="95">
        <f>'DOE25'!F29</f>
        <v>200554.46</v>
      </c>
      <c r="D28" s="95">
        <f>'DOE25'!G29</f>
        <v>0</v>
      </c>
      <c r="E28" s="95">
        <f>'DOE25'!H29</f>
        <v>0</v>
      </c>
      <c r="F28" s="95">
        <f>'DOE25'!I29</f>
        <v>0</v>
      </c>
      <c r="G28" s="24" t="s">
        <v>288</v>
      </c>
      <c r="H28" s="124">
        <f t="shared" si="1"/>
        <v>200554.46</v>
      </c>
      <c r="I28" s="124"/>
    </row>
    <row r="29" spans="1:9" x14ac:dyDescent="0.2">
      <c r="A29" s="1" t="s">
        <v>158</v>
      </c>
      <c r="B29" s="6">
        <v>480</v>
      </c>
      <c r="C29" s="95">
        <f>'DOE25'!F30</f>
        <v>0</v>
      </c>
      <c r="D29" s="95">
        <f>'DOE25'!G30</f>
        <v>23675.15</v>
      </c>
      <c r="E29" s="95">
        <f>'DOE25'!H30</f>
        <v>146012.94</v>
      </c>
      <c r="F29" s="95">
        <f>'DOE25'!I30</f>
        <v>0</v>
      </c>
      <c r="G29" s="24" t="s">
        <v>288</v>
      </c>
      <c r="H29" s="124">
        <f t="shared" si="1"/>
        <v>169688.09</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206801.08</v>
      </c>
      <c r="D31" s="41">
        <f>SUM(D21:D30)</f>
        <v>19466.29</v>
      </c>
      <c r="E31" s="41">
        <f>SUM(E21:E30)</f>
        <v>578135.01</v>
      </c>
      <c r="F31" s="41">
        <f>SUM(F21:F30)</f>
        <v>0</v>
      </c>
      <c r="G31" s="41">
        <f>SUM(G21:G30)</f>
        <v>0</v>
      </c>
      <c r="H31" s="41">
        <f t="shared" si="1"/>
        <v>804402.38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51064.21</v>
      </c>
      <c r="D34" s="95">
        <f>'DOE25'!G35</f>
        <v>9583.7199999999993</v>
      </c>
      <c r="E34" s="95">
        <f>'DOE25'!H35</f>
        <v>0</v>
      </c>
      <c r="F34" s="95">
        <f>'DOE25'!I35</f>
        <v>0</v>
      </c>
      <c r="G34" s="24" t="s">
        <v>288</v>
      </c>
      <c r="H34" s="124">
        <f t="shared" ref="H34:H51" si="2">SUM(C34:G34)</f>
        <v>60647.93</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57504.12</v>
      </c>
      <c r="E39" s="24" t="s">
        <v>288</v>
      </c>
      <c r="F39" s="24" t="s">
        <v>288</v>
      </c>
      <c r="G39" s="24" t="s">
        <v>288</v>
      </c>
      <c r="H39" s="124">
        <f t="shared" si="2"/>
        <v>57504.12</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25000</v>
      </c>
      <c r="D43" s="95">
        <f>'DOE25'!G44</f>
        <v>0</v>
      </c>
      <c r="E43" s="95">
        <f>'DOE25'!H44</f>
        <v>0</v>
      </c>
      <c r="F43" s="95">
        <f>'DOE25'!I44</f>
        <v>0</v>
      </c>
      <c r="G43" s="24" t="s">
        <v>288</v>
      </c>
      <c r="H43" s="124">
        <f t="shared" si="2"/>
        <v>25000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164181</v>
      </c>
      <c r="D45" s="24" t="s">
        <v>288</v>
      </c>
      <c r="E45" s="24" t="s">
        <v>288</v>
      </c>
      <c r="F45" s="24" t="s">
        <v>288</v>
      </c>
      <c r="G45" s="24" t="s">
        <v>288</v>
      </c>
      <c r="H45" s="124">
        <f t="shared" si="2"/>
        <v>164181</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447390.33</v>
      </c>
      <c r="H47" s="124">
        <f t="shared" si="2"/>
        <v>447390.33</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1306585.93</v>
      </c>
      <c r="D49" s="24" t="s">
        <v>288</v>
      </c>
      <c r="E49" s="24" t="s">
        <v>288</v>
      </c>
      <c r="F49" s="24" t="s">
        <v>288</v>
      </c>
      <c r="G49" s="24" t="s">
        <v>288</v>
      </c>
      <c r="H49" s="124">
        <f t="shared" si="2"/>
        <v>1306585.93</v>
      </c>
      <c r="I49" s="124"/>
    </row>
    <row r="50" spans="1:9" ht="12.75" thickTop="1" thickBot="1" x14ac:dyDescent="0.25">
      <c r="A50" s="38" t="s">
        <v>884</v>
      </c>
      <c r="B50" s="48"/>
      <c r="C50" s="41">
        <f>SUM(C34:C49)</f>
        <v>1546831.14</v>
      </c>
      <c r="D50" s="41">
        <f>SUM(D34:D49)</f>
        <v>67087.839999999997</v>
      </c>
      <c r="E50" s="41">
        <f>SUM(E34:E49)</f>
        <v>0</v>
      </c>
      <c r="F50" s="41">
        <f>SUM(F34:F49)</f>
        <v>0</v>
      </c>
      <c r="G50" s="41">
        <f>SUM(G34:G49)</f>
        <v>447390.33</v>
      </c>
      <c r="H50" s="41">
        <f t="shared" si="2"/>
        <v>2061309.31</v>
      </c>
      <c r="I50" s="124"/>
    </row>
    <row r="51" spans="1:9" ht="12" thickTop="1" x14ac:dyDescent="0.2">
      <c r="A51" s="38" t="s">
        <v>885</v>
      </c>
      <c r="B51" s="2"/>
      <c r="C51" s="41">
        <f>C50+C31</f>
        <v>1753632.22</v>
      </c>
      <c r="D51" s="41">
        <f>D50+D31</f>
        <v>86554.13</v>
      </c>
      <c r="E51" s="41">
        <f>E50+E31</f>
        <v>578135.01</v>
      </c>
      <c r="F51" s="41">
        <f>F50+F31</f>
        <v>0</v>
      </c>
      <c r="G51" s="41">
        <f>G50+G31</f>
        <v>447390.33</v>
      </c>
      <c r="H51" s="41">
        <f t="shared" si="2"/>
        <v>2865711.6900000004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6662508</v>
      </c>
      <c r="D56" s="95">
        <f>'DOE25'!G60</f>
        <v>0</v>
      </c>
      <c r="E56" s="95">
        <f>'DOE25'!H60</f>
        <v>0</v>
      </c>
      <c r="F56" s="95">
        <f>'DOE25'!I60</f>
        <v>0</v>
      </c>
      <c r="G56" s="95">
        <f>'DOE25'!J60</f>
        <v>0</v>
      </c>
      <c r="H56" s="124">
        <f t="shared" ref="H56:H63" si="3">SUM(C56:G56)</f>
        <v>6662508</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1457</v>
      </c>
      <c r="D58" s="24" t="s">
        <v>288</v>
      </c>
      <c r="E58" s="95">
        <f>'DOE25'!H94</f>
        <v>0</v>
      </c>
      <c r="F58" s="24" t="s">
        <v>288</v>
      </c>
      <c r="G58" s="24" t="s">
        <v>288</v>
      </c>
      <c r="H58" s="124">
        <f t="shared" si="3"/>
        <v>1457</v>
      </c>
      <c r="I58"/>
    </row>
    <row r="59" spans="1:9" x14ac:dyDescent="0.2">
      <c r="A59" s="69" t="s">
        <v>168</v>
      </c>
      <c r="B59" s="37" t="s">
        <v>169</v>
      </c>
      <c r="C59" s="95">
        <f>'DOE25'!F96</f>
        <v>0</v>
      </c>
      <c r="D59" s="95">
        <f>'DOE25'!G96</f>
        <v>0</v>
      </c>
      <c r="E59" s="95">
        <f>'DOE25'!H96</f>
        <v>0</v>
      </c>
      <c r="F59" s="95">
        <f>'DOE25'!I96</f>
        <v>0</v>
      </c>
      <c r="G59" s="95">
        <f>'DOE25'!J96</f>
        <v>0</v>
      </c>
      <c r="H59" s="124">
        <f t="shared" si="3"/>
        <v>0</v>
      </c>
      <c r="I59"/>
    </row>
    <row r="60" spans="1:9" x14ac:dyDescent="0.2">
      <c r="A60" s="1" t="s">
        <v>170</v>
      </c>
      <c r="B60" s="118" t="s">
        <v>171</v>
      </c>
      <c r="C60" s="24" t="s">
        <v>288</v>
      </c>
      <c r="D60" s="95">
        <f>'DOE25'!G97</f>
        <v>2483.15</v>
      </c>
      <c r="E60" s="24" t="s">
        <v>288</v>
      </c>
      <c r="F60" s="24" t="s">
        <v>288</v>
      </c>
      <c r="G60" s="24" t="s">
        <v>288</v>
      </c>
      <c r="H60" s="124">
        <f t="shared" si="3"/>
        <v>2483.15</v>
      </c>
      <c r="I60"/>
    </row>
    <row r="61" spans="1:9" ht="12" thickBot="1" x14ac:dyDescent="0.25">
      <c r="A61" s="1" t="s">
        <v>172</v>
      </c>
      <c r="B61" s="118" t="s">
        <v>173</v>
      </c>
      <c r="C61" s="95">
        <f>SUM('DOE25'!F98:F110)</f>
        <v>148685.16</v>
      </c>
      <c r="D61" s="95">
        <f>SUM('DOE25'!G98:G110)</f>
        <v>0</v>
      </c>
      <c r="E61" s="95">
        <f>SUM('DOE25'!H98:H110)</f>
        <v>0</v>
      </c>
      <c r="F61" s="95">
        <f>SUM('DOE25'!I98:I110)</f>
        <v>0</v>
      </c>
      <c r="G61" s="95">
        <f>SUM('DOE25'!J98:J110)</f>
        <v>0</v>
      </c>
      <c r="H61" s="124">
        <f t="shared" si="3"/>
        <v>148685.16</v>
      </c>
      <c r="I61"/>
    </row>
    <row r="62" spans="1:9" ht="12.75" thickTop="1" thickBot="1" x14ac:dyDescent="0.25">
      <c r="A62" s="29" t="s">
        <v>174</v>
      </c>
      <c r="B62" s="6"/>
      <c r="C62" s="130">
        <f>SUM(C57:C61)</f>
        <v>150142.16</v>
      </c>
      <c r="D62" s="130">
        <f>SUM(D57:D61)</f>
        <v>2483.15</v>
      </c>
      <c r="E62" s="130">
        <f>SUM(E57:E61)</f>
        <v>0</v>
      </c>
      <c r="F62" s="130">
        <f>SUM(F57:F61)</f>
        <v>0</v>
      </c>
      <c r="G62" s="130">
        <f>SUM(G57:G61)</f>
        <v>0</v>
      </c>
      <c r="H62" s="124">
        <f t="shared" si="3"/>
        <v>152625.31</v>
      </c>
      <c r="I62"/>
    </row>
    <row r="63" spans="1:9" ht="12" thickTop="1" x14ac:dyDescent="0.2">
      <c r="A63" s="29" t="s">
        <v>175</v>
      </c>
      <c r="B63" s="6"/>
      <c r="C63" s="22">
        <f>C56+C62</f>
        <v>6812650.1600000001</v>
      </c>
      <c r="D63" s="22">
        <f>D56+D62</f>
        <v>2483.15</v>
      </c>
      <c r="E63" s="22">
        <f>E56+E62</f>
        <v>0</v>
      </c>
      <c r="F63" s="22">
        <f>F56+F62</f>
        <v>0</v>
      </c>
      <c r="G63" s="22">
        <f>G56+G62</f>
        <v>0</v>
      </c>
      <c r="H63" s="124">
        <f t="shared" si="3"/>
        <v>6815133.3100000005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4304923.33</v>
      </c>
      <c r="D66" s="24" t="s">
        <v>288</v>
      </c>
      <c r="E66" s="24" t="s">
        <v>288</v>
      </c>
      <c r="F66" s="24" t="s">
        <v>288</v>
      </c>
      <c r="G66" s="24" t="s">
        <v>288</v>
      </c>
      <c r="H66" s="124">
        <f t="shared" ref="H66:H81" si="4">SUM(C66:G66)</f>
        <v>4304923.33</v>
      </c>
      <c r="I66"/>
    </row>
    <row r="67" spans="1:9" x14ac:dyDescent="0.2">
      <c r="A67" s="1" t="s">
        <v>770</v>
      </c>
      <c r="B67" s="6">
        <v>3112</v>
      </c>
      <c r="C67" s="95">
        <f>'DOE25'!F118</f>
        <v>504737</v>
      </c>
      <c r="D67" s="24"/>
      <c r="E67" s="24"/>
      <c r="F67" s="24"/>
      <c r="G67" s="24"/>
      <c r="H67" s="124">
        <f t="shared" si="4"/>
        <v>504737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3990.42</v>
      </c>
      <c r="D69" s="95">
        <f>'DOE25'!G120</f>
        <v>0</v>
      </c>
      <c r="E69" s="95">
        <f>'DOE25'!H120</f>
        <v>0</v>
      </c>
      <c r="F69" s="95">
        <f>'DOE25'!I120</f>
        <v>0</v>
      </c>
      <c r="G69" s="95">
        <f>'DOE25'!J120</f>
        <v>0</v>
      </c>
      <c r="H69" s="124">
        <f t="shared" si="4"/>
        <v>3990.42</v>
      </c>
      <c r="I69"/>
    </row>
    <row r="70" spans="1:9" ht="12" thickTop="1" x14ac:dyDescent="0.2">
      <c r="A70" s="29" t="s">
        <v>252</v>
      </c>
      <c r="B70" s="2"/>
      <c r="C70" s="139">
        <f>SUM(C66:C69)</f>
        <v>4813650.75</v>
      </c>
      <c r="D70" s="139">
        <f>D69</f>
        <v>0</v>
      </c>
      <c r="E70" s="139">
        <f>E69</f>
        <v>0</v>
      </c>
      <c r="F70" s="139">
        <f>F69</f>
        <v>0</v>
      </c>
      <c r="G70" s="139">
        <f>G69</f>
        <v>0</v>
      </c>
      <c r="H70" s="124">
        <f t="shared" si="4"/>
        <v>4813650.75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61927.87</v>
      </c>
      <c r="D72" s="24" t="s">
        <v>288</v>
      </c>
      <c r="E72" s="24" t="s">
        <v>288</v>
      </c>
      <c r="F72" s="95">
        <f>'DOE25'!I123</f>
        <v>0</v>
      </c>
      <c r="G72" s="24" t="s">
        <v>288</v>
      </c>
      <c r="H72" s="124">
        <f t="shared" si="4"/>
        <v>61927.87</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195850.27</v>
      </c>
      <c r="D75" s="24" t="s">
        <v>288</v>
      </c>
      <c r="E75" s="24" t="s">
        <v>288</v>
      </c>
      <c r="F75" s="24" t="s">
        <v>288</v>
      </c>
      <c r="G75" s="24" t="s">
        <v>288</v>
      </c>
      <c r="H75" s="124">
        <f t="shared" si="4"/>
        <v>195850.27</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3312.1</v>
      </c>
      <c r="E77" s="95">
        <f>SUM('DOE25'!H131:H135)</f>
        <v>0</v>
      </c>
      <c r="F77" s="95">
        <f>SUM('DOE25'!I131:I135)</f>
        <v>0</v>
      </c>
      <c r="G77" s="95">
        <f>SUM('DOE25'!J131:J135)</f>
        <v>0</v>
      </c>
      <c r="H77" s="124">
        <f t="shared" si="4"/>
        <v>3312.1</v>
      </c>
      <c r="I77"/>
    </row>
    <row r="78" spans="1:9" ht="12.75" thickTop="1" thickBot="1" x14ac:dyDescent="0.25">
      <c r="A78" s="29" t="s">
        <v>259</v>
      </c>
      <c r="B78" s="6"/>
      <c r="C78" s="130">
        <f>SUM(C72:C77)</f>
        <v>257778.13999999998</v>
      </c>
      <c r="D78" s="130">
        <f>SUM(D72:D77)</f>
        <v>3312.1</v>
      </c>
      <c r="E78" s="130">
        <f>SUM(E72:E77)</f>
        <v>0</v>
      </c>
      <c r="F78" s="130">
        <f>SUM(F72:F77)</f>
        <v>0</v>
      </c>
      <c r="G78" s="130">
        <f>SUM(G72:G77)</f>
        <v>0</v>
      </c>
      <c r="H78" s="124">
        <f t="shared" si="4"/>
        <v>261090.24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5071428.8899999997</v>
      </c>
      <c r="D81" s="130">
        <f>SUM(D79:D80)+D78+D70</f>
        <v>3312.1</v>
      </c>
      <c r="E81" s="130">
        <f>SUM(E79:E80)+E78+E70</f>
        <v>0</v>
      </c>
      <c r="F81" s="130">
        <f>SUM(F79:F80)+F78+F70</f>
        <v>0</v>
      </c>
      <c r="G81" s="130">
        <f>SUM(G79:G80)+G78+G70</f>
        <v>0</v>
      </c>
      <c r="H81" s="130">
        <f t="shared" si="4"/>
        <v>5074740.9899999993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313232.40000000002</v>
      </c>
      <c r="E88" s="326">
        <f>SUM('DOE25'!H153:H162)</f>
        <v>1449640.2</v>
      </c>
      <c r="F88" s="326">
        <f>SUM('DOE25'!I153:I162)</f>
        <v>0</v>
      </c>
      <c r="G88" s="24" t="s">
        <v>288</v>
      </c>
      <c r="H88" s="124">
        <f t="shared" si="5"/>
        <v>1762872.6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313232.40000000002</v>
      </c>
      <c r="E91" s="131">
        <f>SUM(E85:E90)</f>
        <v>1449640.2</v>
      </c>
      <c r="F91" s="131">
        <f>SUM(F85:F90)</f>
        <v>0</v>
      </c>
      <c r="G91" s="24" t="s">
        <v>288</v>
      </c>
      <c r="H91" s="124">
        <f t="shared" si="5"/>
        <v>1762872.6</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40250.31</v>
      </c>
      <c r="E96" s="95">
        <f>'DOE25'!H180</f>
        <v>0</v>
      </c>
      <c r="F96" s="95">
        <f>'DOE25'!I180</f>
        <v>0</v>
      </c>
      <c r="G96" s="95">
        <f>'DOE25'!J180</f>
        <v>150000</v>
      </c>
      <c r="H96" s="124">
        <f t="shared" si="5"/>
        <v>190250.31</v>
      </c>
    </row>
    <row r="97" spans="1:8" x14ac:dyDescent="0.2">
      <c r="A97" t="s">
        <v>754</v>
      </c>
      <c r="B97" s="32" t="s">
        <v>188</v>
      </c>
      <c r="C97" s="95">
        <f>SUM('DOE25'!F181:F182)</f>
        <v>143532.85999999999</v>
      </c>
      <c r="D97" s="95">
        <f>SUM('DOE25'!G181:G182)</f>
        <v>0</v>
      </c>
      <c r="E97" s="95">
        <f>SUM('DOE25'!H181:H182)</f>
        <v>0</v>
      </c>
      <c r="F97" s="95">
        <f>SUM('DOE25'!I181:I182)</f>
        <v>0</v>
      </c>
      <c r="G97" s="95">
        <f>SUM('DOE25'!J181:J182)</f>
        <v>0</v>
      </c>
      <c r="H97" s="124">
        <f t="shared" si="5"/>
        <v>143532.85999999999</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125000</v>
      </c>
      <c r="D100" s="95">
        <f>SUM('DOE25'!G187:G188)</f>
        <v>0</v>
      </c>
      <c r="E100" s="95">
        <f>SUM('DOE25'!H187:H188)</f>
        <v>0</v>
      </c>
      <c r="F100" s="95">
        <f>SUM('DOE25'!I187:I188)</f>
        <v>0</v>
      </c>
      <c r="G100" s="24" t="s">
        <v>288</v>
      </c>
      <c r="H100" s="124">
        <f t="shared" si="5"/>
        <v>125000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268532.86</v>
      </c>
      <c r="D103" s="86">
        <f>SUM(D93:D102)</f>
        <v>40250.31</v>
      </c>
      <c r="E103" s="86">
        <f>SUM(E93:E102)</f>
        <v>0</v>
      </c>
      <c r="F103" s="86">
        <f>SUM(F93:F102)</f>
        <v>0</v>
      </c>
      <c r="G103" s="86">
        <f>SUM(G93:G102)</f>
        <v>150000</v>
      </c>
      <c r="H103" s="86">
        <f t="shared" si="5"/>
        <v>458783.17</v>
      </c>
    </row>
    <row r="104" spans="1:8" ht="12.75" thickTop="1" thickBot="1" x14ac:dyDescent="0.25">
      <c r="A104" s="33" t="s">
        <v>761</v>
      </c>
      <c r="C104" s="86">
        <f>C63+C81+C91+C103</f>
        <v>12152611.91</v>
      </c>
      <c r="D104" s="86">
        <f>D63+D81+D91+D103</f>
        <v>359277.96</v>
      </c>
      <c r="E104" s="86">
        <f>E63+E81+E91+E103</f>
        <v>1449640.2</v>
      </c>
      <c r="F104" s="86">
        <f>F63+F81+F91+F103</f>
        <v>0</v>
      </c>
      <c r="G104" s="86">
        <f>G63+G81+G103</f>
        <v>150000</v>
      </c>
      <c r="H104" s="86">
        <f t="shared" si="5"/>
        <v>14111530.07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3718809.71</v>
      </c>
      <c r="D109" s="24" t="s">
        <v>288</v>
      </c>
      <c r="E109" s="95">
        <f>('DOE25'!L277)+('DOE25'!L296)+('DOE25'!L315)</f>
        <v>569848.80000000005</v>
      </c>
      <c r="F109" s="24" t="s">
        <v>288</v>
      </c>
      <c r="G109" s="24" t="s">
        <v>288</v>
      </c>
      <c r="H109" s="124">
        <f t="shared" ref="H109:H115" si="6">SUM(C109:G109)</f>
        <v>4288658.51</v>
      </c>
    </row>
    <row r="110" spans="1:8" x14ac:dyDescent="0.2">
      <c r="A110" t="s">
        <v>198</v>
      </c>
      <c r="B110" s="32" t="s">
        <v>199</v>
      </c>
      <c r="C110" s="95">
        <f>('DOE25'!L199)+('DOE25'!L217)+('DOE25'!L235)</f>
        <v>3222190.96</v>
      </c>
      <c r="D110" s="24" t="s">
        <v>288</v>
      </c>
      <c r="E110" s="95">
        <f>('DOE25'!L278)+('DOE25'!L297)+('DOE25'!L316)</f>
        <v>136125.63</v>
      </c>
      <c r="F110" s="24" t="s">
        <v>288</v>
      </c>
      <c r="G110" s="24" t="s">
        <v>288</v>
      </c>
      <c r="H110" s="124">
        <f t="shared" si="6"/>
        <v>3358316.59</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28020.020000000004</v>
      </c>
      <c r="D112" s="24" t="s">
        <v>288</v>
      </c>
      <c r="E112" s="95">
        <f>+('DOE25'!L280)+('DOE25'!L299)+('DOE25'!L318)</f>
        <v>23726.18</v>
      </c>
      <c r="F112" s="24" t="s">
        <v>288</v>
      </c>
      <c r="G112" s="24" t="s">
        <v>288</v>
      </c>
      <c r="H112" s="124">
        <f t="shared" si="6"/>
        <v>51746.200000000004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6969020.6899999995</v>
      </c>
      <c r="D115" s="86">
        <f>SUM(D109:D114)</f>
        <v>0</v>
      </c>
      <c r="E115" s="86">
        <f>SUM(E109:E114)</f>
        <v>729700.6100000001</v>
      </c>
      <c r="F115" s="86">
        <f>SUM(F109:F114)</f>
        <v>0</v>
      </c>
      <c r="G115" s="86">
        <f>SUM(G109:G114)</f>
        <v>0</v>
      </c>
      <c r="H115" s="86">
        <f t="shared" si="6"/>
        <v>7698721.2999999998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714748.83</v>
      </c>
      <c r="D118" s="24" t="s">
        <v>288</v>
      </c>
      <c r="E118" s="95">
        <f>+('DOE25'!L282)+('DOE25'!L301)+('DOE25'!L320)</f>
        <v>12643.92</v>
      </c>
      <c r="F118" s="24" t="s">
        <v>288</v>
      </c>
      <c r="G118" s="24" t="s">
        <v>288</v>
      </c>
      <c r="H118" s="124">
        <f t="shared" ref="H118:H145" si="7">SUM(C118:G118)</f>
        <v>727392.75</v>
      </c>
    </row>
    <row r="119" spans="1:8" x14ac:dyDescent="0.2">
      <c r="A119" t="s">
        <v>208</v>
      </c>
      <c r="B119" s="32" t="s">
        <v>209</v>
      </c>
      <c r="C119" s="95">
        <f>('DOE25'!L204)+('DOE25'!L222)+('DOE25'!L240)</f>
        <v>104389.98</v>
      </c>
      <c r="D119" s="24" t="s">
        <v>288</v>
      </c>
      <c r="E119" s="95">
        <f>+('DOE25'!L283)+('DOE25'!L302)+('DOE25'!L321)</f>
        <v>208361.72</v>
      </c>
      <c r="F119" s="24" t="s">
        <v>288</v>
      </c>
      <c r="G119" s="24" t="s">
        <v>288</v>
      </c>
      <c r="H119" s="124">
        <f t="shared" si="7"/>
        <v>312751.7</v>
      </c>
    </row>
    <row r="120" spans="1:8" x14ac:dyDescent="0.2">
      <c r="A120" t="s">
        <v>210</v>
      </c>
      <c r="B120" s="32" t="s">
        <v>211</v>
      </c>
      <c r="C120" s="95">
        <f>('DOE25'!L205)+('DOE25'!L223)+('DOE25'!L241)</f>
        <v>431402.67</v>
      </c>
      <c r="D120" s="24" t="s">
        <v>288</v>
      </c>
      <c r="E120" s="95">
        <f>+('DOE25'!L284)+('DOE25'!L303)+('DOE25'!L322)</f>
        <v>0</v>
      </c>
      <c r="F120" s="24" t="s">
        <v>288</v>
      </c>
      <c r="G120" s="24" t="s">
        <v>288</v>
      </c>
      <c r="H120" s="124">
        <f t="shared" si="7"/>
        <v>431402.67</v>
      </c>
    </row>
    <row r="121" spans="1:8" x14ac:dyDescent="0.2">
      <c r="A121" t="s">
        <v>212</v>
      </c>
      <c r="B121" s="32" t="s">
        <v>213</v>
      </c>
      <c r="C121" s="95">
        <f>('DOE25'!L206)+('DOE25'!L224)+('DOE25'!L242)</f>
        <v>265556.69000000006</v>
      </c>
      <c r="D121" s="24" t="s">
        <v>288</v>
      </c>
      <c r="E121" s="95">
        <f>+('DOE25'!L285)+('DOE25'!L304)+('DOE25'!L323)</f>
        <v>0</v>
      </c>
      <c r="F121" s="24" t="s">
        <v>288</v>
      </c>
      <c r="G121" s="24" t="s">
        <v>288</v>
      </c>
      <c r="H121" s="124">
        <f t="shared" si="7"/>
        <v>265556.69000000006</v>
      </c>
    </row>
    <row r="122" spans="1:8" x14ac:dyDescent="0.2">
      <c r="A122" t="s">
        <v>214</v>
      </c>
      <c r="B122" s="32" t="s">
        <v>215</v>
      </c>
      <c r="C122" s="95">
        <f>('DOE25'!L207)+('DOE25'!L225)+('DOE25'!L243)</f>
        <v>138866.34999999998</v>
      </c>
      <c r="D122" s="24" t="s">
        <v>288</v>
      </c>
      <c r="E122" s="95">
        <f>+('DOE25'!L286)+('DOE25'!L305)+('DOE25'!L324)</f>
        <v>0</v>
      </c>
      <c r="F122" s="24" t="s">
        <v>288</v>
      </c>
      <c r="G122" s="24" t="s">
        <v>288</v>
      </c>
      <c r="H122" s="124">
        <f t="shared" si="7"/>
        <v>138866.34999999998</v>
      </c>
    </row>
    <row r="123" spans="1:8" x14ac:dyDescent="0.2">
      <c r="A123" t="s">
        <v>216</v>
      </c>
      <c r="B123" s="32" t="s">
        <v>217</v>
      </c>
      <c r="C123" s="95">
        <f>('DOE25'!L208)+('DOE25'!L226)+('DOE25'!L244)</f>
        <v>776200.47000000009</v>
      </c>
      <c r="D123" s="24" t="s">
        <v>288</v>
      </c>
      <c r="E123" s="95">
        <f>+('DOE25'!L287)+('DOE25'!L306)+('DOE25'!L325)</f>
        <v>434512.97</v>
      </c>
      <c r="F123" s="24" t="s">
        <v>288</v>
      </c>
      <c r="G123" s="24" t="s">
        <v>288</v>
      </c>
      <c r="H123" s="124">
        <f t="shared" si="7"/>
        <v>1210713.44</v>
      </c>
    </row>
    <row r="124" spans="1:8" x14ac:dyDescent="0.2">
      <c r="A124" t="s">
        <v>218</v>
      </c>
      <c r="B124" s="32" t="s">
        <v>219</v>
      </c>
      <c r="C124" s="95">
        <f>('DOE25'!L209)+('DOE25'!L227)+('DOE25'!L245+'DOE25'!L255)</f>
        <v>720580.71</v>
      </c>
      <c r="D124" s="24" t="s">
        <v>288</v>
      </c>
      <c r="E124" s="95">
        <f>+('DOE25'!L288)+('DOE25'!L307)+('DOE25'!L326)</f>
        <v>0</v>
      </c>
      <c r="F124" s="24" t="s">
        <v>288</v>
      </c>
      <c r="G124" s="24" t="s">
        <v>288</v>
      </c>
      <c r="H124" s="124">
        <f t="shared" si="7"/>
        <v>720580.71</v>
      </c>
    </row>
    <row r="125" spans="1:8" x14ac:dyDescent="0.2">
      <c r="A125" t="s">
        <v>220</v>
      </c>
      <c r="B125" s="32" t="s">
        <v>221</v>
      </c>
      <c r="C125" s="95">
        <f>('DOE25'!L210)+('DOE25'!L228)+('DOE25'!L246)</f>
        <v>287943.82</v>
      </c>
      <c r="D125" s="24" t="s">
        <v>288</v>
      </c>
      <c r="E125" s="95">
        <f>+('DOE25'!L289)+('DOE25'!L308)+('DOE25'!L327)</f>
        <v>4000</v>
      </c>
      <c r="F125" s="24" t="s">
        <v>288</v>
      </c>
      <c r="G125" s="24" t="s">
        <v>288</v>
      </c>
      <c r="H125" s="124">
        <f t="shared" si="7"/>
        <v>291943.82</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302642.34999999998</v>
      </c>
      <c r="E127" s="24" t="s">
        <v>288</v>
      </c>
      <c r="F127" s="24" t="s">
        <v>288</v>
      </c>
      <c r="G127" s="24" t="s">
        <v>288</v>
      </c>
      <c r="H127" s="124">
        <f t="shared" si="7"/>
        <v>302642.34999999998</v>
      </c>
    </row>
    <row r="128" spans="1:8" ht="12.75" thickTop="1" thickBot="1" x14ac:dyDescent="0.25">
      <c r="A128" s="33" t="s">
        <v>226</v>
      </c>
      <c r="C128" s="86">
        <f>SUM(C118:C127)</f>
        <v>3439689.52</v>
      </c>
      <c r="D128" s="86">
        <f>SUM(D118:D127)</f>
        <v>302642.34999999998</v>
      </c>
      <c r="E128" s="86">
        <f>SUM(E118:E127)</f>
        <v>659518.61</v>
      </c>
      <c r="F128" s="86">
        <f>SUM(F118:F127)</f>
        <v>0</v>
      </c>
      <c r="G128" s="86">
        <f>SUM(G118:G127)</f>
        <v>0</v>
      </c>
      <c r="H128" s="86">
        <f t="shared" si="7"/>
        <v>4401850.4800000004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175000</v>
      </c>
      <c r="D131" s="24" t="s">
        <v>288</v>
      </c>
      <c r="E131" s="129">
        <f>'DOE25'!L342</f>
        <v>0</v>
      </c>
      <c r="F131" s="24" t="s">
        <v>288</v>
      </c>
      <c r="G131" s="24" t="s">
        <v>288</v>
      </c>
      <c r="H131" s="124">
        <f t="shared" si="7"/>
        <v>175000</v>
      </c>
    </row>
    <row r="132" spans="1:8" x14ac:dyDescent="0.2">
      <c r="A132" t="s">
        <v>230</v>
      </c>
      <c r="B132" s="32">
        <v>5120</v>
      </c>
      <c r="C132" s="95">
        <f>'DOE25'!L262</f>
        <v>11612.25</v>
      </c>
      <c r="D132" s="24" t="s">
        <v>288</v>
      </c>
      <c r="E132" s="129">
        <f>'DOE25'!L343</f>
        <v>0</v>
      </c>
      <c r="F132" s="24" t="s">
        <v>288</v>
      </c>
      <c r="G132" s="24" t="s">
        <v>288</v>
      </c>
      <c r="H132" s="124">
        <f t="shared" si="7"/>
        <v>11612.25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60420.98</v>
      </c>
      <c r="F134" s="95">
        <f>'DOE25'!K382</f>
        <v>0</v>
      </c>
      <c r="G134" s="95">
        <f>'DOE25'!K435</f>
        <v>0</v>
      </c>
      <c r="H134" s="124">
        <f t="shared" si="7"/>
        <v>60420.98</v>
      </c>
    </row>
    <row r="135" spans="1:8" x14ac:dyDescent="0.2">
      <c r="A135" t="s">
        <v>233</v>
      </c>
      <c r="B135" s="32" t="s">
        <v>234</v>
      </c>
      <c r="C135" s="95">
        <f>'DOE25'!L264</f>
        <v>40250.31</v>
      </c>
      <c r="D135" s="24" t="s">
        <v>288</v>
      </c>
      <c r="E135" s="129">
        <f>'DOE25'!L346</f>
        <v>0</v>
      </c>
      <c r="F135" s="24" t="s">
        <v>288</v>
      </c>
      <c r="G135" s="24" t="s">
        <v>288</v>
      </c>
      <c r="H135" s="124">
        <f t="shared" si="7"/>
        <v>40250.31</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150000</v>
      </c>
      <c r="D139" s="24" t="s">
        <v>288</v>
      </c>
      <c r="E139" s="24" t="s">
        <v>288</v>
      </c>
      <c r="F139" s="24" t="s">
        <v>288</v>
      </c>
      <c r="G139" s="24" t="s">
        <v>288</v>
      </c>
      <c r="H139" s="124">
        <f t="shared" si="7"/>
        <v>150000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376862.56</v>
      </c>
      <c r="D144" s="141">
        <f>SUM(D130:D143)</f>
        <v>0</v>
      </c>
      <c r="E144" s="141">
        <f>SUM(E130:E143)</f>
        <v>60420.98</v>
      </c>
      <c r="F144" s="141">
        <f>SUM(F130:F143)</f>
        <v>0</v>
      </c>
      <c r="G144" s="141">
        <f>SUM(G130:G143)</f>
        <v>0</v>
      </c>
      <c r="H144" s="141">
        <f t="shared" si="7"/>
        <v>437283.54</v>
      </c>
    </row>
    <row r="145" spans="1:9" ht="12.75" thickTop="1" thickBot="1" x14ac:dyDescent="0.25">
      <c r="A145" s="33" t="s">
        <v>244</v>
      </c>
      <c r="C145" s="86">
        <f>(C115+C128+C144)</f>
        <v>10785572.77</v>
      </c>
      <c r="D145" s="86">
        <f>(D115+D128+D144)</f>
        <v>302642.34999999998</v>
      </c>
      <c r="E145" s="86">
        <f>(E115+E128+E144)</f>
        <v>1449640.2000000002</v>
      </c>
      <c r="F145" s="86">
        <f>(F115+F128+F144)</f>
        <v>0</v>
      </c>
      <c r="G145" s="86">
        <f>(G115+G128+G144)</f>
        <v>0</v>
      </c>
      <c r="H145" s="86">
        <f t="shared" si="7"/>
        <v>12537855.32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08/15/2003</v>
      </c>
      <c r="C152" s="152">
        <f>'DOE25'!G492</f>
        <v>0</v>
      </c>
      <c r="D152" s="152">
        <f>'DOE25'!H492</f>
        <v>0</v>
      </c>
      <c r="E152" s="152">
        <f>'DOE25'!I492</f>
        <v>0</v>
      </c>
      <c r="F152" s="152">
        <f>'DOE25'!J492</f>
        <v>0</v>
      </c>
      <c r="G152" s="24" t="s">
        <v>288</v>
      </c>
    </row>
    <row r="153" spans="1:9" x14ac:dyDescent="0.2">
      <c r="A153" s="136" t="s">
        <v>29</v>
      </c>
      <c r="B153" s="152" t="str">
        <f>'DOE25'!F493</f>
        <v>08/15/2023</v>
      </c>
      <c r="C153" s="152">
        <f>'DOE25'!G493</f>
        <v>0</v>
      </c>
      <c r="D153" s="152">
        <f>'DOE25'!H493</f>
        <v>0</v>
      </c>
      <c r="E153" s="152">
        <f>'DOE25'!I493</f>
        <v>0</v>
      </c>
      <c r="F153" s="152">
        <f>'DOE25'!J493</f>
        <v>0</v>
      </c>
      <c r="G153" s="24" t="s">
        <v>288</v>
      </c>
    </row>
    <row r="154" spans="1:9" x14ac:dyDescent="0.2">
      <c r="A154" s="136" t="s">
        <v>30</v>
      </c>
      <c r="B154" s="137">
        <f>'DOE25'!F494</f>
        <v>3504725</v>
      </c>
      <c r="C154" s="137">
        <f>'DOE25'!G494</f>
        <v>0</v>
      </c>
      <c r="D154" s="137">
        <f>'DOE25'!H494</f>
        <v>0</v>
      </c>
      <c r="E154" s="137">
        <f>'DOE25'!I494</f>
        <v>0</v>
      </c>
      <c r="F154" s="137">
        <f>'DOE25'!J494</f>
        <v>0</v>
      </c>
      <c r="G154" s="24" t="s">
        <v>288</v>
      </c>
    </row>
    <row r="155" spans="1:9" x14ac:dyDescent="0.2">
      <c r="A155" s="136" t="s">
        <v>31</v>
      </c>
      <c r="B155" s="137">
        <f>'DOE25'!F495</f>
        <v>4.75</v>
      </c>
      <c r="C155" s="137">
        <f>'DOE25'!G495</f>
        <v>0</v>
      </c>
      <c r="D155" s="137">
        <f>'DOE25'!H495</f>
        <v>0</v>
      </c>
      <c r="E155" s="137">
        <f>'DOE25'!I495</f>
        <v>0</v>
      </c>
      <c r="F155" s="137">
        <f>'DOE25'!J495</f>
        <v>0</v>
      </c>
      <c r="G155" s="24" t="s">
        <v>288</v>
      </c>
    </row>
    <row r="156" spans="1:9" x14ac:dyDescent="0.2">
      <c r="A156" s="22" t="s">
        <v>32</v>
      </c>
      <c r="B156" s="137">
        <f>'DOE25'!F496</f>
        <v>525000</v>
      </c>
      <c r="C156" s="137">
        <f>'DOE25'!G496</f>
        <v>0</v>
      </c>
      <c r="D156" s="137">
        <f>'DOE25'!H496</f>
        <v>0</v>
      </c>
      <c r="E156" s="137">
        <f>'DOE25'!I496</f>
        <v>0</v>
      </c>
      <c r="F156" s="137">
        <f>'DOE25'!J496</f>
        <v>0</v>
      </c>
      <c r="G156" s="138">
        <f>SUM(B156:F156)</f>
        <v>525000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350000</v>
      </c>
      <c r="C159" s="137">
        <f>'DOE25'!G499</f>
        <v>0</v>
      </c>
      <c r="D159" s="137">
        <f>'DOE25'!H499</f>
        <v>0</v>
      </c>
      <c r="E159" s="137">
        <f>'DOE25'!I499</f>
        <v>0</v>
      </c>
      <c r="F159" s="137">
        <f>'DOE25'!J499</f>
        <v>0</v>
      </c>
      <c r="G159" s="138">
        <f t="shared" si="8"/>
        <v>350000</v>
      </c>
    </row>
    <row r="160" spans="1:9" x14ac:dyDescent="0.2">
      <c r="A160" s="22" t="s">
        <v>36</v>
      </c>
      <c r="B160" s="137">
        <f>'DOE25'!F500</f>
        <v>14000</v>
      </c>
      <c r="C160" s="137">
        <f>'DOE25'!G500</f>
        <v>0</v>
      </c>
      <c r="D160" s="137">
        <f>'DOE25'!H500</f>
        <v>0</v>
      </c>
      <c r="E160" s="137">
        <f>'DOE25'!I500</f>
        <v>0</v>
      </c>
      <c r="F160" s="137">
        <f>'DOE25'!J500</f>
        <v>0</v>
      </c>
      <c r="G160" s="138">
        <f t="shared" si="8"/>
        <v>14000</v>
      </c>
    </row>
    <row r="161" spans="1:7" x14ac:dyDescent="0.2">
      <c r="A161" s="22" t="s">
        <v>37</v>
      </c>
      <c r="B161" s="137">
        <f>'DOE25'!F501</f>
        <v>364000</v>
      </c>
      <c r="C161" s="137">
        <f>'DOE25'!G501</f>
        <v>0</v>
      </c>
      <c r="D161" s="137">
        <f>'DOE25'!H501</f>
        <v>0</v>
      </c>
      <c r="E161" s="137">
        <f>'DOE25'!I501</f>
        <v>0</v>
      </c>
      <c r="F161" s="137">
        <f>'DOE25'!J501</f>
        <v>0</v>
      </c>
      <c r="G161" s="138">
        <f t="shared" si="8"/>
        <v>364000</v>
      </c>
    </row>
    <row r="162" spans="1:7" x14ac:dyDescent="0.2">
      <c r="A162" s="22" t="s">
        <v>38</v>
      </c>
      <c r="B162" s="137">
        <f>'DOE25'!F502</f>
        <v>175000</v>
      </c>
      <c r="C162" s="137">
        <f>'DOE25'!G502</f>
        <v>0</v>
      </c>
      <c r="D162" s="137">
        <f>'DOE25'!H502</f>
        <v>0</v>
      </c>
      <c r="E162" s="137">
        <f>'DOE25'!I502</f>
        <v>0</v>
      </c>
      <c r="F162" s="137">
        <f>'DOE25'!J502</f>
        <v>0</v>
      </c>
      <c r="G162" s="138">
        <f t="shared" si="8"/>
        <v>175000</v>
      </c>
    </row>
    <row r="163" spans="1:7" x14ac:dyDescent="0.2">
      <c r="A163" s="22" t="s">
        <v>39</v>
      </c>
      <c r="B163" s="137">
        <f>'DOE25'!F503</f>
        <v>10500</v>
      </c>
      <c r="C163" s="137">
        <f>'DOE25'!G503</f>
        <v>0</v>
      </c>
      <c r="D163" s="137">
        <f>'DOE25'!H503</f>
        <v>0</v>
      </c>
      <c r="E163" s="137">
        <f>'DOE25'!I503</f>
        <v>0</v>
      </c>
      <c r="F163" s="137">
        <f>'DOE25'!J503</f>
        <v>0</v>
      </c>
      <c r="G163" s="138">
        <f t="shared" si="8"/>
        <v>10500</v>
      </c>
    </row>
    <row r="164" spans="1:7" x14ac:dyDescent="0.2">
      <c r="A164" s="22" t="s">
        <v>246</v>
      </c>
      <c r="B164" s="137">
        <f>'DOE25'!F504</f>
        <v>185500</v>
      </c>
      <c r="C164" s="137">
        <f>'DOE25'!G504</f>
        <v>0</v>
      </c>
      <c r="D164" s="137">
        <f>'DOE25'!H504</f>
        <v>0</v>
      </c>
      <c r="E164" s="137">
        <f>'DOE25'!I504</f>
        <v>0</v>
      </c>
      <c r="F164" s="137">
        <f>'DOE25'!J504</f>
        <v>0</v>
      </c>
      <c r="G164" s="138">
        <f t="shared" si="8"/>
        <v>185500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25" right="0.25" top="0.75" bottom="0.75" header="0.3" footer="0.3"/>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G26" sqref="G2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Winchester</v>
      </c>
    </row>
    <row r="3" spans="1:4" x14ac:dyDescent="0.2">
      <c r="B3" s="187" t="s">
        <v>1799</v>
      </c>
    </row>
    <row r="4" spans="1:4" x14ac:dyDescent="0.2">
      <c r="B4" t="s">
        <v>61</v>
      </c>
      <c r="C4" s="178">
        <f>IF('DOE25'!F666+'DOE25'!F671=0,0,ROUND('DOE25'!F673,0))</f>
        <v>22806</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22806</v>
      </c>
    </row>
    <row r="9" spans="1:4" x14ac:dyDescent="0.2">
      <c r="A9" s="186" t="s">
        <v>94</v>
      </c>
      <c r="B9" s="187" t="s">
        <v>1800</v>
      </c>
      <c r="C9" s="180" t="s">
        <v>720</v>
      </c>
      <c r="D9" s="180" t="s">
        <v>721</v>
      </c>
    </row>
    <row r="10" spans="1:4" x14ac:dyDescent="0.2">
      <c r="A10">
        <v>1100</v>
      </c>
      <c r="B10" t="s">
        <v>702</v>
      </c>
      <c r="C10" s="178">
        <f>ROUND('DOE25'!L198+'DOE25'!L216+'DOE25'!L234+'DOE25'!L277+'DOE25'!L296+'DOE25'!L315,0)</f>
        <v>4288659</v>
      </c>
      <c r="D10" s="181">
        <f>ROUND((C10/$C$28)*100,1)</f>
        <v>35.4</v>
      </c>
    </row>
    <row r="11" spans="1:4" x14ac:dyDescent="0.2">
      <c r="A11">
        <v>1200</v>
      </c>
      <c r="B11" t="s">
        <v>703</v>
      </c>
      <c r="C11" s="178">
        <f>ROUND('DOE25'!L199+'DOE25'!L217+'DOE25'!L235+'DOE25'!L278+'DOE25'!L297+'DOE25'!L316,0)</f>
        <v>3358317</v>
      </c>
      <c r="D11" s="181">
        <f>ROUND((C11/$C$28)*100,1)</f>
        <v>27.7</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51746</v>
      </c>
      <c r="D13" s="181">
        <f>ROUND((C13/$C$28)*100,1)</f>
        <v>0.4</v>
      </c>
    </row>
    <row r="14" spans="1:4" x14ac:dyDescent="0.2">
      <c r="D14" s="181"/>
    </row>
    <row r="15" spans="1:4" x14ac:dyDescent="0.2">
      <c r="A15">
        <v>2100</v>
      </c>
      <c r="B15" t="s">
        <v>706</v>
      </c>
      <c r="C15" s="178">
        <f>ROUND('DOE25'!L203+'DOE25'!L221+'DOE25'!L239+'DOE25'!L282+'DOE25'!L301+'DOE25'!L320,0)</f>
        <v>727393</v>
      </c>
      <c r="D15" s="181">
        <f t="shared" ref="D15:D27" si="0">ROUND((C15/$C$28)*100,1)</f>
        <v>6</v>
      </c>
    </row>
    <row r="16" spans="1:4" x14ac:dyDescent="0.2">
      <c r="A16">
        <v>2200</v>
      </c>
      <c r="B16" t="s">
        <v>707</v>
      </c>
      <c r="C16" s="178">
        <f>ROUND('DOE25'!L204+'DOE25'!L222+'DOE25'!L240+'DOE25'!L283+'DOE25'!L302+'DOE25'!L321,0)</f>
        <v>312752</v>
      </c>
      <c r="D16" s="181">
        <f t="shared" si="0"/>
        <v>2.6</v>
      </c>
    </row>
    <row r="17" spans="1:4" x14ac:dyDescent="0.2">
      <c r="A17" s="182" t="s">
        <v>723</v>
      </c>
      <c r="B17" t="s">
        <v>738</v>
      </c>
      <c r="C17" s="178">
        <f>ROUND('DOE25'!L205+'DOE25'!L210+'DOE25'!L223+'DOE25'!L228+'DOE25'!L241+'DOE25'!L246+'DOE25'!L284+'DOE25'!L289+'DOE25'!L303+'DOE25'!L308+'DOE25'!L322+'DOE25'!L327,0)</f>
        <v>723346</v>
      </c>
      <c r="D17" s="181">
        <f t="shared" si="0"/>
        <v>6</v>
      </c>
    </row>
    <row r="18" spans="1:4" x14ac:dyDescent="0.2">
      <c r="A18">
        <v>2400</v>
      </c>
      <c r="B18" t="s">
        <v>711</v>
      </c>
      <c r="C18" s="178">
        <f>ROUND('DOE25'!L206+'DOE25'!L224+'DOE25'!L242+'DOE25'!L285+'DOE25'!L304+'DOE25'!L323,0)</f>
        <v>265557</v>
      </c>
      <c r="D18" s="181">
        <f t="shared" si="0"/>
        <v>2.2000000000000002</v>
      </c>
    </row>
    <row r="19" spans="1:4" x14ac:dyDescent="0.2">
      <c r="A19">
        <v>2500</v>
      </c>
      <c r="B19" t="s">
        <v>708</v>
      </c>
      <c r="C19" s="178">
        <f>ROUND('DOE25'!L207+'DOE25'!L225+'DOE25'!L243+'DOE25'!L286+'DOE25'!L305+'DOE25'!L324,0)</f>
        <v>138866</v>
      </c>
      <c r="D19" s="181">
        <f t="shared" si="0"/>
        <v>1.1000000000000001</v>
      </c>
    </row>
    <row r="20" spans="1:4" x14ac:dyDescent="0.2">
      <c r="A20">
        <v>2600</v>
      </c>
      <c r="B20" t="s">
        <v>709</v>
      </c>
      <c r="C20" s="178">
        <f>ROUND('DOE25'!L208+'DOE25'!L226+'DOE25'!L244+'DOE25'!L287+'DOE25'!L306+'DOE25'!L325,0)</f>
        <v>1210713</v>
      </c>
      <c r="D20" s="181">
        <f t="shared" si="0"/>
        <v>10</v>
      </c>
    </row>
    <row r="21" spans="1:4" x14ac:dyDescent="0.2">
      <c r="A21">
        <v>2700</v>
      </c>
      <c r="B21" t="s">
        <v>710</v>
      </c>
      <c r="C21" s="178">
        <f>ROUND('DOE25'!L209+'DOE25'!L227+'DOE25'!L245+'DOE25'!L288+'DOE25'!L307+'DOE25'!L326,0)</f>
        <v>720581</v>
      </c>
      <c r="D21" s="181">
        <f t="shared" si="0"/>
        <v>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11612</v>
      </c>
      <c r="D25" s="181">
        <f t="shared" si="0"/>
        <v>0.1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300158.84999999998</v>
      </c>
      <c r="D27" s="181">
        <f t="shared" si="0"/>
        <v>2.5</v>
      </c>
    </row>
    <row r="28" spans="1:4" x14ac:dyDescent="0.2">
      <c r="B28" s="186" t="s">
        <v>719</v>
      </c>
      <c r="C28" s="179">
        <f>SUM(C10:C27)</f>
        <v>12109700.85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12109700.85</v>
      </c>
    </row>
    <row r="31" spans="1:4" x14ac:dyDescent="0.2">
      <c r="B31" s="33"/>
      <c r="C31" s="179"/>
    </row>
    <row r="32" spans="1:4" x14ac:dyDescent="0.2">
      <c r="A32">
        <v>5100</v>
      </c>
      <c r="B32" s="33" t="s">
        <v>726</v>
      </c>
      <c r="C32" s="179">
        <f>ROUND('DOE25'!L261+'DOE25'!L342,0)</f>
        <v>175000</v>
      </c>
    </row>
    <row r="34" spans="1:4" x14ac:dyDescent="0.2">
      <c r="A34" s="186" t="s">
        <v>94</v>
      </c>
      <c r="B34" s="187" t="s">
        <v>1801</v>
      </c>
      <c r="C34" s="180" t="s">
        <v>720</v>
      </c>
      <c r="D34" s="180" t="s">
        <v>721</v>
      </c>
    </row>
    <row r="35" spans="1:4" x14ac:dyDescent="0.2">
      <c r="A35">
        <v>1100</v>
      </c>
      <c r="B35" s="184" t="s">
        <v>727</v>
      </c>
      <c r="C35" s="178">
        <f>ROUND('DOE25'!F60+'DOE25'!G60+'DOE25'!H60+'DOE25'!I60+'DOE25'!J60,0)</f>
        <v>6662508</v>
      </c>
      <c r="D35" s="181">
        <f t="shared" ref="D35:D40" si="1">ROUND((C35/$C$41)*100,1)</f>
        <v>48.8</v>
      </c>
    </row>
    <row r="36" spans="1:4" x14ac:dyDescent="0.2">
      <c r="B36" s="184" t="s">
        <v>739</v>
      </c>
      <c r="C36" s="178">
        <f>SUM('DOE25'!F112:J112)-SUM('DOE25'!G97:G110)+('DOE25'!F175+'DOE25'!F176+'DOE25'!I175+'DOE25'!I176)-C35</f>
        <v>150142.16000000015</v>
      </c>
      <c r="D36" s="181">
        <f t="shared" si="1"/>
        <v>1.1000000000000001</v>
      </c>
    </row>
    <row r="37" spans="1:4" x14ac:dyDescent="0.2">
      <c r="A37" s="182" t="s">
        <v>835</v>
      </c>
      <c r="B37" s="184" t="s">
        <v>728</v>
      </c>
      <c r="C37" s="178">
        <f>ROUND('DOE25'!F117+'DOE25'!F118,0)</f>
        <v>4809660</v>
      </c>
      <c r="D37" s="181">
        <f t="shared" si="1"/>
        <v>35.200000000000003</v>
      </c>
    </row>
    <row r="38" spans="1:4" x14ac:dyDescent="0.2">
      <c r="A38" s="182" t="s">
        <v>734</v>
      </c>
      <c r="B38" s="184" t="s">
        <v>729</v>
      </c>
      <c r="C38" s="178">
        <f>ROUND(SUM('DOE25'!F140:J140)-SUM('DOE25'!F117:F119),0)</f>
        <v>265081</v>
      </c>
      <c r="D38" s="181">
        <f t="shared" si="1"/>
        <v>1.9</v>
      </c>
    </row>
    <row r="39" spans="1:4" x14ac:dyDescent="0.2">
      <c r="A39">
        <v>4000</v>
      </c>
      <c r="B39" s="184" t="s">
        <v>730</v>
      </c>
      <c r="C39" s="178">
        <f>ROUND('DOE25'!F170+'DOE25'!G170+'DOE25'!H170+'DOE25'!I170,0)</f>
        <v>1762873</v>
      </c>
      <c r="D39" s="181">
        <f t="shared" si="1"/>
        <v>12.9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13650264.16</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S45" sqref="S45"/>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Winchester</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19</v>
      </c>
      <c r="B4" s="218">
        <v>1</v>
      </c>
      <c r="C4" s="387" t="s">
        <v>1803</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v>21</v>
      </c>
      <c r="B7" s="218">
        <v>17</v>
      </c>
      <c r="C7" s="387" t="s">
        <v>1805</v>
      </c>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v>21</v>
      </c>
      <c r="B10" s="218">
        <v>19</v>
      </c>
      <c r="C10" s="387" t="s">
        <v>1804</v>
      </c>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t="s">
        <v>1806</v>
      </c>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v>1</v>
      </c>
      <c r="B14" s="218">
        <v>32</v>
      </c>
      <c r="C14" s="387" t="s">
        <v>1814</v>
      </c>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t="s">
        <v>1811</v>
      </c>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v>1</v>
      </c>
      <c r="B17" s="218">
        <v>14</v>
      </c>
      <c r="C17" s="387" t="s">
        <v>1808</v>
      </c>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v>1</v>
      </c>
      <c r="B18" s="218">
        <v>35</v>
      </c>
      <c r="C18" s="387" t="s">
        <v>1813</v>
      </c>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v>6</v>
      </c>
      <c r="B20" s="218">
        <v>6</v>
      </c>
      <c r="C20" s="387" t="s">
        <v>1807</v>
      </c>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v>10</v>
      </c>
      <c r="B22" s="218">
        <v>14</v>
      </c>
      <c r="C22" s="387" t="s">
        <v>1809</v>
      </c>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v>16</v>
      </c>
      <c r="B24" s="218">
        <v>10</v>
      </c>
      <c r="C24" s="387" t="s">
        <v>1810</v>
      </c>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v>18</v>
      </c>
      <c r="B26" s="218">
        <v>4</v>
      </c>
      <c r="C26" s="387" t="s">
        <v>1810</v>
      </c>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v>18</v>
      </c>
      <c r="B27" s="218">
        <v>19</v>
      </c>
      <c r="C27" s="387" t="s">
        <v>1810</v>
      </c>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v>19</v>
      </c>
      <c r="B29" s="218">
        <v>2</v>
      </c>
      <c r="C29" s="387" t="s">
        <v>1807</v>
      </c>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v>19</v>
      </c>
      <c r="B30" s="218">
        <v>5</v>
      </c>
      <c r="C30" s="387" t="s">
        <v>1808</v>
      </c>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v>1</v>
      </c>
      <c r="B32" s="218">
        <v>35</v>
      </c>
      <c r="C32" s="387" t="s">
        <v>1812</v>
      </c>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v>1</v>
      </c>
      <c r="B34" s="218">
        <v>30</v>
      </c>
      <c r="C34" s="387" t="s">
        <v>1808</v>
      </c>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v>1</v>
      </c>
      <c r="B35" s="218">
        <v>35</v>
      </c>
      <c r="C35" s="387" t="s">
        <v>1813</v>
      </c>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v>1</v>
      </c>
      <c r="B37" s="218">
        <v>30</v>
      </c>
      <c r="C37" s="387" t="s">
        <v>1815</v>
      </c>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v>1</v>
      </c>
      <c r="B38" s="218">
        <v>32</v>
      </c>
      <c r="C38" s="387" t="s">
        <v>1816</v>
      </c>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317</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f>IF('School Level Expenditures'!$B$2=A320,'School Tables'!H320,"")</f>
        <v>317</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2022-11-28T21:01:05Z</cp:lastPrinted>
  <dcterms:created xsi:type="dcterms:W3CDTF">1997-12-04T19:04:30Z</dcterms:created>
  <dcterms:modified xsi:type="dcterms:W3CDTF">2022-12-20T17:37:40Z</dcterms:modified>
</cp:coreProperties>
</file>