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1DDD686-4C03-4118-9D81-8BCBE323789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9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05" i="1" l="1"/>
  <c r="H241" i="1"/>
  <c r="H223" i="1"/>
  <c r="H245" i="1"/>
  <c r="J592" i="1" s="1"/>
  <c r="H227" i="1"/>
  <c r="I592" i="1" s="1"/>
  <c r="H209" i="1"/>
  <c r="H592" i="1" s="1"/>
  <c r="H198" i="1" l="1"/>
  <c r="F576" i="1" s="1"/>
  <c r="H234" i="1" l="1"/>
  <c r="H576" i="1" s="1"/>
  <c r="H216" i="1"/>
  <c r="G576" i="1" s="1"/>
  <c r="F57"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E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26" i="14"/>
  <c r="F27" i="14"/>
  <c r="F28" i="14"/>
  <c r="F29" i="14"/>
  <c r="F30" i="14"/>
  <c r="F31" i="14"/>
  <c r="F32" i="14"/>
  <c r="F6" i="14"/>
  <c r="F7" i="14"/>
  <c r="F8" i="14"/>
  <c r="F9" i="14"/>
  <c r="F10" i="14"/>
  <c r="F11" i="14"/>
  <c r="F12" i="14"/>
  <c r="F13" i="14"/>
  <c r="F14" i="14"/>
  <c r="F15" i="14"/>
  <c r="F16" i="14"/>
  <c r="F17" i="14"/>
  <c r="F18" i="14"/>
  <c r="F19" i="14"/>
  <c r="F20"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H112" i="2" s="1"/>
  <c r="E112" i="2"/>
  <c r="D115" i="2"/>
  <c r="F115" i="2"/>
  <c r="G115" i="2"/>
  <c r="E120" i="2"/>
  <c r="E124"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D5" i="14" s="1"/>
  <c r="I212" i="1"/>
  <c r="J212" i="1"/>
  <c r="K212" i="1"/>
  <c r="F230" i="1"/>
  <c r="G230" i="1"/>
  <c r="H230" i="1"/>
  <c r="D25" i="14" s="1"/>
  <c r="I230" i="1"/>
  <c r="J230" i="1"/>
  <c r="K230" i="1"/>
  <c r="F248" i="1"/>
  <c r="G248" i="1"/>
  <c r="H248" i="1"/>
  <c r="D37" i="14" s="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9" i="1"/>
  <c r="H630" i="1"/>
  <c r="H631" i="1"/>
  <c r="H632" i="1"/>
  <c r="H634" i="1"/>
  <c r="H636" i="1"/>
  <c r="H637" i="1"/>
  <c r="H638" i="1"/>
  <c r="H639" i="1"/>
  <c r="G641" i="1"/>
  <c r="G644" i="1"/>
  <c r="G645" i="1"/>
  <c r="G646" i="1"/>
  <c r="G651" i="1"/>
  <c r="H653" i="1"/>
  <c r="G654" i="1"/>
  <c r="H654" i="1"/>
  <c r="H655" i="1"/>
  <c r="H656" i="1"/>
  <c r="I170" i="1"/>
  <c r="H30" i="2" l="1"/>
  <c r="H12" i="2"/>
  <c r="H8" i="2"/>
  <c r="C12" i="10"/>
  <c r="I409" i="1"/>
  <c r="D43" i="14"/>
  <c r="F37" i="14"/>
  <c r="F36" i="14" s="1"/>
  <c r="H101" i="2"/>
  <c r="H99" i="2"/>
  <c r="H73" i="2"/>
  <c r="H58" i="2"/>
  <c r="H113" i="2"/>
  <c r="H38" i="2"/>
  <c r="H48" i="2"/>
  <c r="G477" i="1"/>
  <c r="B33" i="16" s="1"/>
  <c r="D144" i="2"/>
  <c r="H97" i="2"/>
  <c r="H96" i="2"/>
  <c r="H93" i="2"/>
  <c r="H87" i="2"/>
  <c r="H80" i="2"/>
  <c r="H77" i="2"/>
  <c r="H61" i="2"/>
  <c r="H26" i="2"/>
  <c r="H22" i="2"/>
  <c r="H57" i="2"/>
  <c r="E121" i="2"/>
  <c r="H121" i="2" s="1"/>
  <c r="D21" i="14"/>
  <c r="F5" i="14"/>
  <c r="F4" i="14" s="1"/>
  <c r="H102" i="2"/>
  <c r="H100" i="2"/>
  <c r="H98" i="2"/>
  <c r="H79" i="2"/>
  <c r="H76" i="2"/>
  <c r="H23" i="2"/>
  <c r="H15" i="2"/>
  <c r="H11" i="2"/>
  <c r="H36" i="2"/>
  <c r="H43" i="2"/>
  <c r="H44" i="2"/>
  <c r="H47" i="2"/>
  <c r="D33" i="14"/>
  <c r="F25" i="14"/>
  <c r="F24" i="14" s="1"/>
  <c r="H137" i="2"/>
  <c r="H89" i="2"/>
  <c r="H59" i="2"/>
  <c r="H35" i="2"/>
  <c r="H34" i="2"/>
  <c r="H21" i="2"/>
  <c r="H13" i="2"/>
  <c r="H9" i="2"/>
  <c r="H131" i="2"/>
  <c r="G663" i="1"/>
  <c r="J652" i="1"/>
  <c r="C120" i="2"/>
  <c r="H120" i="2" s="1"/>
  <c r="D15" i="13"/>
  <c r="C15" i="13" s="1"/>
  <c r="E119" i="2"/>
  <c r="H119" i="2" s="1"/>
  <c r="H409" i="1"/>
  <c r="H645" i="1" s="1"/>
  <c r="G339" i="1"/>
  <c r="G353" i="1" s="1"/>
  <c r="J258" i="1"/>
  <c r="J272" i="1" s="1"/>
  <c r="E123" i="2"/>
  <c r="E110" i="2"/>
  <c r="H110" i="2" s="1"/>
  <c r="K339" i="1"/>
  <c r="K353" i="1" s="1"/>
  <c r="J656" i="1"/>
  <c r="J572" i="1"/>
  <c r="D50" i="2"/>
  <c r="E131" i="2"/>
  <c r="G553" i="1"/>
  <c r="H663" i="1"/>
  <c r="F258" i="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F469" i="1" s="1"/>
  <c r="G63" i="2"/>
  <c r="J619" i="1"/>
  <c r="G42" i="2"/>
  <c r="G50" i="2" s="1"/>
  <c r="J51" i="1"/>
  <c r="G16" i="2"/>
  <c r="G18" i="2" s="1"/>
  <c r="J19" i="1"/>
  <c r="G622" i="1" s="1"/>
  <c r="F546" i="1"/>
  <c r="H435" i="1"/>
  <c r="D103" i="2"/>
  <c r="I140" i="1"/>
  <c r="A22" i="12"/>
  <c r="J653" i="1"/>
  <c r="G572" i="1"/>
  <c r="I435" i="1"/>
  <c r="G435" i="1"/>
  <c r="I664" i="1"/>
  <c r="D128" i="2" l="1"/>
  <c r="D145" i="2" s="1"/>
  <c r="H127" i="2"/>
  <c r="H16" i="2"/>
  <c r="H103" i="2"/>
  <c r="H109" i="2"/>
  <c r="H123" i="2"/>
  <c r="H78" i="2"/>
  <c r="F471" i="1"/>
  <c r="H628" i="1"/>
  <c r="H31" i="2"/>
  <c r="E115" i="2"/>
  <c r="E145" i="2" s="1"/>
  <c r="H114" i="2"/>
  <c r="H50" i="2"/>
  <c r="I663" i="1"/>
  <c r="E128" i="2"/>
  <c r="H18" i="2"/>
  <c r="H42" i="2"/>
  <c r="H85" i="2"/>
  <c r="H134" i="2"/>
  <c r="C81" i="2"/>
  <c r="H81" i="2" s="1"/>
  <c r="F144" i="2"/>
  <c r="H130" i="2"/>
  <c r="H661" i="1"/>
  <c r="H665" i="1" s="1"/>
  <c r="H668" i="1" s="1"/>
  <c r="H194" i="1"/>
  <c r="G630" i="1" s="1"/>
  <c r="J630" i="1" s="1"/>
  <c r="H649" i="1"/>
  <c r="C14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C115" i="2"/>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44" i="2" l="1"/>
  <c r="H144" i="2" s="1"/>
  <c r="H141" i="2"/>
  <c r="L272" i="1"/>
  <c r="G633" i="1" s="1"/>
  <c r="F473" i="1"/>
  <c r="H51" i="2"/>
  <c r="H128" i="2"/>
  <c r="H115"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F475" i="1"/>
  <c r="F477" i="1" s="1"/>
  <c r="H623" i="1" s="1"/>
  <c r="J623" i="1" s="1"/>
  <c r="H633" i="1"/>
  <c r="J633" i="1" s="1"/>
  <c r="I668" i="1"/>
  <c r="D28" i="10"/>
  <c r="D37" i="10"/>
  <c r="D36" i="10"/>
  <c r="D35" i="10"/>
  <c r="D40" i="10"/>
  <c r="D39" i="10"/>
  <c r="H657" i="1" l="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<sst xmlns="http://schemas.openxmlformats.org/spreadsheetml/2006/main" count="6530" uniqueCount="1803">
  <si>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</si>
  <si>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</si>
  <si>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</si>
  <si>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</si>
  <si>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</si>
  <si>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</si>
  <si>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</si>
  <si>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</si>
  <si>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</si>
  <si>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</si>
  <si>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</si>
  <si>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</si>
  <si>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</si>
  <si>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</si>
  <si>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</si>
  <si>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</si>
  <si>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</si>
  <si>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</si>
  <si>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</si>
  <si>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</si>
  <si>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</si>
  <si>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</si>
  <si>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</si>
  <si>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</si>
  <si>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</si>
  <si>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</si>
  <si>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</si>
  <si>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</si>
  <si>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</si>
  <si>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</si>
  <si>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</si>
  <si>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</si>
  <si>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</si>
  <si>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</si>
  <si>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</si>
  <si>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</si>
  <si>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</si>
  <si>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</si>
  <si>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</si>
  <si>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</si>
  <si>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</si>
  <si>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</si>
  <si>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</si>
  <si>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</si>
  <si>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</si>
  <si>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</si>
  <si>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</si>
  <si>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</si>
  <si>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</si>
  <si>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</si>
  <si>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</si>
  <si>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</si>
  <si>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</si>
  <si>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</si>
  <si>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</si>
  <si>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</si>
  <si>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</si>
  <si>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</si>
  <si>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</si>
  <si>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</si>
  <si>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</si>
  <si>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</si>
  <si>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</si>
  <si>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</si>
  <si>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</si>
  <si>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</si>
  <si>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</si>
  <si>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</si>
  <si>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</si>
  <si>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</si>
  <si>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</si>
  <si>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</si>
  <si>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</si>
  <si>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</si>
  <si>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</si>
  <si>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</si>
  <si>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</si>
  <si>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</si>
  <si>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</si>
  <si>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</si>
  <si>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</si>
  <si>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</si>
  <si>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</si>
  <si>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</si>
  <si>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</si>
  <si>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</si>
  <si>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</si>
  <si>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</si>
  <si>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</si>
  <si>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</si>
  <si>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</si>
  <si>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</si>
  <si>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</si>
  <si>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</si>
  <si>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</si>
  <si>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</si>
  <si>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</si>
  <si>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</si>
  <si>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</si>
  <si>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</si>
  <si>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</si>
  <si>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</si>
  <si>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</si>
  <si>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</si>
  <si>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</si>
  <si>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</si>
  <si>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</si>
  <si>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</si>
  <si>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</si>
  <si>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</si>
  <si>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</si>
  <si>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</si>
  <si>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</si>
  <si>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</si>
  <si>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</si>
  <si>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</si>
  <si>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</si>
  <si>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</si>
  <si>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</si>
  <si>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</si>
  <si>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</si>
  <si>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</si>
  <si>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</si>
  <si>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</si>
  <si>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</si>
  <si>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</si>
  <si>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</si>
  <si>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</si>
  <si>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</si>
  <si>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</si>
  <si>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</si>
  <si>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</si>
  <si>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</si>
  <si>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</si>
  <si>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</si>
  <si>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</si>
  <si>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</si>
  <si>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</si>
  <si>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</si>
  <si>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</si>
  <si>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</si>
  <si>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</si>
  <si>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</si>
  <si>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</si>
  <si>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</si>
  <si>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</si>
  <si>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</si>
  <si>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</si>
  <si>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</si>
  <si>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</si>
  <si>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</si>
  <si>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</si>
  <si>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</si>
  <si>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</si>
  <si>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</si>
  <si>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</si>
  <si>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</si>
  <si>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</si>
  <si>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</si>
  <si>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</si>
  <si>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</si>
  <si>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</si>
  <si>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</si>
  <si>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</si>
  <si>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</si>
  <si>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</si>
  <si>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</si>
  <si>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</si>
  <si>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</si>
  <si>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</si>
  <si>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</si>
  <si>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</si>
  <si>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</si>
  <si>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</si>
  <si>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</si>
  <si>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</si>
  <si>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</si>
  <si>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</si>
  <si>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</si>
  <si>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</si>
  <si>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</si>
  <si>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</si>
  <si>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</si>
  <si>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</si>
  <si>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</si>
  <si>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</si>
  <si>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</si>
  <si>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</si>
  <si>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</si>
  <si>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</si>
  <si>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</si>
  <si>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</si>
  <si>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</si>
  <si>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</si>
  <si>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</si>
  <si>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</si>
  <si>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</si>
  <si>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</si>
  <si>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</si>
  <si>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</si>
  <si>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</si>
  <si>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</si>
  <si>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</si>
  <si>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</si>
  <si>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</si>
  <si>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</si>
  <si>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</si>
  <si>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</si>
  <si>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</si>
  <si>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</si>
  <si>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</si>
  <si>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</si>
  <si>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</si>
  <si>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</si>
  <si>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</si>
  <si>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</si>
  <si>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</si>
  <si>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</si>
  <si>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</si>
  <si>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</si>
  <si>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</si>
  <si>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</si>
  <si>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</si>
  <si>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</si>
  <si>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</si>
  <si>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</si>
  <si>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</si>
  <si>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</si>
  <si>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</si>
  <si>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</si>
  <si>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</si>
  <si>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</si>
  <si>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</si>
  <si>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</si>
  <si>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</si>
  <si>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</si>
  <si>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</si>
  <si>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</si>
  <si>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</si>
  <si>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</si>
  <si>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</si>
  <si>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</si>
  <si>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</si>
  <si>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</si>
  <si>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</si>
  <si>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</si>
  <si>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</si>
  <si>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</si>
  <si>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</si>
  <si>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</si>
  <si>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</si>
  <si>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</si>
  <si>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</si>
  <si>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</si>
  <si>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</si>
  <si>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</si>
  <si>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</si>
  <si>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</si>
  <si>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</si>
  <si>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</si>
  <si>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</si>
  <si>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</si>
  <si>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</si>
  <si>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</si>
  <si>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</si>
  <si>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</si>
  <si>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</si>
  <si>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</si>
  <si>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</si>
  <si>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</si>
  <si>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</si>
  <si>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</si>
  <si>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</si>
  <si>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</si>
  <si>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</si>
  <si>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</si>
  <si>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</si>
  <si>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</si>
  <si>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</si>
  <si>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</si>
  <si>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</si>
  <si>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</si>
  <si>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</si>
  <si>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</si>
  <si>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</si>
  <si>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</si>
  <si>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</si>
  <si>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</si>
  <si>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</si>
  <si>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</si>
  <si>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</si>
  <si>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</si>
  <si>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</si>
  <si>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</si>
  <si>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</si>
  <si>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</si>
  <si>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</si>
  <si>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</si>
  <si>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</si>
  <si>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</si>
  <si>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</si>
  <si>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</si>
  <si>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</si>
  <si>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</si>
  <si>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</si>
  <si>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</si>
  <si>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</si>
  <si>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</si>
  <si>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</si>
  <si>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</si>
  <si>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</si>
  <si>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</si>
  <si>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</si>
  <si>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</si>
  <si>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</si>
  <si>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</si>
  <si>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</si>
  <si>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</si>
  <si>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</si>
  <si>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</si>
  <si>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</si>
  <si>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</si>
  <si>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</si>
  <si>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</si>
  <si>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</si>
  <si>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</si>
  <si>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</si>
  <si>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</si>
  <si>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</si>
  <si>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</si>
  <si>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</si>
  <si>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</si>
  <si>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</si>
  <si>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</si>
  <si>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</si>
  <si>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</si>
  <si>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</si>
  <si>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</si>
  <si>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</si>
  <si>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</si>
  <si>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</si>
  <si>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</si>
  <si>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</si>
  <si>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</si>
  <si>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</si>
  <si>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</si>
  <si>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</si>
  <si>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</si>
  <si>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</si>
  <si>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</si>
  <si>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</si>
  <si>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</si>
  <si>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</si>
  <si>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</si>
  <si>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</si>
  <si>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</si>
  <si>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</si>
  <si>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</si>
  <si>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</si>
  <si>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</si>
  <si>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</si>
  <si>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</si>
  <si>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</si>
  <si>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</si>
  <si>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</si>
  <si>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</si>
  <si>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</si>
  <si>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</si>
  <si>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</si>
  <si>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</si>
  <si>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</si>
  <si>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</si>
  <si>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</si>
  <si>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</si>
  <si>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</si>
  <si>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</si>
  <si>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</si>
  <si>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</si>
  <si>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</si>
  <si>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</si>
  <si>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</si>
  <si>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</si>
  <si>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</si>
  <si>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</si>
  <si>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</si>
  <si>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</si>
  <si>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</si>
  <si>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</si>
  <si>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</si>
  <si>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</si>
  <si>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</si>
  <si>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</si>
  <si>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</si>
  <si>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</si>
  <si>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</si>
  <si>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</si>
  <si>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</si>
  <si>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</si>
  <si>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</si>
  <si>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</si>
  <si>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</si>
  <si>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</si>
  <si>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</si>
  <si>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</si>
  <si>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</si>
  <si>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</si>
  <si>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</si>
  <si>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</si>
  <si>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</si>
  <si>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</si>
  <si>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</si>
  <si>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</si>
  <si>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</si>
  <si>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</si>
  <si>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</si>
  <si>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</si>
  <si>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</si>
  <si>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</si>
  <si>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</si>
  <si>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</si>
  <si>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</si>
  <si>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</si>
  <si>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</si>
  <si>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</si>
  <si>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</si>
  <si>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</si>
  <si>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</si>
  <si>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</si>
  <si>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</si>
  <si>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</si>
  <si>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</si>
  <si>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</si>
  <si>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</si>
  <si>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</si>
  <si>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</si>
  <si>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</si>
  <si>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</si>
  <si>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</si>
  <si>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</si>
  <si>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</si>
  <si>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</si>
  <si>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</si>
  <si>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</si>
  <si>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</si>
  <si>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</si>
  <si>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</si>
  <si>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</si>
  <si>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</si>
  <si>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</si>
  <si>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</si>
  <si>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</si>
  <si>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</si>
  <si>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</si>
  <si>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</si>
  <si>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</si>
  <si>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</si>
  <si>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</si>
  <si>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</si>
  <si>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</si>
  <si>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</si>
  <si>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</si>
  <si>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</si>
  <si>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</si>
  <si>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</si>
  <si>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</si>
  <si>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</si>
  <si>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</si>
  <si>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</si>
  <si>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</si>
  <si>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</si>
  <si>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</si>
  <si>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</si>
  <si>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</si>
  <si>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</si>
  <si>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</si>
  <si>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</si>
  <si>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</si>
  <si>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</si>
  <si>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</si>
  <si>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</si>
  <si>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</si>
  <si>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</si>
  <si>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</si>
  <si>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</si>
  <si>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</si>
  <si>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</si>
  <si>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</si>
  <si>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</si>
  <si>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</si>
  <si>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</si>
  <si>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</si>
  <si>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</si>
  <si>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</si>
  <si>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</si>
  <si>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</si>
  <si>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</si>
  <si>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</si>
  <si>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</si>
  <si>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</si>
  <si>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</si>
  <si>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</si>
  <si>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</si>
  <si>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</si>
  <si>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</si>
  <si>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</si>
  <si>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</si>
  <si>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</si>
  <si>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</si>
  <si>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</si>
  <si>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</si>
  <si>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</si>
  <si>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</si>
  <si>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</si>
  <si>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</si>
  <si>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</si>
  <si>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</si>
  <si>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</si>
  <si>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</si>
  <si>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</si>
  <si>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</si>
  <si>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</si>
  <si>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</si>
  <si>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</si>
  <si>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</si>
  <si>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</si>
  <si>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</si>
  <si>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</si>
  <si>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</si>
  <si>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</si>
  <si>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</si>
  <si>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</si>
  <si>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</si>
  <si>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</si>
  <si>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</si>
  <si>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</si>
  <si>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</si>
  <si>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</si>
  <si>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</si>
  <si>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</si>
  <si>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</si>
  <si>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</si>
  <si>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</si>
  <si>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</si>
  <si>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</si>
  <si>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</si>
  <si>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</si>
  <si>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</si>
  <si>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</si>
  <si>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</si>
  <si>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</si>
  <si>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</si>
  <si>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</si>
  <si>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</si>
  <si>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</si>
  <si>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</si>
  <si>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</si>
  <si>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</si>
  <si>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</si>
  <si>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</si>
  <si>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</si>
  <si>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</si>
  <si>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</si>
  <si>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</si>
  <si>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</si>
  <si>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</si>
  <si>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</si>
  <si>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</si>
  <si>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</si>
  <si>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</si>
  <si>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</si>
  <si>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</si>
  <si>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</si>
  <si>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</si>
  <si>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</si>
  <si>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</si>
  <si>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</si>
  <si>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</si>
  <si>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</si>
  <si>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</si>
  <si>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</si>
  <si>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</si>
  <si>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</si>
  <si>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</si>
  <si>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</si>
  <si>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</si>
  <si>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</si>
  <si>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</si>
  <si>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</si>
  <si>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</si>
  <si>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</si>
  <si>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</si>
  <si>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</si>
  <si>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</si>
  <si>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</si>
  <si>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</si>
  <si>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</si>
  <si>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</si>
  <si>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</si>
  <si>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</si>
  <si>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</si>
  <si>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</si>
  <si>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</si>
  <si>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</si>
  <si>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</si>
  <si>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</si>
  <si>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</si>
  <si>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</si>
  <si>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</si>
  <si>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</si>
  <si>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</si>
  <si>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</si>
  <si>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</si>
  <si>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</si>
  <si>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</si>
  <si>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</si>
  <si>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</si>
  <si>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</si>
  <si>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</si>
  <si>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</si>
  <si>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</si>
  <si>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</si>
  <si>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</si>
  <si>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</si>
  <si>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</si>
  <si>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</si>
  <si>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</si>
  <si>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</si>
  <si>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</si>
  <si>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</si>
  <si>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</si>
  <si>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</si>
  <si>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</si>
  <si>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</si>
  <si>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</si>
  <si>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</si>
  <si>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</si>
  <si>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</si>
  <si>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</si>
  <si>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</si>
  <si>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</si>
  <si>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</si>
  <si>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</si>
  <si>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</si>
  <si>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</si>
  <si>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</si>
  <si>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</si>
  <si>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</si>
  <si>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</si>
  <si>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</si>
  <si>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</si>
  <si>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</si>
  <si>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</si>
  <si>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</si>
  <si>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</si>
  <si>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</si>
  <si>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</si>
  <si>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</si>
  <si>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</si>
  <si>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</si>
  <si>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</si>
  <si>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</si>
  <si>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</si>
  <si>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</si>
  <si>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</si>
  <si>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</si>
  <si>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</si>
  <si>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</si>
  <si>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</si>
  <si>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</si>
  <si>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</si>
  <si>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</si>
  <si>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</si>
  <si>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</si>
  <si>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</si>
  <si>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</si>
  <si>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</si>
  <si>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</si>
  <si>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</si>
  <si>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</si>
  <si>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</si>
  <si>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</si>
  <si>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</si>
  <si>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</si>
  <si>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</si>
  <si>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</si>
  <si>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</si>
  <si>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</si>
  <si>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</si>
  <si>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</si>
  <si>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</si>
  <si>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</si>
  <si>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</si>
  <si>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</si>
  <si>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</si>
  <si>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</si>
  <si>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</si>
  <si>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</si>
  <si>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</si>
  <si>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</si>
  <si>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</si>
  <si>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</si>
  <si>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</si>
  <si>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</si>
  <si>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</si>
  <si>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</si>
  <si>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</si>
  <si>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</si>
  <si>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</si>
  <si>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</si>
  <si>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</si>
  <si>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</si>
  <si>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</si>
  <si>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</si>
  <si>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</si>
  <si>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</si>
  <si>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</si>
  <si>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</si>
  <si>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</si>
  <si>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</si>
  <si>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</si>
  <si>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</si>
  <si>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</si>
  <si>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</si>
  <si>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</si>
  <si>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</si>
  <si>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</si>
  <si>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</si>
  <si>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</si>
  <si>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</si>
  <si>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</si>
  <si>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</si>
  <si>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</si>
  <si>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</si>
  <si>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</si>
  <si>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</si>
  <si>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</si>
  <si>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</si>
  <si>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</si>
  <si>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</si>
  <si>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</si>
  <si>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</si>
  <si>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</si>
  <si>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</si>
  <si>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</si>
  <si>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</si>
  <si>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</si>
  <si>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</si>
  <si>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</si>
  <si>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</si>
  <si>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</si>
  <si>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</si>
  <si>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</si>
  <si>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</si>
  <si>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</si>
  <si>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</si>
  <si>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</si>
  <si>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</si>
  <si>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</si>
  <si>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</si>
  <si>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</si>
  <si>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</si>
  <si>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</si>
  <si>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</si>
  <si>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</si>
  <si>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</si>
  <si>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</si>
  <si>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</si>
  <si>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</si>
  <si>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</si>
  <si>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</si>
  <si>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</si>
  <si>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</si>
  <si>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</si>
  <si>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</si>
  <si>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</si>
  <si>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</si>
  <si>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</si>
  <si>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</si>
  <si>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</si>
  <si>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</si>
  <si>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</si>
  <si>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</si>
  <si>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</si>
  <si>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</si>
  <si>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</si>
  <si>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</si>
  <si>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</si>
  <si>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</si>
  <si>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</si>
  <si>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</si>
  <si>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</si>
  <si>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</si>
  <si>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</si>
  <si>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</si>
  <si>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</si>
  <si>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</si>
  <si>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</si>
  <si>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</si>
  <si>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</si>
  <si>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</si>
  <si>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</si>
  <si>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</si>
  <si>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</si>
  <si>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</si>
  <si>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</si>
  <si>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</si>
  <si>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</si>
  <si>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</si>
  <si>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</si>
  <si>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</si>
  <si>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</si>
  <si>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</si>
  <si>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</si>
  <si>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</si>
  <si>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</si>
  <si>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</si>
  <si>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</si>
  <si>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</si>
  <si>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</si>
  <si>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</si>
  <si>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</si>
  <si>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</si>
  <si>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</si>
  <si>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</si>
  <si>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</si>
  <si>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</si>
  <si>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</si>
  <si>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</si>
  <si>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</si>
  <si>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</si>
  <si>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</si>
  <si>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</si>
  <si>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</si>
  <si>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</si>
  <si>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</si>
  <si>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</si>
  <si>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</si>
  <si>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</si>
  <si>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</si>
  <si>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</si>
  <si>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</si>
  <si>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</si>
  <si>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</si>
  <si>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</si>
  <si>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</si>
  <si>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</si>
  <si>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</si>
  <si>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</si>
  <si>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</si>
  <si>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</si>
  <si>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</si>
  <si>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</si>
  <si>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</si>
  <si>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</si>
  <si>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</si>
  <si>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</si>
  <si>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</si>
  <si>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</si>
  <si>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</si>
  <si>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</si>
  <si>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</si>
  <si>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</si>
  <si>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</si>
  <si>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</si>
  <si>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</si>
  <si>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</si>
  <si>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</si>
  <si>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</si>
  <si>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</si>
  <si>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</si>
  <si>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</si>
  <si>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</si>
  <si>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</si>
  <si>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</si>
  <si>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</si>
  <si>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</si>
  <si>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</si>
  <si>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</si>
  <si>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</si>
  <si>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</si>
  <si>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</si>
  <si>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</si>
  <si>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</si>
  <si>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</si>
  <si>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</si>
  <si>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</si>
  <si>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</si>
  <si>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</si>
  <si>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</si>
  <si>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</si>
  <si>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</si>
  <si>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</si>
  <si>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</si>
  <si>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</si>
  <si>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</si>
  <si>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</si>
  <si>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</si>
  <si>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</si>
  <si>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</si>
  <si>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</si>
  <si>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</si>
  <si>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</si>
  <si>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</si>
  <si>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</si>
  <si>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</si>
  <si>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</si>
  <si>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</si>
  <si>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</si>
  <si>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</si>
  <si>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</si>
  <si>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</si>
  <si>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</si>
  <si>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</si>
  <si>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</si>
  <si>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</si>
  <si>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</si>
  <si>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</si>
  <si>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</si>
  <si>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</si>
  <si>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</si>
  <si>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</si>
  <si>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</si>
  <si>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</si>
  <si>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</si>
  <si>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</si>
  <si>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</si>
  <si>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</si>
  <si>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</si>
  <si>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</si>
  <si>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</si>
  <si>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</si>
  <si>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</si>
  <si>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</si>
  <si>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</si>
  <si>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</si>
  <si>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</si>
  <si>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</si>
  <si>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</si>
  <si>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</si>
  <si>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</si>
  <si>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</si>
  <si>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</si>
  <si>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</si>
  <si>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</si>
  <si>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</si>
  <si>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</si>
  <si>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</si>
  <si>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</si>
  <si>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</si>
  <si>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</si>
  <si>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</si>
  <si>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</si>
  <si>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</si>
  <si>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</si>
  <si>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</si>
  <si>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</si>
  <si>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</si>
  <si>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</si>
  <si>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</si>
  <si>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</si>
  <si>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</si>
  <si>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</si>
  <si>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</si>
  <si>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</si>
  <si>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</si>
  <si>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</si>
  <si>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</si>
  <si>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</si>
  <si>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</si>
  <si>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</si>
  <si>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</si>
  <si>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</si>
  <si>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</si>
  <si>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</si>
  <si>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</si>
  <si>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</si>
  <si>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</si>
  <si>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</si>
  <si>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</si>
  <si>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</si>
  <si>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</si>
  <si>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</si>
  <si>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</si>
  <si>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</si>
  <si>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</si>
  <si>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</si>
  <si>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</si>
  <si>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</si>
  <si>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</si>
  <si>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</si>
  <si>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</si>
  <si>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</si>
  <si>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</si>
  <si>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</si>
  <si>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</si>
  <si>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</si>
  <si>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</si>
  <si>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</si>
  <si>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</si>
  <si>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</si>
  <si>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</si>
  <si>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</si>
  <si>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</si>
  <si>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</si>
  <si>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</si>
  <si>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</si>
  <si>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</si>
  <si>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</si>
  <si>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</si>
  <si>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</si>
  <si>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</si>
  <si>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</si>
  <si>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</si>
  <si>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</si>
  <si>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</si>
  <si>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</si>
  <si>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</si>
  <si>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</si>
  <si>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</si>
  <si>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</si>
  <si>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</si>
  <si>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</si>
  <si>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</si>
  <si>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</si>
  <si>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</si>
  <si>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</si>
  <si>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</si>
  <si>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</si>
  <si>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</si>
  <si>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</si>
  <si>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</si>
  <si>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</si>
  <si>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</si>
  <si>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</si>
  <si>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</si>
  <si>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</si>
  <si>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</si>
  <si>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</si>
  <si>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</si>
  <si>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</si>
  <si>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</si>
  <si>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</si>
  <si>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</si>
  <si>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</si>
  <si>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</si>
  <si>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</si>
  <si>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</si>
  <si>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</si>
  <si>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</si>
  <si>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</si>
  <si>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</si>
  <si>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</si>
  <si>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</si>
  <si>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</si>
  <si>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</si>
  <si>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</si>
  <si>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</si>
  <si>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</si>
  <si>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</si>
  <si>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</si>
  <si>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</si>
  <si>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</si>
  <si>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</si>
  <si>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</si>
  <si>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</si>
  <si>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</si>
  <si>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</si>
  <si>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</si>
  <si>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</si>
  <si>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</si>
  <si>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</si>
  <si>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</si>
  <si>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</si>
  <si>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</si>
  <si>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</si>
  <si>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</si>
  <si>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</si>
  <si>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</si>
  <si>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</si>
  <si>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</si>
  <si>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</si>
  <si>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</si>
  <si>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</si>
  <si>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</si>
  <si>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</si>
  <si>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</si>
  <si>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</si>
  <si>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</si>
  <si>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</si>
  <si>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</si>
  <si>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</si>
  <si>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</si>
  <si>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</si>
  <si>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</si>
  <si>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</si>
  <si>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</si>
  <si>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</si>
  <si>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</si>
  <si>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</si>
  <si>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</si>
  <si>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</si>
  <si>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</si>
  <si>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</si>
  <si>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</si>
  <si>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</si>
  <si>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</si>
  <si>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</si>
  <si>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</si>
  <si>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</si>
  <si>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</si>
  <si>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</si>
  <si>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</si>
  <si>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</si>
  <si>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</si>
  <si>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</si>
  <si>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</si>
  <si>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</si>
  <si>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</si>
  <si>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</si>
  <si>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</si>
  <si>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</si>
  <si>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</si>
  <si>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</si>
  <si>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</si>
  <si>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</si>
  <si>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</si>
  <si>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</si>
  <si>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</si>
  <si>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</si>
  <si>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</si>
  <si>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</si>
  <si>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</si>
  <si>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</si>
  <si>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</si>
  <si>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</si>
  <si>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</si>
  <si>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</si>
  <si>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</si>
  <si>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</si>
  <si>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</si>
  <si>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</si>
  <si>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</si>
  <si>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</si>
  <si>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</si>
  <si>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</si>
  <si>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</si>
  <si>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</si>
  <si>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</si>
  <si>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</si>
  <si>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</si>
  <si>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</si>
  <si>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</si>
  <si>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</si>
  <si>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</si>
  <si>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</si>
  <si>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</si>
  <si>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</si>
  <si>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</si>
  <si>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</si>
  <si>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</si>
  <si>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</si>
  <si>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</si>
  <si>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</si>
  <si>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</si>
  <si>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</si>
  <si>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</si>
  <si>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</si>
  <si>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</si>
  <si>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</si>
  <si>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</si>
  <si>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</si>
  <si>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</si>
  <si>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</si>
  <si>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</si>
  <si>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</si>
  <si>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</si>
  <si>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</si>
  <si>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</si>
  <si>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</si>
  <si>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</si>
  <si>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</si>
  <si>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</si>
  <si>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</si>
  <si>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</si>
  <si>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</si>
  <si>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</si>
  <si>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</si>
  <si>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</si>
  <si>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</si>
  <si>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</si>
  <si>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</si>
  <si>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</si>
  <si>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</si>
  <si>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</si>
  <si>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</si>
  <si>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</si>
  <si>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</si>
  <si>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</si>
  <si>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</si>
  <si>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</si>
  <si>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</si>
  <si>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</si>
  <si>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</si>
  <si>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</si>
  <si>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</si>
  <si>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</si>
  <si>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</si>
  <si>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</si>
  <si>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</si>
  <si>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</si>
  <si>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</si>
  <si>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</si>
  <si>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</si>
  <si>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</si>
  <si>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</si>
  <si>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</si>
  <si>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</si>
  <si>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</si>
  <si>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</si>
  <si>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</si>
  <si>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</si>
  <si>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</si>
  <si>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</si>
  <si>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</si>
  <si>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</si>
  <si>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</si>
  <si>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</si>
  <si>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</si>
  <si>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</si>
  <si>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</si>
  <si>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</si>
  <si>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</si>
  <si>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</si>
  <si>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</si>
  <si>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</si>
  <si>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</si>
  <si>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</si>
  <si>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</si>
  <si>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</si>
  <si>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</si>
  <si>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</si>
  <si>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</si>
  <si>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</si>
  <si>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</si>
  <si>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</si>
  <si>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</si>
  <si>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</si>
  <si>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</si>
  <si>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</si>
  <si>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</si>
  <si>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</si>
  <si>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</si>
  <si>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</si>
  <si>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</si>
  <si>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</si>
  <si>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</si>
  <si>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</si>
  <si>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</si>
  <si>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</si>
  <si>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</si>
  <si>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</si>
  <si>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</si>
  <si>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</si>
  <si>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</si>
  <si>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</si>
  <si>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</si>
  <si>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</si>
  <si>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</si>
  <si>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</si>
  <si>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</si>
  <si>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</si>
  <si>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</si>
  <si>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</si>
  <si>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</si>
  <si>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</si>
  <si>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</si>
  <si>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</si>
  <si>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</si>
  <si>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</si>
  <si>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</si>
  <si>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</si>
  <si>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</si>
  <si>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</si>
  <si>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</si>
  <si>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</si>
  <si>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</si>
  <si>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</si>
  <si>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</si>
  <si>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</si>
  <si>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</si>
  <si>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</si>
  <si>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</si>
  <si>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</si>
  <si>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</si>
  <si>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</si>
  <si>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</si>
  <si>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</si>
  <si>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</si>
  <si>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</si>
  <si>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</si>
  <si>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</si>
  <si>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</si>
  <si>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</si>
  <si>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</si>
  <si>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</si>
  <si>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</si>
  <si>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</si>
  <si>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</si>
  <si>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</si>
  <si>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</si>
  <si>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</si>
  <si>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</si>
  <si>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</si>
  <si>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</si>
  <si>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</si>
  <si>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</si>
  <si>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</si>
  <si>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</si>
  <si>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</si>
  <si>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</si>
  <si>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</si>
  <si>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</si>
  <si>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</si>
  <si>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</si>
  <si>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</si>
  <si>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</si>
  <si>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</si>
  <si>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</si>
  <si>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</si>
  <si>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</si>
  <si>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</si>
  <si>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</si>
  <si>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</si>
  <si>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</si>
  <si>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</si>
  <si>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</si>
  <si>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</si>
  <si>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</si>
  <si>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</si>
  <si>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</si>
  <si>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</si>
  <si>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</si>
  <si>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</si>
  <si>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</si>
  <si>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</si>
  <si>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</si>
  <si>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</si>
  <si>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</si>
  <si>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</si>
  <si>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</si>
  <si>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</si>
  <si>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</si>
  <si>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</si>
  <si>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</si>
  <si>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</si>
  <si>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</si>
  <si>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</si>
  <si>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</si>
  <si>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</si>
  <si>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</si>
  <si>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</si>
  <si>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</si>
  <si>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</si>
  <si>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</si>
  <si>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</si>
  <si>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</si>
  <si>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</si>
  <si>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</si>
  <si>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</si>
  <si>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</si>
  <si>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</si>
  <si>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</si>
  <si>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</si>
  <si>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</si>
  <si>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</si>
  <si>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</si>
  <si>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</si>
  <si>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</si>
  <si>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</si>
  <si>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</si>
  <si>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</si>
  <si>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</si>
  <si>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</si>
  <si>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</si>
  <si>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</si>
  <si>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</si>
  <si>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</si>
  <si>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</si>
  <si>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</si>
  <si>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</si>
  <si>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</si>
  <si>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</si>
  <si>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</si>
  <si>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</si>
  <si>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</si>
  <si>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</si>
  <si>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</si>
  <si>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</si>
  <si>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</si>
  <si>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</si>
  <si>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</si>
  <si>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</si>
  <si>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</si>
  <si>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</si>
  <si>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</si>
  <si>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</si>
  <si>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</si>
  <si>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</si>
  <si>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</si>
  <si>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</si>
  <si>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</si>
  <si>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</si>
  <si>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</si>
  <si>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</si>
  <si>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</si>
  <si>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</si>
  <si>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</si>
  <si>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</si>
  <si>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</si>
  <si>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</si>
  <si>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</si>
  <si>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</si>
  <si>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</si>
  <si>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</si>
  <si>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</si>
  <si>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</si>
  <si>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</si>
  <si>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</si>
  <si>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</si>
  <si>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</si>
  <si>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</si>
  <si>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</si>
  <si>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</si>
  <si>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</si>
  <si>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</si>
  <si>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</si>
  <si>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</si>
  <si>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</si>
  <si>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</si>
  <si>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</si>
  <si>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</si>
  <si>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</si>
  <si>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</si>
  <si>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</si>
  <si>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</si>
  <si>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</si>
  <si>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</si>
  <si>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</si>
  <si>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</si>
  <si>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</si>
  <si>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</si>
  <si>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</si>
  <si>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</si>
  <si>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</si>
  <si>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</si>
  <si>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</si>
  <si>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</si>
  <si>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</si>
  <si>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</si>
  <si>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</si>
  <si>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</si>
  <si>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</si>
  <si>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</si>
  <si>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</si>
  <si>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</si>
  <si>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</si>
  <si>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</si>
  <si>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</si>
  <si>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</si>
  <si>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</si>
  <si>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</si>
  <si>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</si>
  <si>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</si>
  <si>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</si>
  <si>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</si>
  <si>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</si>
  <si>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</si>
  <si>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</si>
  <si>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</si>
  <si>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</si>
  <si>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</si>
  <si>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</si>
  <si>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</si>
  <si>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</si>
  <si>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</si>
  <si>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</si>
  <si>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</si>
  <si>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</si>
  <si>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</si>
  <si>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</si>
  <si>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</si>
  <si>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</si>
  <si>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</si>
  <si>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</si>
  <si>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</si>
  <si>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</si>
  <si>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</si>
  <si>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</si>
  <si>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</si>
  <si>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</si>
  <si>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</si>
  <si>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</si>
  <si>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</si>
  <si>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</si>
  <si>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</si>
  <si>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</si>
  <si>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</si>
  <si>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</si>
  <si>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</si>
  <si>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</si>
  <si>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</si>
  <si>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</si>
  <si>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</si>
  <si>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</si>
  <si>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</si>
  <si>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</si>
  <si>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</si>
  <si>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</si>
  <si>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</si>
  <si>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</si>
  <si>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</si>
  <si>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</si>
  <si>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</si>
  <si>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</si>
  <si>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</si>
  <si>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</si>
  <si>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</si>
  <si>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</si>
  <si>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</si>
  <si>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</si>
  <si>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</si>
  <si>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</si>
  <si>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</si>
  <si>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</si>
  <si>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</si>
  <si>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</si>
  <si>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</si>
  <si>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</si>
  <si>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</si>
  <si>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</si>
  <si>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</si>
  <si>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</si>
  <si>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</si>
  <si>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</si>
  <si>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</si>
  <si>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</si>
  <si>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</si>
  <si>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</si>
  <si>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</si>
  <si>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</si>
  <si>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</si>
  <si>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</si>
  <si>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</si>
  <si>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</si>
  <si>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</si>
  <si>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</si>
  <si>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</si>
  <si>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</si>
  <si>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</si>
  <si>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</si>
  <si>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</si>
  <si>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</si>
  <si>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</si>
  <si>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</si>
  <si>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</si>
  <si>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</si>
  <si>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</si>
  <si>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</si>
  <si>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</si>
  <si>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</si>
  <si>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</si>
  <si>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</si>
  <si>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</si>
  <si>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</si>
  <si>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</si>
  <si>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</si>
  <si>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</si>
  <si>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</si>
  <si>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</si>
  <si>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</si>
  <si>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</si>
  <si>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</si>
  <si>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</si>
  <si>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</si>
  <si>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</si>
  <si>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</si>
  <si>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</si>
  <si>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</si>
  <si>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</si>
  <si>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</si>
  <si>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</si>
  <si>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</si>
  <si>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</si>
  <si>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</si>
  <si>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</si>
  <si>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</si>
  <si>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</si>
  <si>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</si>
  <si>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</si>
  <si>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</si>
  <si>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</si>
  <si>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</si>
  <si>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</si>
  <si>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</si>
  <si>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</si>
  <si>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</si>
  <si>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</si>
  <si>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</si>
  <si>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</si>
  <si>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</si>
  <si>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</si>
  <si>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</si>
  <si>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</si>
  <si>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</si>
  <si>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</si>
  <si>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</si>
  <si>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</si>
  <si>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</si>
  <si>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</si>
  <si>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</si>
  <si>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</si>
  <si>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</si>
  <si>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</si>
  <si>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</si>
  <si>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</si>
  <si>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</si>
  <si>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</si>
  <si>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</si>
  <si>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</si>
  <si>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</si>
  <si>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</si>
  <si>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</si>
  <si>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</si>
  <si>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</si>
  <si>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</si>
  <si>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</si>
  <si>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</si>
  <si>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</si>
  <si>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</si>
  <si>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</si>
  <si>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</si>
  <si>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</si>
  <si>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</si>
  <si>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</si>
  <si>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</si>
  <si>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</si>
  <si>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</si>
  <si>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</si>
  <si>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</si>
  <si>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</si>
  <si>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</si>
  <si>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</si>
  <si>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</si>
  <si>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</si>
  <si>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</si>
  <si>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</si>
  <si>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</si>
  <si>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</si>
  <si>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</si>
  <si>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</si>
  <si>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</si>
  <si>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</si>
  <si>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</si>
  <si>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</si>
  <si>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</si>
  <si>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</si>
  <si>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</si>
  <si>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</si>
  <si>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</si>
  <si>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</si>
  <si>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</si>
  <si>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</si>
  <si>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</si>
  <si>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</si>
  <si>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</si>
  <si>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</si>
  <si>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</si>
  <si>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</si>
  <si>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</si>
  <si>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</si>
  <si>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</si>
  <si>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</si>
  <si>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</si>
  <si>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</si>
  <si>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</si>
  <si>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</si>
  <si>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</si>
  <si>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</si>
  <si>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</si>
  <si>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</si>
  <si>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</si>
  <si>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</si>
  <si>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</si>
  <si>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</si>
  <si>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</si>
  <si>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</si>
  <si>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</si>
  <si>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</si>
  <si>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</si>
  <si>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</si>
  <si>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</si>
  <si>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</si>
  <si>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</si>
  <si>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</si>
  <si>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</si>
  <si>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</si>
  <si>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</si>
  <si>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</si>
  <si>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</si>
  <si>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</si>
  <si>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</si>
  <si>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</si>
  <si>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</si>
  <si>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</si>
  <si>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</si>
  <si>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</si>
  <si>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</si>
  <si>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</si>
  <si>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</si>
  <si>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</si>
  <si>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</si>
  <si>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</si>
  <si>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</si>
  <si>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</si>
  <si>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</si>
  <si>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</si>
  <si>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</si>
  <si>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</si>
  <si>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</si>
  <si>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</si>
  <si>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</si>
  <si>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</si>
  <si>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</si>
  <si>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</si>
  <si>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</si>
  <si>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</si>
  <si>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</si>
  <si>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</si>
  <si>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</si>
  <si>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</si>
  <si>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</si>
  <si>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</si>
  <si>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</si>
  <si>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</si>
  <si>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</si>
  <si>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</si>
  <si>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</si>
  <si>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</si>
  <si>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</si>
  <si>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</si>
  <si>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</si>
  <si>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</si>
  <si>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</si>
  <si>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</si>
  <si>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</si>
  <si>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</si>
  <si>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</si>
  <si>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</si>
  <si>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</si>
  <si>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</si>
  <si>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</si>
  <si>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</si>
  <si>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</si>
  <si>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</si>
  <si>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</si>
  <si>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</si>
  <si>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</si>
  <si>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</si>
  <si>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</si>
  <si>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</si>
  <si>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</si>
  <si>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</si>
  <si>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</si>
  <si>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</si>
  <si>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</si>
  <si>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</si>
  <si>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</si>
  <si>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</si>
  <si>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</si>
  <si>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</si>
  <si>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</si>
  <si>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</si>
  <si>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</si>
  <si>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</si>
  <si>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</si>
  <si>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</si>
  <si>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</si>
  <si>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</si>
  <si>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</si>
  <si>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</si>
  <si>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</si>
  <si>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</si>
  <si>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</si>
  <si>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</si>
  <si>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</si>
  <si>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</si>
  <si>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</si>
  <si>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</si>
  <si>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</si>
  <si>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</si>
  <si>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</si>
  <si>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</si>
  <si>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Town owes District another $79,929.66 in FY'22 appropriations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</si>
</sst>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7" sqref="A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1792</v>
      </c>
      <c r="B2" s="126">
        <f>INDEX('School Tables'!$AH$3:$AH$208,MATCH('DOE25'!A2,'School Tables'!$AJ$3:$AJ$208,0))</f>
        <v>579</v>
      </c>
      <c r="C2" s="126">
        <f>INDEX('School Tables'!$AI$3:$AI$208,MATCH('DOE25'!A2,'School Tables'!$AJ$3:$AJ$208,0))</f>
        <v>579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176832.7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79929.66</v>
      </c>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256762.36000000002</v>
      </c>
      <c r="G19" s="41">
        <f>SUM(G9:G18)</f>
        <v>0</v>
      </c>
      <c r="H19" s="41">
        <f>SUM(H9:H18)</f>
        <v>0</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4608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222154.36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256762.36</v>
      </c>
      <c r="G51" s="41">
        <f>SUM(G35:G50)</f>
        <v>0</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256762.36</v>
      </c>
      <c r="G52" s="41">
        <f>G51+G32</f>
        <v>0</v>
      </c>
      <c r="H52" s="41">
        <f>H51+H32</f>
        <v>0</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184315-47545</f>
        <v>136770</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136770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73.5</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73.5</v>
      </c>
      <c r="G111" s="41">
        <f>SUM(G96:G110)</f>
        <v>0</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136843.5</v>
      </c>
      <c r="G112" s="41">
        <f>G60+G111</f>
        <v>0</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96987.34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47545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144532.34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144532.34</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281375.83999999997</v>
      </c>
      <c r="G194" s="47">
        <f>G112+G140+G170+G193</f>
        <v>0</v>
      </c>
      <c r="H194" s="47">
        <f>H112+H140+H170+H193</f>
        <v>0</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f>49796.5-19071+45558.5-665.99+0.1</f>
        <v>75618.11</v>
      </c>
      <c r="I198" s="18"/>
      <c r="J198" s="18"/>
      <c r="K198" s="18"/>
      <c r="L198" s="19">
        <f>SUM(F198:K198)</f>
        <v>75618.11</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f>ROUND(18740.73*0.5556,2)-0.01</f>
        <v>10412.34</v>
      </c>
      <c r="I205" s="18"/>
      <c r="J205" s="18"/>
      <c r="K205" s="18"/>
      <c r="L205" s="19">
        <f t="shared" si="0"/>
        <v>10412.34</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f>ROUND(9388*0.5556,2)</f>
        <v>5215.97</v>
      </c>
      <c r="I209" s="18"/>
      <c r="J209" s="18"/>
      <c r="K209" s="18"/>
      <c r="L209" s="19">
        <f t="shared" si="0"/>
        <v>5215.97</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91246.42</v>
      </c>
      <c r="I212" s="41">
        <f t="shared" si="1"/>
        <v>0</v>
      </c>
      <c r="J212" s="41">
        <f t="shared" si="1"/>
        <v>0</v>
      </c>
      <c r="K212" s="41">
        <f t="shared" si="1"/>
        <v>0</v>
      </c>
      <c r="L212" s="41">
        <f t="shared" si="1"/>
        <v>91246.42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f>10254.88+9382.12</f>
        <v>19637</v>
      </c>
      <c r="I216" s="18"/>
      <c r="J216" s="18"/>
      <c r="K216" s="18"/>
      <c r="L216" s="19">
        <f>SUM(F216:K216)</f>
        <v>19637</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f>ROUND(18740.73*0.1111,2)</f>
        <v>2082.1</v>
      </c>
      <c r="I223" s="18"/>
      <c r="J223" s="18"/>
      <c r="K223" s="18"/>
      <c r="L223" s="19">
        <f t="shared" si="2"/>
        <v>2082.1</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f>ROUND(9388*0.1111,2)</f>
        <v>1043.01</v>
      </c>
      <c r="I227" s="18"/>
      <c r="J227" s="18"/>
      <c r="K227" s="18"/>
      <c r="L227" s="19">
        <f t="shared" si="2"/>
        <v>1043.01</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22762.109999999997</v>
      </c>
      <c r="I230" s="41">
        <f>SUM(I216:I229)</f>
        <v>0</v>
      </c>
      <c r="J230" s="41">
        <f>SUM(J216:J229)</f>
        <v>0</v>
      </c>
      <c r="K230" s="41">
        <f t="shared" si="3"/>
        <v>0</v>
      </c>
      <c r="L230" s="41">
        <f t="shared" si="3"/>
        <v>22762.109999999997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f>33907.37+31021.63</f>
        <v>64929</v>
      </c>
      <c r="I234" s="18"/>
      <c r="J234" s="18"/>
      <c r="K234" s="18"/>
      <c r="L234" s="19">
        <f>SUM(F234:K234)</f>
        <v>64929</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f>ROUND(18740.73*0.3333,2)</f>
        <v>6246.29</v>
      </c>
      <c r="I241" s="18"/>
      <c r="J241" s="18"/>
      <c r="K241" s="18"/>
      <c r="L241" s="19">
        <f t="shared" si="4"/>
        <v>6246.29</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ROUND(9388*0.3333,2)</f>
        <v>3129.02</v>
      </c>
      <c r="I245" s="18"/>
      <c r="J245" s="18"/>
      <c r="K245" s="18"/>
      <c r="L245" s="19">
        <f t="shared" si="4"/>
        <v>3129.02</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74304.31</v>
      </c>
      <c r="I248" s="41">
        <f t="shared" si="5"/>
        <v>0</v>
      </c>
      <c r="J248" s="41">
        <f t="shared" si="5"/>
        <v>0</v>
      </c>
      <c r="K248" s="41">
        <f t="shared" si="5"/>
        <v>0</v>
      </c>
      <c r="L248" s="41">
        <f t="shared" si="5"/>
        <v>74304.31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188312.84</v>
      </c>
      <c r="I258" s="41">
        <f t="shared" si="8"/>
        <v>0</v>
      </c>
      <c r="J258" s="41">
        <f t="shared" si="8"/>
        <v>0</v>
      </c>
      <c r="K258" s="41">
        <f t="shared" si="8"/>
        <v>0</v>
      </c>
      <c r="L258" s="41">
        <f t="shared" si="8"/>
        <v>188312.84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188312.84</v>
      </c>
      <c r="I272" s="42">
        <f t="shared" si="11"/>
        <v>0</v>
      </c>
      <c r="J272" s="42">
        <f t="shared" si="11"/>
        <v>0</v>
      </c>
      <c r="K272" s="42">
        <f t="shared" si="11"/>
        <v>0</v>
      </c>
      <c r="L272" s="42">
        <f t="shared" si="11"/>
        <v>188312.84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83769.7</v>
      </c>
      <c r="G466" s="18"/>
      <c r="H466" s="18"/>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281375.83999999997</v>
      </c>
      <c r="G469" s="18"/>
      <c r="H469" s="18"/>
      <c r="I469" s="18"/>
      <c r="J469" s="18"/>
      <c r="K469" s="24" t="s">
        <v>288</v>
      </c>
      <c r="L469" s="24" t="s">
        <v>288</v>
      </c>
      <c r="N469" s="264"/>
    </row>
    <row r="470" spans="1:14" s="52" customFormat="1" ht="12.2" customHeight="1" x14ac:dyDescent="0.2">
      <c r="A470" s="93" t="s">
        <v>611</v>
      </c>
      <c r="B470" s="75">
        <v>19</v>
      </c>
      <c r="C470" s="80">
        <v>3</v>
      </c>
      <c r="D470" s="2" t="s">
        <v>432</v>
      </c>
      <c r="E470" s="80"/>
      <c r="F470" s="18">
        <v>79929.66</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361305.5</v>
      </c>
      <c r="G471" s="53">
        <f>SUM(G469:G470)</f>
        <v>0</v>
      </c>
      <c r="H471" s="53">
        <f>SUM(H469:H470)</f>
        <v>0</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L258</f>
        <v>188312.84</v>
      </c>
      <c r="G473" s="18"/>
      <c r="H473" s="18"/>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188312.84</v>
      </c>
      <c r="G475" s="53">
        <f>SUM(G473:G474)</f>
        <v>0</v>
      </c>
      <c r="H475" s="53">
        <f>SUM(H473:H474)</f>
        <v>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256762.36000000002</v>
      </c>
      <c r="G477" s="53">
        <f>(G466+G471)- G475</f>
        <v>0</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0</v>
      </c>
      <c r="I525" s="108">
        <f t="shared" si="36"/>
        <v>0</v>
      </c>
      <c r="J525" s="108">
        <f t="shared" si="36"/>
        <v>0</v>
      </c>
      <c r="K525" s="108">
        <f t="shared" si="36"/>
        <v>0</v>
      </c>
      <c r="L525" s="89">
        <f t="shared" si="36"/>
        <v>0</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f>H198</f>
        <v>75618.11</v>
      </c>
      <c r="G576" s="18">
        <f>H216</f>
        <v>19637</v>
      </c>
      <c r="H576" s="18">
        <f>H234</f>
        <v>64929</v>
      </c>
      <c r="I576" s="87">
        <f>SUM(F576:H576)</f>
        <v>160184.10999999999</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H209</f>
        <v>5215.97</v>
      </c>
      <c r="I592" s="18">
        <f>H227</f>
        <v>1043.01</v>
      </c>
      <c r="J592" s="18">
        <f>H245</f>
        <v>3129.02</v>
      </c>
      <c r="K592" s="104">
        <f t="shared" ref="K592:K598" si="48">SUM(H592:J592)</f>
        <v>9388</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5215.97</v>
      </c>
      <c r="I599" s="108">
        <f>SUM(I592:I598)</f>
        <v>1043.01</v>
      </c>
      <c r="J599" s="108">
        <f>SUM(J592:J598)</f>
        <v>3129.02</v>
      </c>
      <c r="K599" s="108">
        <f>SUM(K592:K598)</f>
        <v>9388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256762.36000000002</v>
      </c>
      <c r="H618" s="109">
        <f>SUM(F52)</f>
        <v>256762.36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256762.36</v>
      </c>
      <c r="H623" s="109">
        <f>F477</f>
        <v>256762.36000000002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281375.83999999997</v>
      </c>
      <c r="H628" s="104">
        <f>SUM(F469)</f>
        <v>281375.83999999997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188312.84</v>
      </c>
      <c r="H633" s="104">
        <f>SUM(F473)</f>
        <v>188312.84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9388</v>
      </c>
      <c r="H648" s="104">
        <f>L209+L227+L245</f>
        <v>9388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5215.97</v>
      </c>
      <c r="H650" s="104">
        <f>H599</f>
        <v>5215.97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1043.01</v>
      </c>
      <c r="H651" s="104">
        <f>I599</f>
        <v>1043.01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3129.02</v>
      </c>
      <c r="H652" s="104">
        <f>J599</f>
        <v>3129.02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91246.42</v>
      </c>
      <c r="G661" s="19">
        <f>(L230+L310+L360)</f>
        <v>22762.109999999997</v>
      </c>
      <c r="H661" s="19">
        <f>(L248+L329+L361)</f>
        <v>74304.31</v>
      </c>
      <c r="I661" s="19">
        <f>SUM(F661:H661)</f>
        <v>188312.84</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5215.97</v>
      </c>
      <c r="G663" s="19">
        <f>(L227+L307)-(J227+J307)</f>
        <v>1043.01</v>
      </c>
      <c r="H663" s="19">
        <f>(L245+L326)-(J245+J326)</f>
        <v>3129.02</v>
      </c>
      <c r="I663" s="19">
        <f>SUM(F663:H663)</f>
        <v>9388</v>
      </c>
      <c r="J663"/>
      <c r="K663" s="13"/>
      <c r="L663" s="13"/>
      <c r="M663" s="9"/>
    </row>
    <row r="664" spans="1:13" s="3" customFormat="1" ht="12.2" customHeight="1" x14ac:dyDescent="0.15">
      <c r="A664" s="197" t="s">
        <v>129</v>
      </c>
      <c r="B664" s="169"/>
      <c r="C664" s="169"/>
      <c r="D664" s="169"/>
      <c r="E664" s="169"/>
      <c r="F664" s="198">
        <f>SUM(F576:F588)+SUM(H603:H605)+SUM(L612)</f>
        <v>75618.11</v>
      </c>
      <c r="G664" s="198">
        <f>SUM(G576:G588)+SUM(I603:I605)+L613</f>
        <v>19637</v>
      </c>
      <c r="H664" s="198">
        <f>SUM(H576:H588)+SUM(J603:J605)+L614</f>
        <v>64929</v>
      </c>
      <c r="I664" s="19">
        <f>SUM(F664:H664)</f>
        <v>160184.10999999999</v>
      </c>
      <c r="J664" s="13"/>
      <c r="K664" s="13"/>
      <c r="L664" s="13"/>
      <c r="M664" s="9"/>
    </row>
    <row r="665" spans="1:13" s="3" customFormat="1" ht="12.2" customHeight="1" x14ac:dyDescent="0.15">
      <c r="A665" s="1" t="s">
        <v>130</v>
      </c>
      <c r="F665" s="19">
        <f>F661-SUM(F662:F664)</f>
        <v>10412.339999999997</v>
      </c>
      <c r="G665" s="19">
        <f>G661-SUM(G662:G664)</f>
        <v>2082.0999999999985</v>
      </c>
      <c r="H665" s="19">
        <f>H661-SUM(H662:H664)</f>
        <v>6246.2899999999936</v>
      </c>
      <c r="I665" s="19">
        <f>I661-SUM(I662:I664)</f>
        <v>18740.73000000001</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-10412.34</v>
      </c>
      <c r="G670" s="18">
        <v>-2082.1</v>
      </c>
      <c r="H670" s="18">
        <v>-6246.29</v>
      </c>
      <c r="I670" s="19">
        <f>SUM(F670:H670)</f>
        <v>-18740.73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Windsor</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Windsor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Windsor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160184.10999999999</v>
      </c>
      <c r="D5" s="20">
        <f>SUM('DOE25'!L198:L201)+SUM('DOE25'!L216:L219)+SUM('DOE25'!L234:L237)-F5-G5-H5</f>
        <v>160184.10999999999</v>
      </c>
      <c r="E5" s="242"/>
      <c r="F5" s="243"/>
      <c r="G5" s="53">
        <f>SUM('DOE25'!J198:J201)+SUM('DOE25'!J216:J219)+SUM('DOE25'!J234:J237)</f>
        <v>0</v>
      </c>
      <c r="H5" s="53">
        <f>SUM('DOE25'!K198:K201)+SUM('DOE25'!K216:K219)+SUM('DOE25'!K234:K237)</f>
        <v>0</v>
      </c>
      <c r="I5" s="255"/>
    </row>
    <row r="6" spans="1:9" x14ac:dyDescent="0.2">
      <c r="A6" s="32">
        <v>2100</v>
      </c>
      <c r="B6" t="s">
        <v>796</v>
      </c>
      <c r="C6" s="274">
        <f t="shared" si="0"/>
        <v>0</v>
      </c>
      <c r="D6" s="20">
        <f>'DOE25'!L203+'DOE25'!L221+'DOE25'!L239-F6-G6-H6</f>
        <v>0</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18740.73</v>
      </c>
      <c r="D8" s="242"/>
      <c r="E8" s="20">
        <f>'DOE25'!L205+'DOE25'!L223+'DOE25'!L241-F8-G8-H8-D9-D11</f>
        <v>18740.73</v>
      </c>
      <c r="F8" s="243"/>
      <c r="G8" s="53">
        <f>'DOE25'!J205+'DOE25'!J223+'DOE25'!J241</f>
        <v>0</v>
      </c>
      <c r="H8" s="53">
        <f>'DOE25'!K205+'DOE25'!K223+'DOE25'!K241</f>
        <v>0</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9388</v>
      </c>
      <c r="D15" s="20">
        <f>'DOE25'!L209+'DOE25'!L227+'DOE25'!L245-F15-G15-H15</f>
        <v>9388</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169572.11</v>
      </c>
      <c r="E33" s="244">
        <f t="shared" si="1"/>
        <v>18740.73</v>
      </c>
      <c r="F33" s="244">
        <f t="shared" si="1"/>
        <v>0</v>
      </c>
      <c r="G33" s="244">
        <f t="shared" si="1"/>
        <v>0</v>
      </c>
      <c r="H33" s="244">
        <f t="shared" si="1"/>
        <v>0</v>
      </c>
      <c r="I33" s="244">
        <f t="shared" si="1"/>
        <v>0</v>
      </c>
    </row>
    <row r="35" spans="1:9" ht="12" thickBot="1" x14ac:dyDescent="0.25">
      <c r="B35" s="250" t="s">
        <v>831</v>
      </c>
      <c r="D35" s="251">
        <f>E33</f>
        <v>18740.73</v>
      </c>
      <c r="E35" s="247"/>
      <c r="F35" s="328" t="s">
        <v>1617</v>
      </c>
      <c r="G35" s="329"/>
      <c r="H35" s="329"/>
      <c r="I35" s="329"/>
    </row>
    <row r="36" spans="1:9" ht="12" thickTop="1" x14ac:dyDescent="0.2">
      <c r="B36" t="s">
        <v>810</v>
      </c>
      <c r="D36" s="20">
        <f>D33</f>
        <v>169572.11</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B5" sqref="B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Windsor</v>
      </c>
      <c r="B2" s="126">
        <f>'DOE25'!B2</f>
        <v>579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91246.42</v>
      </c>
      <c r="G4" s="299">
        <f>'DOE25'!L212+'DOE25'!L291</f>
        <v>91246.42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f>+'DOE25'!H212</f>
        <v>91246.42</v>
      </c>
      <c r="E5" s="290"/>
      <c r="F5" s="303">
        <f>D5+E5</f>
        <v>91246.42</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91246.42</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22762.109999999997</v>
      </c>
      <c r="G24" s="299">
        <f>'DOE25'!L230+'DOE25'!L310</f>
        <v>22762.109999999997</v>
      </c>
      <c r="H24" s="340">
        <f>F24-G24</f>
        <v>0</v>
      </c>
      <c r="I24" s="383" t="str">
        <f>IF(H24=0,"","ISSUES!! Please review page 8 and 12 totals in comparison with total on this page")</f>
        <v/>
      </c>
      <c r="N24"/>
    </row>
    <row r="25" spans="1:14" x14ac:dyDescent="0.2">
      <c r="A25" s="126" t="s">
        <v>1548</v>
      </c>
      <c r="B25" s="300">
        <v>99999</v>
      </c>
      <c r="C25" s="293" t="s">
        <v>1548</v>
      </c>
      <c r="D25" s="290">
        <f>+'DOE25'!H230</f>
        <v>22762.109999999997</v>
      </c>
      <c r="E25" s="290"/>
      <c r="F25" s="303">
        <f>D25+E25</f>
        <v>22762.109999999997</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22762.109999999997</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74304.31</v>
      </c>
      <c r="G36" s="299">
        <f>'DOE25'!L248+'DOE25'!L329</f>
        <v>74304.31</v>
      </c>
      <c r="H36" s="340">
        <f>F36-G36</f>
        <v>0</v>
      </c>
      <c r="I36" s="383" t="str">
        <f>IF(H36=0,"","ISSUES!! Please review page 9 and 13 totals in comparison with total on this page")</f>
        <v/>
      </c>
      <c r="N36"/>
    </row>
    <row r="37" spans="1:14" x14ac:dyDescent="0.2">
      <c r="A37" s="126" t="s">
        <v>1548</v>
      </c>
      <c r="B37" s="300">
        <v>99999</v>
      </c>
      <c r="C37" s="293" t="s">
        <v>1548</v>
      </c>
      <c r="D37" s="290">
        <f>+'DOE25'!H248</f>
        <v>74304.31</v>
      </c>
      <c r="E37" s="290"/>
      <c r="F37" s="303">
        <f t="shared" ref="F37:F42" si="2">D37+E37</f>
        <v>74304.31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74304.31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76" zoomScaleNormal="100" workbookViewId="0">
      <selection activeCell="A105" sqref="A105:XFD10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Windsor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176832.7</v>
      </c>
      <c r="D8" s="95">
        <f>'DOE25'!G9</f>
        <v>0</v>
      </c>
      <c r="E8" s="95">
        <f>'DOE25'!H9</f>
        <v>0</v>
      </c>
      <c r="F8" s="95">
        <f>'DOE25'!I9</f>
        <v>0</v>
      </c>
      <c r="G8" s="95">
        <f>'DOE25'!J9</f>
        <v>0</v>
      </c>
      <c r="H8" s="124">
        <f>SUM(C8:G8)</f>
        <v>176832.7</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79929.66</v>
      </c>
      <c r="D12" s="95">
        <f>'DOE25'!G13</f>
        <v>0</v>
      </c>
      <c r="E12" s="95">
        <f>'DOE25'!H13</f>
        <v>0</v>
      </c>
      <c r="F12" s="95">
        <f>'DOE25'!I13</f>
        <v>0</v>
      </c>
      <c r="G12" s="95">
        <f>'DOE25'!J13</f>
        <v>0</v>
      </c>
      <c r="H12" s="124">
        <f t="shared" si="0"/>
        <v>79929.66</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256762.36000000002</v>
      </c>
      <c r="D18" s="41">
        <f>SUM(D8:D17)</f>
        <v>0</v>
      </c>
      <c r="E18" s="41">
        <f>SUM(E8:E17)</f>
        <v>0</v>
      </c>
      <c r="F18" s="41">
        <f>SUM(F8:F17)</f>
        <v>0</v>
      </c>
      <c r="G18" s="41">
        <f>SUM(G8:G17)</f>
        <v>0</v>
      </c>
      <c r="H18" s="41">
        <f t="shared" si="0"/>
        <v>256762.36000000002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0</v>
      </c>
      <c r="D31" s="41">
        <f>SUM(D21:D30)</f>
        <v>0</v>
      </c>
      <c r="E31" s="41">
        <f>SUM(E21:E30)</f>
        <v>0</v>
      </c>
      <c r="F31" s="41">
        <f>SUM(F21:F30)</f>
        <v>0</v>
      </c>
      <c r="G31" s="41">
        <f>SUM(G21:G30)</f>
        <v>0</v>
      </c>
      <c r="H31" s="41">
        <f t="shared" si="1"/>
        <v>0</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30000</v>
      </c>
      <c r="D43" s="95">
        <f>'DOE25'!G44</f>
        <v>0</v>
      </c>
      <c r="E43" s="95">
        <f>'DOE25'!H44</f>
        <v>0</v>
      </c>
      <c r="F43" s="95">
        <f>'DOE25'!I44</f>
        <v>0</v>
      </c>
      <c r="G43" s="24" t="s">
        <v>288</v>
      </c>
      <c r="H43" s="124">
        <f t="shared" si="2"/>
        <v>30000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4608</v>
      </c>
      <c r="D45" s="24" t="s">
        <v>288</v>
      </c>
      <c r="E45" s="24" t="s">
        <v>288</v>
      </c>
      <c r="F45" s="24" t="s">
        <v>288</v>
      </c>
      <c r="G45" s="24" t="s">
        <v>288</v>
      </c>
      <c r="H45" s="124">
        <f t="shared" si="2"/>
        <v>4608</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222154.36</v>
      </c>
      <c r="D49" s="24" t="s">
        <v>288</v>
      </c>
      <c r="E49" s="24" t="s">
        <v>288</v>
      </c>
      <c r="F49" s="24" t="s">
        <v>288</v>
      </c>
      <c r="G49" s="24" t="s">
        <v>288</v>
      </c>
      <c r="H49" s="124">
        <f t="shared" si="2"/>
        <v>222154.36</v>
      </c>
      <c r="I49" s="124"/>
    </row>
    <row r="50" spans="1:9" ht="12.75" thickTop="1" thickBot="1" x14ac:dyDescent="0.25">
      <c r="A50" s="38" t="s">
        <v>884</v>
      </c>
      <c r="B50" s="48"/>
      <c r="C50" s="41">
        <f>SUM(C34:C49)</f>
        <v>256762.36</v>
      </c>
      <c r="D50" s="41">
        <f>SUM(D34:D49)</f>
        <v>0</v>
      </c>
      <c r="E50" s="41">
        <f>SUM(E34:E49)</f>
        <v>0</v>
      </c>
      <c r="F50" s="41">
        <f>SUM(F34:F49)</f>
        <v>0</v>
      </c>
      <c r="G50" s="41">
        <f>SUM(G34:G49)</f>
        <v>0</v>
      </c>
      <c r="H50" s="41">
        <f t="shared" si="2"/>
        <v>256762.36</v>
      </c>
      <c r="I50" s="124"/>
    </row>
    <row r="51" spans="1:9" ht="12" thickTop="1" x14ac:dyDescent="0.2">
      <c r="A51" s="38" t="s">
        <v>885</v>
      </c>
      <c r="B51" s="2"/>
      <c r="C51" s="41">
        <f>C50+C31</f>
        <v>256762.36</v>
      </c>
      <c r="D51" s="41">
        <f>D50+D31</f>
        <v>0</v>
      </c>
      <c r="E51" s="41">
        <f>E50+E31</f>
        <v>0</v>
      </c>
      <c r="F51" s="41">
        <f>F50+F31</f>
        <v>0</v>
      </c>
      <c r="G51" s="41">
        <f>G50+G31</f>
        <v>0</v>
      </c>
      <c r="H51" s="41">
        <f t="shared" si="2"/>
        <v>256762.36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136770</v>
      </c>
      <c r="D56" s="95">
        <f>'DOE25'!G60</f>
        <v>0</v>
      </c>
      <c r="E56" s="95">
        <f>'DOE25'!H60</f>
        <v>0</v>
      </c>
      <c r="F56" s="95">
        <f>'DOE25'!I60</f>
        <v>0</v>
      </c>
      <c r="G56" s="95">
        <f>'DOE25'!J60</f>
        <v>0</v>
      </c>
      <c r="H56" s="124">
        <f t="shared" ref="H56:H63" si="3">SUM(C56:G56)</f>
        <v>136770</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73.5</v>
      </c>
      <c r="D59" s="95">
        <f>'DOE25'!G96</f>
        <v>0</v>
      </c>
      <c r="E59" s="95">
        <f>'DOE25'!H96</f>
        <v>0</v>
      </c>
      <c r="F59" s="95">
        <f>'DOE25'!I96</f>
        <v>0</v>
      </c>
      <c r="G59" s="95">
        <f>'DOE25'!J96</f>
        <v>0</v>
      </c>
      <c r="H59" s="124">
        <f t="shared" si="3"/>
        <v>73.5</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73.5</v>
      </c>
      <c r="D62" s="130">
        <f>SUM(D57:D61)</f>
        <v>0</v>
      </c>
      <c r="E62" s="130">
        <f>SUM(E57:E61)</f>
        <v>0</v>
      </c>
      <c r="F62" s="130">
        <f>SUM(F57:F61)</f>
        <v>0</v>
      </c>
      <c r="G62" s="130">
        <f>SUM(G57:G61)</f>
        <v>0</v>
      </c>
      <c r="H62" s="124">
        <f t="shared" si="3"/>
        <v>73.5</v>
      </c>
      <c r="I62"/>
    </row>
    <row r="63" spans="1:9" ht="12" thickTop="1" x14ac:dyDescent="0.2">
      <c r="A63" s="29" t="s">
        <v>175</v>
      </c>
      <c r="B63" s="6"/>
      <c r="C63" s="22">
        <f>C56+C62</f>
        <v>136843.5</v>
      </c>
      <c r="D63" s="22">
        <f>D56+D62</f>
        <v>0</v>
      </c>
      <c r="E63" s="22">
        <f>E56+E62</f>
        <v>0</v>
      </c>
      <c r="F63" s="22">
        <f>F56+F62</f>
        <v>0</v>
      </c>
      <c r="G63" s="22">
        <f>G56+G62</f>
        <v>0</v>
      </c>
      <c r="H63" s="124">
        <f t="shared" si="3"/>
        <v>136843.5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96987.34</v>
      </c>
      <c r="D66" s="24" t="s">
        <v>288</v>
      </c>
      <c r="E66" s="24" t="s">
        <v>288</v>
      </c>
      <c r="F66" s="24" t="s">
        <v>288</v>
      </c>
      <c r="G66" s="24" t="s">
        <v>288</v>
      </c>
      <c r="H66" s="124">
        <f t="shared" ref="H66:H81" si="4">SUM(C66:G66)</f>
        <v>96987.34</v>
      </c>
      <c r="I66"/>
    </row>
    <row r="67" spans="1:9" x14ac:dyDescent="0.2">
      <c r="A67" s="1" t="s">
        <v>770</v>
      </c>
      <c r="B67" s="6">
        <v>3112</v>
      </c>
      <c r="C67" s="95">
        <f>'DOE25'!F118</f>
        <v>47545</v>
      </c>
      <c r="D67" s="24"/>
      <c r="E67" s="24"/>
      <c r="F67" s="24"/>
      <c r="G67" s="24"/>
      <c r="H67" s="124">
        <f t="shared" si="4"/>
        <v>47545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144532.34</v>
      </c>
      <c r="D70" s="139">
        <f>D69</f>
        <v>0</v>
      </c>
      <c r="E70" s="139">
        <f>E69</f>
        <v>0</v>
      </c>
      <c r="F70" s="139">
        <f>F69</f>
        <v>0</v>
      </c>
      <c r="G70" s="139">
        <f>G69</f>
        <v>0</v>
      </c>
      <c r="H70" s="124">
        <f t="shared" si="4"/>
        <v>144532.34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144532.34</v>
      </c>
      <c r="D81" s="130">
        <f>SUM(D79:D80)+D78+D70</f>
        <v>0</v>
      </c>
      <c r="E81" s="130">
        <f>SUM(E79:E80)+E78+E70</f>
        <v>0</v>
      </c>
      <c r="F81" s="130">
        <f>SUM(F79:F80)+F78+F70</f>
        <v>0</v>
      </c>
      <c r="G81" s="130">
        <f>SUM(G79:G80)+G78+G70</f>
        <v>0</v>
      </c>
      <c r="H81" s="130">
        <f t="shared" si="4"/>
        <v>144532.34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0</v>
      </c>
      <c r="F88" s="326">
        <f>SUM('DOE25'!I153:I162)</f>
        <v>0</v>
      </c>
      <c r="G88" s="24" t="s">
        <v>288</v>
      </c>
      <c r="H88" s="124">
        <f t="shared" si="5"/>
        <v>0</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0</v>
      </c>
      <c r="F91" s="131">
        <f>SUM(F85:F90)</f>
        <v>0</v>
      </c>
      <c r="G91" s="24" t="s">
        <v>288</v>
      </c>
      <c r="H91" s="124">
        <f t="shared" si="5"/>
        <v>0</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281375.83999999997</v>
      </c>
      <c r="D104" s="86">
        <f>D63+D81+D91+D103</f>
        <v>0</v>
      </c>
      <c r="E104" s="86">
        <f>E63+E81+E91+E103</f>
        <v>0</v>
      </c>
      <c r="F104" s="86">
        <f>F63+F81+F91+F103</f>
        <v>0</v>
      </c>
      <c r="G104" s="86">
        <f>G63+G81+G103</f>
        <v>0</v>
      </c>
      <c r="H104" s="86">
        <f t="shared" si="5"/>
        <v>281375.83999999997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160184.10999999999</v>
      </c>
      <c r="D109" s="24" t="s">
        <v>288</v>
      </c>
      <c r="E109" s="95">
        <f>('DOE25'!L277)+('DOE25'!L296)+('DOE25'!L315)</f>
        <v>0</v>
      </c>
      <c r="F109" s="24" t="s">
        <v>288</v>
      </c>
      <c r="G109" s="24" t="s">
        <v>288</v>
      </c>
      <c r="H109" s="124">
        <f t="shared" ref="H109:H115" si="6">SUM(C109:G109)</f>
        <v>160184.10999999999</v>
      </c>
    </row>
    <row r="110" spans="1:8" x14ac:dyDescent="0.2">
      <c r="A110" t="s">
        <v>198</v>
      </c>
      <c r="B110" s="32" t="s">
        <v>199</v>
      </c>
      <c r="C110" s="95">
        <f>('DOE25'!L199)+('DOE25'!L217)+('DOE25'!L235)</f>
        <v>0</v>
      </c>
      <c r="D110" s="24" t="s">
        <v>288</v>
      </c>
      <c r="E110" s="95">
        <f>('DOE25'!L278)+('DOE25'!L297)+('DOE25'!L316)</f>
        <v>0</v>
      </c>
      <c r="F110" s="24" t="s">
        <v>288</v>
      </c>
      <c r="G110" s="24" t="s">
        <v>288</v>
      </c>
      <c r="H110" s="124">
        <f t="shared" si="6"/>
        <v>0</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160184.10999999999</v>
      </c>
      <c r="D115" s="86">
        <f>SUM(D109:D114)</f>
        <v>0</v>
      </c>
      <c r="E115" s="86">
        <f>SUM(E109:E114)</f>
        <v>0</v>
      </c>
      <c r="F115" s="86">
        <f>SUM(F109:F114)</f>
        <v>0</v>
      </c>
      <c r="G115" s="86">
        <f>SUM(G109:G114)</f>
        <v>0</v>
      </c>
      <c r="H115" s="86">
        <f t="shared" si="6"/>
        <v>160184.10999999999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0</v>
      </c>
      <c r="D118" s="24" t="s">
        <v>288</v>
      </c>
      <c r="E118" s="95">
        <f>+('DOE25'!L282)+('DOE25'!L301)+('DOE25'!L320)</f>
        <v>0</v>
      </c>
      <c r="F118" s="24" t="s">
        <v>288</v>
      </c>
      <c r="G118" s="24" t="s">
        <v>288</v>
      </c>
      <c r="H118" s="124">
        <f t="shared" ref="H118:H145" si="7">SUM(C118:G118)</f>
        <v>0</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18740.73</v>
      </c>
      <c r="D120" s="24" t="s">
        <v>288</v>
      </c>
      <c r="E120" s="95">
        <f>+('DOE25'!L284)+('DOE25'!L303)+('DOE25'!L322)</f>
        <v>0</v>
      </c>
      <c r="F120" s="24" t="s">
        <v>288</v>
      </c>
      <c r="G120" s="24" t="s">
        <v>288</v>
      </c>
      <c r="H120" s="124">
        <f t="shared" si="7"/>
        <v>18740.73</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9388</v>
      </c>
      <c r="D124" s="24" t="s">
        <v>288</v>
      </c>
      <c r="E124" s="95">
        <f>+('DOE25'!L288)+('DOE25'!L307)+('DOE25'!L326)</f>
        <v>0</v>
      </c>
      <c r="F124" s="24" t="s">
        <v>288</v>
      </c>
      <c r="G124" s="24" t="s">
        <v>288</v>
      </c>
      <c r="H124" s="124">
        <f t="shared" si="7"/>
        <v>9388</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28128.73</v>
      </c>
      <c r="D128" s="86">
        <f>SUM(D118:D127)</f>
        <v>0</v>
      </c>
      <c r="E128" s="86">
        <f>SUM(E118:E127)</f>
        <v>0</v>
      </c>
      <c r="F128" s="86">
        <f>SUM(F118:F127)</f>
        <v>0</v>
      </c>
      <c r="G128" s="86">
        <f>SUM(G118:G127)</f>
        <v>0</v>
      </c>
      <c r="H128" s="86">
        <f t="shared" si="7"/>
        <v>28128.73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0</v>
      </c>
      <c r="H144" s="141">
        <f t="shared" si="7"/>
        <v>0</v>
      </c>
    </row>
    <row r="145" spans="1:9" ht="12.75" thickTop="1" thickBot="1" x14ac:dyDescent="0.25">
      <c r="A145" s="33" t="s">
        <v>244</v>
      </c>
      <c r="C145" s="86">
        <f>(C115+C128+C144)</f>
        <v>188312.84</v>
      </c>
      <c r="D145" s="86">
        <f>(D115+D128+D144)</f>
        <v>0</v>
      </c>
      <c r="E145" s="86">
        <f>(E115+E128+E144)</f>
        <v>0</v>
      </c>
      <c r="F145" s="86">
        <f>(F115+F128+F144)</f>
        <v>0</v>
      </c>
      <c r="G145" s="86">
        <f>(G115+G128+G144)</f>
        <v>0</v>
      </c>
      <c r="H145" s="86">
        <f t="shared" si="7"/>
        <v>188312.84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Windsor</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160184</v>
      </c>
      <c r="D10" s="181">
        <f>ROUND((C10/$C$28)*100,1)</f>
        <v>85.1</v>
      </c>
    </row>
    <row r="11" spans="1:4" x14ac:dyDescent="0.2">
      <c r="A11">
        <v>1200</v>
      </c>
      <c r="B11" t="s">
        <v>703</v>
      </c>
      <c r="C11" s="178">
        <f>ROUND('DOE25'!L199+'DOE25'!L217+'DOE25'!L235+'DOE25'!L278+'DOE25'!L297+'DOE25'!L316,0)</f>
        <v>0</v>
      </c>
      <c r="D11" s="181">
        <f>ROUND((C11/$C$28)*100,1)</f>
        <v>0</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0</v>
      </c>
      <c r="D15" s="181">
        <f t="shared" ref="D15:D27" si="0">ROUND((C15/$C$28)*100,1)</f>
        <v>0</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18741</v>
      </c>
      <c r="D17" s="181">
        <f t="shared" si="0"/>
        <v>10</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9388</v>
      </c>
      <c r="D21" s="181">
        <f t="shared" si="0"/>
        <v>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188313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188313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136770</v>
      </c>
      <c r="D35" s="181">
        <f t="shared" ref="D35:D40" si="1">ROUND((C35/$C$41)*100,1)</f>
        <v>48.6</v>
      </c>
    </row>
    <row r="36" spans="1:4" x14ac:dyDescent="0.2">
      <c r="B36" s="184" t="s">
        <v>739</v>
      </c>
      <c r="C36" s="178">
        <f>SUM('DOE25'!F112:J112)-SUM('DOE25'!G97:G110)+('DOE25'!F175+'DOE25'!F176+'DOE25'!I175+'DOE25'!I176)-C35</f>
        <v>73.5</v>
      </c>
      <c r="D36" s="181">
        <f t="shared" si="1"/>
        <v>0</v>
      </c>
    </row>
    <row r="37" spans="1:4" x14ac:dyDescent="0.2">
      <c r="A37" s="182" t="s">
        <v>835</v>
      </c>
      <c r="B37" s="184" t="s">
        <v>728</v>
      </c>
      <c r="C37" s="178">
        <f>ROUND('DOE25'!F117+'DOE25'!F118,0)</f>
        <v>144532</v>
      </c>
      <c r="D37" s="181">
        <f t="shared" si="1"/>
        <v>51.4</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0</v>
      </c>
      <c r="D39" s="181">
        <f t="shared" si="1"/>
        <v>0</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281375.5</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Windsor</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2022-09-06T14:34:44Z</cp:lastPrinted>
  <dcterms:created xsi:type="dcterms:W3CDTF">1997-12-04T19:04:30Z</dcterms:created>
  <dcterms:modified xsi:type="dcterms:W3CDTF">2022-10-31T15:27:03Z</dcterms:modified>
</cp:coreProperties>
</file>