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1D4D4AA-5990-463E-9CE6-81DA91A26F3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4" i="1" l="1"/>
  <c r="H162" i="1"/>
  <c r="H159" i="1"/>
  <c r="D8" i="14" l="1"/>
  <c r="D7" i="14"/>
  <c r="D6" i="14"/>
  <c r="E7" i="14"/>
  <c r="E6" i="14"/>
  <c r="E8" i="14"/>
  <c r="F6" i="13" l="1"/>
  <c r="F14" i="13"/>
  <c r="F15" i="13"/>
  <c r="F182" i="1" l="1"/>
  <c r="F469" i="1"/>
  <c r="F473" i="1"/>
  <c r="J605" i="1"/>
  <c r="K345" i="1"/>
  <c r="G469" i="1"/>
  <c r="I592" i="1"/>
  <c r="H592" i="1"/>
  <c r="J592" i="1"/>
  <c r="J466" i="1"/>
  <c r="F527" i="1" l="1"/>
  <c r="F217" i="1" l="1"/>
  <c r="G241" i="1"/>
  <c r="G239" i="1"/>
  <c r="G240" i="1"/>
  <c r="F239" i="1"/>
  <c r="F235" i="1"/>
  <c r="F199" i="1"/>
  <c r="F198" i="1"/>
  <c r="B20" i="12"/>
  <c r="B19" i="12"/>
  <c r="B38" i="12"/>
  <c r="B37" i="12"/>
  <c r="B39" i="12"/>
  <c r="B30" i="12"/>
  <c r="B28" i="12"/>
  <c r="B11" i="12"/>
  <c r="B10" i="12"/>
  <c r="F277" i="1"/>
  <c r="I287" i="1"/>
  <c r="I321" i="1"/>
  <c r="J320" i="1"/>
  <c r="I320" i="1"/>
  <c r="I282" i="1"/>
  <c r="H321" i="1"/>
  <c r="G301" i="1"/>
  <c r="G282" i="1"/>
  <c r="F301" i="1"/>
  <c r="F282" i="1"/>
  <c r="I299" i="1"/>
  <c r="I280" i="1"/>
  <c r="I315" i="1" l="1"/>
  <c r="I296" i="1"/>
  <c r="I277" i="1"/>
  <c r="G315" i="1"/>
  <c r="F315" i="1"/>
  <c r="G296" i="1"/>
  <c r="G277" i="1"/>
  <c r="F296" i="1"/>
  <c r="H320" i="1"/>
  <c r="H301" i="1"/>
  <c r="H156" i="1"/>
  <c r="H161" i="1"/>
  <c r="I227" i="1" l="1"/>
  <c r="K361" i="1"/>
  <c r="I359" i="1"/>
  <c r="G361" i="1"/>
  <c r="G360" i="1"/>
  <c r="G359" i="1"/>
  <c r="F361" i="1"/>
  <c r="F360" i="1"/>
  <c r="F359" i="1"/>
  <c r="J241" i="1"/>
  <c r="F208" i="1" l="1"/>
  <c r="J208" i="1"/>
  <c r="J226" i="1"/>
  <c r="I244" i="1"/>
  <c r="I226" i="1"/>
  <c r="I208" i="1"/>
  <c r="H244" i="1"/>
  <c r="H226" i="1"/>
  <c r="H208" i="1"/>
  <c r="G244" i="1"/>
  <c r="G226" i="1"/>
  <c r="G208" i="1"/>
  <c r="F244" i="1"/>
  <c r="F226" i="1"/>
  <c r="H239" i="1" l="1"/>
  <c r="H221" i="1"/>
  <c r="H203" i="1"/>
  <c r="J223" i="1"/>
  <c r="J205" i="1"/>
  <c r="I241" i="1"/>
  <c r="I223" i="1"/>
  <c r="I205" i="1"/>
  <c r="H241" i="1"/>
  <c r="H223" i="1"/>
  <c r="H205" i="1"/>
  <c r="H245" i="1"/>
  <c r="H227" i="1"/>
  <c r="H209" i="1"/>
  <c r="J244" i="1"/>
  <c r="H240" i="1"/>
  <c r="H222" i="1"/>
  <c r="H204" i="1"/>
  <c r="I240" i="1"/>
  <c r="I222" i="1"/>
  <c r="I204" i="1"/>
  <c r="G222" i="1"/>
  <c r="G204" i="1"/>
  <c r="H217" i="1"/>
  <c r="G203" i="1"/>
  <c r="K235" i="1"/>
  <c r="I235" i="1"/>
  <c r="I199" i="1"/>
  <c r="G235" i="1"/>
  <c r="G217" i="1"/>
  <c r="G199" i="1"/>
  <c r="F102" i="1" l="1"/>
  <c r="G242" i="1"/>
  <c r="F242" i="1"/>
  <c r="G224" i="1"/>
  <c r="F224" i="1"/>
  <c r="G206" i="1"/>
  <c r="H256" i="1" l="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E111" i="2"/>
  <c r="D115" i="2"/>
  <c r="F115" i="2"/>
  <c r="G115" i="2"/>
  <c r="E120"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H96" i="2" l="1"/>
  <c r="H80" i="2"/>
  <c r="H36" i="2"/>
  <c r="H48" i="2"/>
  <c r="I409" i="1"/>
  <c r="H94" i="2"/>
  <c r="E124" i="2"/>
  <c r="H79" i="2"/>
  <c r="H76" i="2"/>
  <c r="E112" i="2"/>
  <c r="H135" i="2"/>
  <c r="G663" i="1"/>
  <c r="H99" i="2"/>
  <c r="D15" i="13"/>
  <c r="C15" i="13" s="1"/>
  <c r="J652" i="1"/>
  <c r="G662" i="1"/>
  <c r="H477" i="1"/>
  <c r="H625" i="1" s="1"/>
  <c r="J625" i="1" s="1"/>
  <c r="C119" i="2"/>
  <c r="C13" i="10"/>
  <c r="C110" i="2"/>
  <c r="C112" i="2"/>
  <c r="H112" i="2" s="1"/>
  <c r="C121" i="2"/>
  <c r="C12" i="10"/>
  <c r="C120" i="2"/>
  <c r="H120" i="2" s="1"/>
  <c r="H61" i="2"/>
  <c r="H113" i="2"/>
  <c r="H132" i="2"/>
  <c r="H44" i="2"/>
  <c r="G409" i="1"/>
  <c r="H646" i="1" s="1"/>
  <c r="J646" i="1" s="1"/>
  <c r="H35" i="2"/>
  <c r="H13" i="2"/>
  <c r="H9" i="2"/>
  <c r="E121" i="2"/>
  <c r="H87" i="2"/>
  <c r="H69" i="2"/>
  <c r="H30" i="2"/>
  <c r="H28" i="2"/>
  <c r="H17" i="2"/>
  <c r="H97" i="2"/>
  <c r="H102" i="2"/>
  <c r="H100" i="2"/>
  <c r="H98" i="2"/>
  <c r="H73" i="2"/>
  <c r="H23" i="2"/>
  <c r="H15" i="2"/>
  <c r="H11" i="2"/>
  <c r="H140" i="1"/>
  <c r="G62" i="2"/>
  <c r="G63" i="2" s="1"/>
  <c r="A40" i="12"/>
  <c r="D6" i="13"/>
  <c r="C6" i="13" s="1"/>
  <c r="E13" i="13"/>
  <c r="C13" i="13" s="1"/>
  <c r="H22" i="2"/>
  <c r="G477" i="1"/>
  <c r="B33" i="16" s="1"/>
  <c r="H77" i="2"/>
  <c r="H38" i="2"/>
  <c r="H43" i="2"/>
  <c r="H47" i="2"/>
  <c r="H26" i="2"/>
  <c r="H125" i="2"/>
  <c r="H89" i="2"/>
  <c r="H72" i="2"/>
  <c r="H59" i="2"/>
  <c r="H34" i="2"/>
  <c r="D144" i="2"/>
  <c r="H93" i="2"/>
  <c r="H29" i="2"/>
  <c r="H27" i="2"/>
  <c r="H24" i="2"/>
  <c r="H12" i="2"/>
  <c r="H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H62" i="2"/>
  <c r="H122" i="2"/>
  <c r="H85" i="2"/>
  <c r="H123" i="2"/>
  <c r="E115" i="2"/>
  <c r="H110" i="2"/>
  <c r="E128" i="2"/>
  <c r="G24" i="14"/>
  <c r="H24" i="14" s="1"/>
  <c r="I24" i="14" s="1"/>
  <c r="H109" i="2"/>
  <c r="H118" i="2"/>
  <c r="F661" i="1"/>
  <c r="F665" i="1" s="1"/>
  <c r="F668" i="1" s="1"/>
  <c r="H624" i="1"/>
  <c r="J624" i="1" s="1"/>
  <c r="D51" i="2"/>
  <c r="H31" i="2"/>
  <c r="E51" i="2"/>
  <c r="F194" i="1"/>
  <c r="G628" i="1" s="1"/>
  <c r="J628" i="1" s="1"/>
  <c r="I663" i="1"/>
  <c r="H121" i="2"/>
  <c r="H57" i="2"/>
  <c r="H50" i="2"/>
  <c r="H18" i="2"/>
  <c r="H134" i="2"/>
  <c r="D128" i="2"/>
  <c r="D145" i="2" s="1"/>
  <c r="H127" i="2"/>
  <c r="H91" i="2"/>
  <c r="H21" i="2"/>
  <c r="H103" i="2"/>
  <c r="C81" i="2"/>
  <c r="H81" i="2" s="1"/>
  <c r="H78" i="2"/>
  <c r="H42" i="2"/>
  <c r="H16"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128" i="2"/>
  <c r="H51" i="2"/>
  <c r="C104" i="2"/>
  <c r="H104" i="2" s="1"/>
  <c r="H63" i="2"/>
  <c r="C144" i="2"/>
  <c r="C145" i="2" s="1"/>
  <c r="H141"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rgb="FF000000"/>
            <rFont val="Tahoma"/>
            <family val="2"/>
          </rPr>
          <t>Total Current Assets equal Total Liabilities &amp; Equity for Capital Projects Fund 30</t>
        </r>
        <r>
          <rPr>
            <sz val="9"/>
            <color rgb="FF000000"/>
            <rFont val="Tahoma"/>
            <family val="2"/>
          </rPr>
          <t xml:space="preserve">
</t>
        </r>
      </text>
    </comment>
    <comment ref="J622" authorId="1" shapeId="0" xr:uid="{00000000-0006-0000-0000-000010000000}">
      <text>
        <r>
          <rPr>
            <b/>
            <sz val="9"/>
            <color rgb="FF000000"/>
            <rFont val="Tahoma"/>
            <family val="2"/>
          </rPr>
          <t>Total Current Assets equal Total Liabilities &amp; Equity for Trust Agency Fund 70</t>
        </r>
        <r>
          <rPr>
            <sz val="9"/>
            <color rgb="FF000000"/>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rgb="FF000000"/>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00000000-0006-0000-0000-000030000000}">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00000000-0006-0000-0000-000031000000}">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00000000-0006-0000-0000-000032000000}">
      <text>
        <r>
          <rPr>
            <b/>
            <sz val="9"/>
            <color rgb="FF000000"/>
            <rFont val="Tahoma"/>
            <family val="2"/>
          </rPr>
          <t>Welch, Matthew:</t>
        </r>
        <r>
          <rPr>
            <sz val="9"/>
            <color rgb="FF000000"/>
            <rFont val="Tahoma"/>
            <family val="2"/>
          </rPr>
          <t xml:space="preserve">
</t>
        </r>
        <r>
          <rPr>
            <sz val="9"/>
            <color rgb="FF000000"/>
            <rFont val="Tahoma"/>
            <family val="2"/>
          </rPr>
          <t>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<sst xmlns="http://schemas.openxmlformats.org/spreadsheetml/2006/main" count="6534" uniqueCount="1806">
  <si>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</si>
  <si>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</si>
  <si>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</si>
  <si>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</si>
  <si>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</si>
  <si>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</si>
  <si>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</si>
  <si>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</si>
  <si>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</si>
  <si>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</si>
  <si>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</si>
  <si>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</si>
  <si>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</si>
  <si>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</si>
  <si>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</si>
  <si>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</si>
  <si>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</si>
  <si>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</si>
  <si>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</si>
  <si>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</si>
  <si>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</si>
  <si>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</si>
  <si>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</si>
  <si>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</si>
  <si>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</si>
  <si>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</si>
  <si>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</si>
  <si>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</si>
  <si>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</si>
  <si>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</si>
  <si>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</si>
  <si>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</si>
  <si>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</si>
  <si>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</si>
  <si>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</si>
  <si>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</si>
  <si>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</si>
  <si>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</si>
  <si>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</si>
  <si>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</si>
  <si>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</si>
  <si>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</si>
  <si>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</si>
  <si>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</si>
  <si>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</si>
  <si>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</si>
  <si>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</si>
  <si>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</si>
  <si>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</si>
  <si>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</si>
  <si>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</si>
  <si>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</si>
  <si>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</si>
  <si>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</si>
  <si>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</si>
  <si>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</si>
  <si>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</si>
  <si>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</si>
  <si>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</si>
  <si>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</si>
  <si>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</si>
  <si>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</si>
  <si>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</si>
  <si>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</si>
  <si>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</si>
  <si>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</si>
  <si>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</si>
  <si>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</si>
  <si>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</si>
  <si>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</si>
  <si>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</si>
  <si>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</si>
  <si>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</si>
  <si>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</si>
  <si>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</si>
  <si>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</si>
  <si>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</si>
  <si>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</si>
  <si>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</si>
  <si>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</si>
  <si>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</si>
  <si>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</si>
  <si>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</si>
  <si>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</si>
  <si>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</si>
  <si>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</si>
  <si>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</si>
  <si>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</si>
  <si>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</si>
  <si>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</si>
  <si>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</si>
  <si>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</si>
  <si>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</si>
  <si>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</si>
  <si>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</si>
  <si>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</si>
  <si>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</si>
  <si>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</si>
  <si>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</si>
  <si>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</si>
  <si>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</si>
  <si>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</si>
  <si>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</si>
  <si>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</si>
  <si>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</si>
  <si>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</si>
  <si>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</si>
  <si>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</si>
  <si>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</si>
  <si>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</si>
  <si>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</si>
  <si>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</si>
  <si>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</si>
  <si>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</si>
  <si>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</si>
  <si>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</si>
  <si>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</si>
  <si>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</si>
  <si>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</si>
  <si>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</si>
  <si>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</si>
  <si>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</si>
  <si>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</si>
  <si>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</si>
  <si>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</si>
  <si>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</si>
  <si>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</si>
  <si>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</si>
  <si>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</si>
  <si>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</si>
  <si>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</si>
  <si>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</si>
  <si>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</si>
  <si>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</si>
  <si>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</si>
  <si>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</si>
  <si>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</si>
  <si>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</si>
  <si>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</si>
  <si>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</si>
  <si>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</si>
  <si>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</si>
  <si>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</si>
  <si>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</si>
  <si>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</si>
  <si>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</si>
  <si>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</si>
  <si>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</si>
  <si>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</si>
  <si>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</si>
  <si>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</si>
  <si>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</si>
  <si>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</si>
  <si>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</si>
  <si>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</si>
  <si>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</si>
  <si>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</si>
  <si>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</si>
  <si>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</si>
  <si>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</si>
  <si>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</si>
  <si>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</si>
  <si>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</si>
  <si>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</si>
  <si>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</si>
  <si>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</si>
  <si>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</si>
  <si>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</si>
  <si>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</si>
  <si>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</si>
  <si>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</si>
  <si>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</si>
  <si>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</si>
  <si>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</si>
  <si>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</si>
  <si>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</si>
  <si>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</si>
  <si>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</si>
  <si>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</si>
  <si>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</si>
  <si>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</si>
  <si>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</si>
  <si>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</si>
  <si>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</si>
  <si>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</si>
  <si>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</si>
  <si>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</si>
  <si>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</si>
  <si>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</si>
  <si>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</si>
  <si>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</si>
  <si>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</si>
  <si>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</si>
  <si>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</si>
  <si>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</si>
  <si>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</si>
  <si>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</si>
  <si>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</si>
  <si>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</si>
  <si>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</si>
  <si>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</si>
  <si>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</si>
  <si>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</si>
  <si>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</si>
  <si>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</si>
  <si>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</si>
  <si>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</si>
  <si>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</si>
  <si>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</si>
  <si>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</si>
  <si>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</si>
  <si>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</si>
  <si>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</si>
  <si>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</si>
  <si>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</si>
  <si>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</si>
  <si>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</si>
  <si>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</si>
  <si>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</si>
  <si>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</si>
  <si>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</si>
  <si>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</si>
  <si>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</si>
  <si>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</si>
  <si>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</si>
  <si>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</si>
  <si>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</si>
  <si>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</si>
  <si>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</si>
  <si>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</si>
  <si>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</si>
  <si>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</si>
  <si>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</si>
  <si>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</si>
  <si>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</si>
  <si>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</si>
  <si>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</si>
  <si>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</si>
  <si>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</si>
  <si>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</si>
  <si>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</si>
  <si>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</si>
  <si>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</si>
  <si>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</si>
  <si>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</si>
  <si>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</si>
  <si>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</si>
  <si>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</si>
  <si>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</si>
  <si>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</si>
  <si>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</si>
  <si>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</si>
  <si>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</si>
  <si>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</si>
  <si>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</si>
  <si>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</si>
  <si>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</si>
  <si>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</si>
  <si>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</si>
  <si>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</si>
  <si>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</si>
  <si>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</si>
  <si>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</si>
  <si>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</si>
  <si>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</si>
  <si>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</si>
  <si>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</si>
  <si>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</si>
  <si>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</si>
  <si>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</si>
  <si>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</si>
  <si>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</si>
  <si>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</si>
  <si>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</si>
  <si>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</si>
  <si>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</si>
  <si>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</si>
  <si>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</si>
  <si>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</si>
  <si>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</si>
  <si>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</si>
  <si>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</si>
  <si>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</si>
  <si>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</si>
  <si>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</si>
  <si>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</si>
  <si>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</si>
  <si>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</si>
  <si>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</si>
  <si>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</si>
  <si>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</si>
  <si>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</si>
  <si>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</si>
  <si>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</si>
  <si>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</si>
  <si>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</si>
  <si>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</si>
  <si>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</si>
  <si>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</si>
  <si>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</si>
  <si>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</si>
  <si>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</si>
  <si>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</si>
  <si>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</si>
  <si>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</si>
  <si>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</si>
  <si>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</si>
  <si>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</si>
  <si>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</si>
  <si>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</si>
  <si>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</si>
  <si>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</si>
  <si>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</si>
  <si>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</si>
  <si>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</si>
  <si>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</si>
  <si>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</si>
  <si>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</si>
  <si>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</si>
  <si>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</si>
  <si>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</si>
  <si>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</si>
  <si>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</si>
  <si>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</si>
  <si>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</si>
  <si>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</si>
  <si>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</si>
  <si>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</si>
  <si>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</si>
  <si>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</si>
  <si>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</si>
  <si>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</si>
  <si>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</si>
  <si>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</si>
  <si>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</si>
  <si>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</si>
  <si>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</si>
  <si>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</si>
  <si>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</si>
  <si>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</si>
  <si>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</si>
  <si>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</si>
  <si>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</si>
  <si>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</si>
  <si>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</si>
  <si>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</si>
  <si>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</si>
  <si>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</si>
  <si>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</si>
  <si>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</si>
  <si>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</si>
  <si>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</si>
  <si>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</si>
  <si>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</si>
  <si>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</si>
  <si>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</si>
  <si>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</si>
  <si>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</si>
  <si>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</si>
  <si>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</si>
  <si>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</si>
  <si>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</si>
  <si>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</si>
  <si>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</si>
  <si>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</si>
  <si>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</si>
  <si>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</si>
  <si>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</si>
  <si>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</si>
  <si>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</si>
  <si>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</si>
  <si>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</si>
  <si>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</si>
  <si>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</si>
  <si>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</si>
  <si>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</si>
  <si>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</si>
  <si>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</si>
  <si>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</si>
  <si>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</si>
  <si>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</si>
  <si>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</si>
  <si>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</si>
  <si>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</si>
  <si>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</si>
  <si>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</si>
  <si>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</si>
  <si>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</si>
  <si>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</si>
  <si>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</si>
  <si>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</si>
  <si>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</si>
  <si>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</si>
  <si>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</si>
  <si>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</si>
  <si>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</si>
  <si>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</si>
  <si>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</si>
  <si>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</si>
  <si>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</si>
  <si>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</si>
  <si>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</si>
  <si>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</si>
  <si>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</si>
  <si>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</si>
  <si>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</si>
  <si>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</si>
  <si>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</si>
  <si>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</si>
  <si>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</si>
  <si>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</si>
  <si>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</si>
  <si>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</si>
  <si>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</si>
  <si>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</si>
  <si>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</si>
  <si>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</si>
  <si>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</si>
  <si>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</si>
  <si>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</si>
  <si>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</si>
  <si>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</si>
  <si>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</si>
  <si>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</si>
  <si>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</si>
  <si>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</si>
  <si>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</si>
  <si>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</si>
  <si>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</si>
  <si>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</si>
  <si>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</si>
  <si>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</si>
  <si>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</si>
  <si>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</si>
  <si>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</si>
  <si>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</si>
  <si>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</si>
  <si>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</si>
  <si>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</si>
  <si>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</si>
  <si>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</si>
  <si>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</si>
  <si>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</si>
  <si>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</si>
  <si>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</si>
  <si>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</si>
  <si>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</si>
  <si>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</si>
  <si>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</si>
  <si>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</si>
  <si>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</si>
  <si>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</si>
  <si>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</si>
  <si>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</si>
  <si>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</si>
  <si>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</si>
  <si>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</si>
  <si>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</si>
  <si>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</si>
  <si>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</si>
  <si>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</si>
  <si>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</si>
  <si>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</si>
  <si>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</si>
  <si>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</si>
  <si>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</si>
  <si>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</si>
  <si>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</si>
  <si>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</si>
  <si>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</si>
  <si>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</si>
  <si>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</si>
  <si>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</si>
  <si>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</si>
  <si>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</si>
  <si>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</si>
  <si>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</si>
  <si>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</si>
  <si>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</si>
  <si>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</si>
  <si>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</si>
  <si>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</si>
  <si>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</si>
  <si>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</si>
  <si>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</si>
  <si>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</si>
  <si>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</si>
  <si>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</si>
  <si>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</si>
  <si>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</si>
  <si>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</si>
  <si>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</si>
  <si>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</si>
  <si>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</si>
  <si>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</si>
  <si>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</si>
  <si>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</si>
  <si>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</si>
  <si>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</si>
  <si>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</si>
  <si>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</si>
  <si>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</si>
  <si>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</si>
  <si>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</si>
  <si>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</si>
  <si>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</si>
  <si>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</si>
  <si>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</si>
  <si>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</si>
  <si>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</si>
  <si>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</si>
  <si>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</si>
  <si>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</si>
  <si>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</si>
  <si>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</si>
  <si>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</si>
  <si>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</si>
  <si>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</si>
  <si>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</si>
  <si>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</si>
  <si>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</si>
  <si>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</si>
  <si>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</si>
  <si>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</si>
  <si>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</si>
  <si>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</si>
  <si>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</si>
  <si>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</si>
  <si>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</si>
  <si>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</si>
  <si>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</si>
  <si>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</si>
  <si>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</si>
  <si>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</si>
  <si>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</si>
  <si>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</si>
  <si>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</si>
  <si>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</si>
  <si>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</si>
  <si>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</si>
  <si>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</si>
  <si>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</si>
  <si>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</si>
  <si>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</si>
  <si>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</si>
  <si>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</si>
  <si>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</si>
  <si>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</si>
  <si>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</si>
  <si>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</si>
  <si>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</si>
  <si>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</si>
  <si>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</si>
  <si>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</si>
  <si>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</si>
  <si>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</si>
  <si>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</si>
  <si>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</si>
  <si>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</si>
  <si>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</si>
  <si>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</si>
  <si>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</si>
  <si>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</si>
  <si>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</si>
  <si>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</si>
  <si>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</si>
  <si>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</si>
  <si>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</si>
  <si>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</si>
  <si>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</si>
  <si>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</si>
  <si>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</si>
  <si>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</si>
  <si>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</si>
  <si>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</si>
  <si>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</si>
  <si>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</si>
  <si>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</si>
  <si>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</si>
  <si>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</si>
  <si>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</si>
  <si>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</si>
  <si>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</si>
  <si>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</si>
  <si>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</si>
  <si>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</si>
  <si>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</si>
  <si>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</si>
  <si>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</si>
  <si>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</si>
  <si>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</si>
  <si>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</si>
  <si>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</si>
  <si>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</si>
  <si>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</si>
  <si>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</si>
  <si>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</si>
  <si>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</si>
  <si>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</si>
  <si>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</si>
  <si>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</si>
  <si>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</si>
  <si>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</si>
  <si>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</si>
  <si>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</si>
  <si>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</si>
  <si>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</si>
  <si>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</si>
  <si>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</si>
  <si>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</si>
  <si>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</si>
  <si>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</si>
  <si>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</si>
  <si>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</si>
  <si>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</si>
  <si>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</si>
  <si>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</si>
  <si>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</si>
  <si>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</si>
  <si>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</si>
  <si>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</si>
  <si>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</si>
  <si>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</si>
  <si>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</si>
  <si>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</si>
  <si>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</si>
  <si>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</si>
  <si>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</si>
  <si>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</si>
  <si>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</si>
  <si>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</si>
  <si>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</si>
  <si>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</si>
  <si>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</si>
  <si>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</si>
  <si>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</si>
  <si>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</si>
  <si>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</si>
  <si>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</si>
  <si>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</si>
  <si>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</si>
  <si>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</si>
  <si>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</si>
  <si>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</si>
  <si>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</si>
  <si>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</si>
  <si>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</si>
  <si>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</si>
  <si>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</si>
  <si>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</si>
  <si>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</si>
  <si>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</si>
  <si>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</si>
  <si>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</si>
  <si>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</si>
  <si>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</si>
  <si>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</si>
  <si>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</si>
  <si>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</si>
  <si>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</si>
  <si>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</si>
  <si>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</si>
  <si>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</si>
  <si>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</si>
  <si>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</si>
  <si>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</si>
  <si>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</si>
  <si>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</si>
  <si>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</si>
  <si>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</si>
  <si>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</si>
  <si>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</si>
  <si>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</si>
  <si>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</si>
  <si>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</si>
  <si>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</si>
  <si>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</si>
  <si>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</si>
  <si>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</si>
  <si>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</si>
  <si>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</si>
  <si>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</si>
  <si>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</si>
  <si>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</si>
  <si>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</si>
  <si>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</si>
  <si>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</si>
  <si>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</si>
  <si>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</si>
  <si>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</si>
  <si>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</si>
  <si>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</si>
  <si>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</si>
  <si>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</si>
  <si>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</si>
  <si>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</si>
  <si>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</si>
  <si>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</si>
  <si>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</si>
  <si>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</si>
  <si>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</si>
  <si>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</si>
  <si>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</si>
  <si>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</si>
  <si>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</si>
  <si>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</si>
  <si>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</si>
  <si>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</si>
  <si>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</si>
  <si>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</si>
  <si>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</si>
  <si>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</si>
  <si>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</si>
  <si>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</si>
  <si>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</si>
  <si>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</si>
  <si>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</si>
  <si>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</si>
  <si>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</si>
  <si>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</si>
  <si>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</si>
  <si>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</si>
  <si>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</si>
  <si>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</si>
  <si>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</si>
  <si>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</si>
  <si>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</si>
  <si>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</si>
  <si>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</si>
  <si>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</si>
  <si>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</si>
  <si>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</si>
  <si>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</si>
  <si>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</si>
  <si>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</si>
  <si>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</si>
  <si>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</si>
  <si>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</si>
  <si>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</si>
  <si>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</si>
  <si>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</si>
  <si>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</si>
  <si>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</si>
  <si>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</si>
  <si>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</si>
  <si>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</si>
  <si>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</si>
  <si>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</si>
  <si>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</si>
  <si>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</si>
  <si>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</si>
  <si>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</si>
  <si>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</si>
  <si>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</si>
  <si>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</si>
  <si>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</si>
  <si>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</si>
  <si>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</si>
  <si>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</si>
  <si>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</si>
  <si>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</si>
  <si>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</si>
  <si>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</si>
  <si>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</si>
  <si>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</si>
  <si>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</si>
  <si>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</si>
  <si>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</si>
  <si>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</si>
  <si>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</si>
  <si>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</si>
  <si>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</si>
  <si>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</si>
  <si>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</si>
  <si>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</si>
  <si>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</si>
  <si>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</si>
  <si>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</si>
  <si>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</si>
  <si>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</si>
  <si>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</si>
  <si>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</si>
  <si>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</si>
  <si>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</si>
  <si>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</si>
  <si>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</si>
  <si>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</si>
  <si>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</si>
  <si>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</si>
  <si>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</si>
  <si>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</si>
  <si>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</si>
  <si>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</si>
  <si>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</si>
  <si>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</si>
  <si>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</si>
  <si>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</si>
  <si>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</si>
  <si>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</si>
  <si>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</si>
  <si>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</si>
  <si>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</si>
  <si>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</si>
  <si>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</si>
  <si>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</si>
  <si>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</si>
  <si>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</si>
  <si>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</si>
  <si>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</si>
  <si>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</si>
  <si>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</si>
  <si>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</si>
  <si>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</si>
  <si>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</si>
  <si>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</si>
  <si>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</si>
  <si>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</si>
  <si>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</si>
  <si>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</si>
  <si>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</si>
  <si>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</si>
  <si>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</si>
  <si>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</si>
  <si>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</si>
  <si>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</si>
  <si>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</si>
  <si>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</si>
  <si>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</si>
  <si>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</si>
  <si>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</si>
  <si>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</si>
  <si>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</si>
  <si>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</si>
  <si>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</si>
  <si>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</si>
  <si>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</si>
  <si>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</si>
  <si>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</si>
  <si>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</si>
  <si>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</si>
  <si>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</si>
  <si>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</si>
  <si>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</si>
  <si>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</si>
  <si>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</si>
  <si>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</si>
  <si>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</si>
  <si>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</si>
  <si>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</si>
  <si>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</si>
  <si>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</si>
  <si>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</si>
  <si>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</si>
  <si>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</si>
  <si>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</si>
  <si>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</si>
  <si>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</si>
  <si>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</si>
  <si>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</si>
  <si>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</si>
  <si>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</si>
  <si>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</si>
  <si>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</si>
  <si>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</si>
  <si>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</si>
  <si>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</si>
  <si>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</si>
  <si>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</si>
  <si>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</si>
  <si>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</si>
  <si>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</si>
  <si>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</si>
  <si>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</si>
  <si>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</si>
  <si>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</si>
  <si>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</si>
  <si>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</si>
  <si>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</si>
  <si>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</si>
  <si>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</si>
  <si>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</si>
  <si>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</si>
  <si>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</si>
  <si>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</si>
  <si>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</si>
  <si>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</si>
  <si>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</si>
  <si>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</si>
  <si>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</si>
  <si>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</si>
  <si>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</si>
  <si>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</si>
  <si>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</si>
  <si>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</si>
  <si>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</si>
  <si>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</si>
  <si>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</si>
  <si>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</si>
  <si>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</si>
  <si>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</si>
  <si>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</si>
  <si>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</si>
  <si>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</si>
  <si>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</si>
  <si>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</si>
  <si>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</si>
  <si>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</si>
  <si>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</si>
  <si>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</si>
  <si>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</si>
  <si>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</si>
  <si>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</si>
  <si>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</si>
  <si>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</si>
  <si>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</si>
  <si>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</si>
  <si>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</si>
  <si>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</si>
  <si>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</si>
  <si>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</si>
  <si>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</si>
  <si>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</si>
  <si>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</si>
  <si>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</si>
  <si>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</si>
  <si>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</si>
  <si>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</si>
  <si>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</si>
  <si>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</si>
  <si>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</si>
  <si>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</si>
  <si>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</si>
  <si>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</si>
  <si>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</si>
  <si>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</si>
  <si>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</si>
  <si>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</si>
  <si>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</si>
  <si>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</si>
  <si>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</si>
  <si>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</si>
  <si>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</si>
  <si>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</si>
  <si>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</si>
  <si>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</si>
  <si>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</si>
  <si>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</si>
  <si>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</si>
  <si>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</si>
  <si>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</si>
  <si>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</si>
  <si>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</si>
  <si>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</si>
  <si>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</si>
  <si>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</si>
  <si>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</si>
  <si>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</si>
  <si>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</si>
  <si>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</si>
  <si>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</si>
  <si>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</si>
  <si>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</si>
  <si>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</si>
  <si>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</si>
  <si>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</si>
  <si>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</si>
  <si>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</si>
  <si>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</si>
  <si>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</si>
  <si>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</si>
  <si>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</si>
  <si>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</si>
  <si>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</si>
  <si>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</si>
  <si>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</si>
  <si>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</si>
  <si>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</si>
  <si>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</si>
  <si>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</si>
  <si>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</si>
  <si>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</si>
  <si>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</si>
  <si>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</si>
  <si>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</si>
  <si>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</si>
  <si>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</si>
  <si>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</si>
  <si>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</si>
  <si>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</si>
  <si>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</si>
  <si>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</si>
  <si>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</si>
  <si>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</si>
  <si>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</si>
  <si>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</si>
  <si>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</si>
  <si>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</si>
  <si>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</si>
  <si>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</si>
  <si>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</si>
  <si>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</si>
  <si>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</si>
  <si>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</si>
  <si>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</si>
  <si>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</si>
  <si>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</si>
  <si>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</si>
  <si>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</si>
  <si>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</si>
  <si>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</si>
  <si>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</si>
  <si>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</si>
  <si>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</si>
  <si>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</si>
  <si>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</si>
  <si>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</si>
  <si>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</si>
  <si>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</si>
  <si>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</si>
  <si>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</si>
  <si>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</si>
  <si>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</si>
  <si>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</si>
  <si>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</si>
  <si>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</si>
  <si>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</si>
  <si>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</si>
  <si>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</si>
  <si>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</si>
  <si>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</si>
  <si>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</si>
  <si>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</si>
  <si>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</si>
  <si>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</si>
  <si>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</si>
  <si>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</si>
  <si>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</si>
  <si>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</si>
  <si>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</si>
  <si>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</si>
  <si>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</si>
  <si>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</si>
  <si>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</si>
  <si>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</si>
  <si>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</si>
  <si>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</si>
  <si>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</si>
  <si>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</si>
  <si>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</si>
  <si>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</si>
  <si>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</si>
  <si>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</si>
  <si>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</si>
  <si>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</si>
  <si>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</si>
  <si>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</si>
  <si>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</si>
  <si>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</si>
  <si>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</si>
  <si>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</si>
  <si>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</si>
  <si>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</si>
  <si>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</si>
  <si>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</si>
  <si>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</si>
  <si>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</si>
  <si>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</si>
  <si>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</si>
  <si>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</si>
  <si>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</si>
  <si>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</si>
  <si>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</si>
  <si>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</si>
  <si>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</si>
  <si>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</si>
  <si>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</si>
  <si>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</si>
  <si>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</si>
  <si>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</si>
  <si>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</si>
  <si>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</si>
  <si>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</si>
  <si>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</si>
  <si>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</si>
  <si>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</si>
  <si>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</si>
  <si>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</si>
  <si>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</si>
  <si>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</si>
  <si>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</si>
  <si>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</si>
  <si>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</si>
  <si>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</si>
  <si>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</si>
  <si>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</si>
  <si>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</si>
  <si>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</si>
  <si>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</si>
  <si>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</si>
  <si>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</si>
  <si>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</si>
  <si>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</si>
  <si>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</si>
  <si>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</si>
  <si>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</si>
  <si>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</si>
  <si>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</si>
  <si>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</si>
  <si>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</si>
  <si>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</si>
  <si>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</si>
  <si>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</si>
  <si>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</si>
  <si>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</si>
  <si>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</si>
  <si>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</si>
  <si>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</si>
  <si>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</si>
  <si>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</si>
  <si>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</si>
  <si>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</si>
  <si>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</si>
  <si>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</si>
  <si>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</si>
  <si>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</si>
  <si>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</si>
  <si>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</si>
  <si>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</si>
  <si>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</si>
  <si>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</si>
  <si>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</si>
  <si>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</si>
  <si>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</si>
  <si>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</si>
  <si>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</si>
  <si>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</si>
  <si>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</si>
  <si>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</si>
  <si>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</si>
  <si>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</si>
  <si>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</si>
  <si>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</si>
  <si>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</si>
  <si>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</si>
  <si>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</si>
  <si>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</si>
  <si>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</si>
  <si>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</si>
  <si>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</si>
  <si>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</si>
  <si>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</si>
  <si>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</si>
  <si>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</si>
  <si>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</si>
  <si>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</si>
  <si>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</si>
  <si>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</si>
  <si>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</si>
  <si>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</si>
  <si>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</si>
  <si>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</si>
  <si>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</si>
  <si>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</si>
  <si>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</si>
  <si>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</si>
  <si>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</si>
  <si>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</si>
  <si>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</si>
  <si>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</si>
  <si>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</si>
  <si>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</si>
  <si>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</si>
  <si>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</si>
  <si>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</si>
  <si>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</si>
  <si>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</si>
  <si>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</si>
  <si>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</si>
  <si>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</si>
  <si>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</si>
  <si>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</si>
  <si>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</si>
  <si>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</si>
  <si>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</si>
  <si>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</si>
  <si>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</si>
  <si>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</si>
  <si>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</si>
  <si>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</si>
  <si>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</si>
  <si>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</si>
  <si>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</si>
  <si>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</si>
  <si>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</si>
  <si>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</si>
  <si>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</si>
  <si>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</si>
  <si>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</si>
  <si>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</si>
  <si>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</si>
  <si>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</si>
  <si>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</si>
  <si>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</si>
  <si>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</si>
  <si>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</si>
  <si>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</si>
  <si>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</si>
  <si>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</si>
  <si>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</si>
  <si>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</si>
  <si>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</si>
  <si>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</si>
  <si>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</si>
  <si>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</si>
  <si>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</si>
  <si>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</si>
  <si>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</si>
  <si>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</si>
  <si>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</si>
  <si>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</si>
  <si>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</si>
  <si>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</si>
  <si>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</si>
  <si>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</si>
  <si>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</si>
  <si>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</si>
  <si>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</si>
  <si>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</si>
  <si>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</si>
  <si>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</si>
  <si>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</si>
  <si>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</si>
  <si>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</si>
  <si>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</si>
  <si>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</si>
  <si>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</si>
  <si>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</si>
  <si>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</si>
  <si>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</si>
  <si>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</si>
  <si>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</si>
  <si>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</si>
  <si>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</si>
  <si>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</si>
  <si>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</si>
  <si>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</si>
  <si>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</si>
  <si>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</si>
  <si>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</si>
  <si>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</si>
  <si>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</si>
  <si>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</si>
  <si>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</si>
  <si>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</si>
  <si>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</si>
  <si>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</si>
  <si>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</si>
  <si>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</si>
  <si>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</si>
  <si>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</si>
  <si>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</si>
  <si>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</si>
  <si>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</si>
  <si>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</si>
  <si>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</si>
  <si>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</si>
  <si>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</si>
  <si>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</si>
  <si>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</si>
  <si>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</si>
  <si>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</si>
  <si>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</si>
  <si>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</si>
  <si>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</si>
  <si>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</si>
  <si>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</si>
  <si>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</si>
  <si>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</si>
  <si>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</si>
  <si>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</si>
  <si>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</si>
  <si>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</si>
  <si>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</si>
  <si>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</si>
  <si>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</si>
  <si>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</si>
  <si>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</si>
  <si>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</si>
  <si>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</si>
  <si>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</si>
  <si>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</si>
  <si>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</si>
  <si>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</si>
  <si>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</si>
  <si>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</si>
  <si>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</si>
  <si>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</si>
  <si>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</si>
  <si>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</si>
  <si>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</si>
  <si>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</si>
  <si>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</si>
  <si>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</si>
  <si>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</si>
  <si>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</si>
  <si>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</si>
  <si>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</si>
  <si>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</si>
  <si>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</si>
  <si>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</si>
  <si>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</si>
  <si>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</si>
  <si>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</si>
  <si>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</si>
  <si>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</si>
  <si>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</si>
  <si>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</si>
  <si>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</si>
  <si>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</si>
  <si>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</si>
  <si>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</si>
  <si>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</si>
  <si>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</si>
  <si>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</si>
  <si>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</si>
  <si>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</si>
  <si>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</si>
  <si>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</si>
  <si>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</si>
  <si>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</si>
  <si>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</si>
  <si>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</si>
  <si>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</si>
  <si>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</si>
  <si>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</si>
  <si>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</si>
  <si>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</si>
  <si>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</si>
  <si>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</si>
  <si>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</si>
  <si>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</si>
  <si>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</si>
  <si>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</si>
  <si>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</si>
  <si>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</si>
  <si>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</si>
  <si>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</si>
  <si>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</si>
  <si>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</si>
  <si>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</si>
  <si>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</si>
  <si>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</si>
  <si>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</si>
  <si>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</si>
  <si>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</si>
  <si>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</si>
  <si>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</si>
  <si>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</si>
  <si>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</si>
  <si>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</si>
  <si>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</si>
  <si>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</si>
  <si>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</si>
  <si>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</si>
  <si>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</si>
  <si>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</si>
  <si>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</si>
  <si>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</si>
  <si>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</si>
  <si>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</si>
  <si>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</si>
  <si>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</si>
  <si>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</si>
  <si>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</si>
  <si>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</si>
  <si>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</si>
  <si>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</si>
  <si>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</si>
  <si>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</si>
  <si>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</si>
  <si>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</si>
  <si>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</si>
  <si>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</si>
  <si>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</si>
  <si>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</si>
  <si>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</si>
  <si>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</si>
  <si>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</si>
  <si>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</si>
  <si>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</si>
  <si>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</si>
  <si>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</si>
  <si>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</si>
  <si>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</si>
  <si>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</si>
  <si>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</si>
  <si>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</si>
  <si>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</si>
  <si>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</si>
  <si>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</si>
  <si>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</si>
  <si>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</si>
  <si>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</si>
  <si>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</si>
  <si>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</si>
  <si>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</si>
  <si>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</si>
  <si>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</si>
  <si>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</si>
  <si>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</si>
  <si>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</si>
  <si>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</si>
  <si>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</si>
  <si>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</si>
  <si>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</si>
  <si>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</si>
  <si>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</si>
  <si>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</si>
  <si>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</si>
  <si>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</si>
  <si>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</si>
  <si>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</si>
  <si>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</si>
  <si>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</si>
  <si>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</si>
  <si>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</si>
  <si>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</si>
  <si>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</si>
  <si>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</si>
  <si>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</si>
  <si>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</si>
  <si>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</si>
  <si>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</si>
  <si>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</si>
  <si>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</si>
  <si>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</si>
  <si>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</si>
  <si>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</si>
  <si>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</si>
  <si>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</si>
  <si>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</si>
  <si>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</si>
  <si>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</si>
  <si>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</si>
  <si>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</si>
  <si>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</si>
  <si>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</si>
  <si>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</si>
  <si>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</si>
  <si>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</si>
  <si>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</si>
  <si>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</si>
  <si>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</si>
  <si>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</si>
  <si>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</si>
  <si>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</si>
  <si>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</si>
  <si>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</si>
  <si>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</si>
  <si>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</si>
  <si>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</si>
  <si>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</si>
  <si>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</si>
  <si>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</si>
  <si>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</si>
  <si>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</si>
  <si>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</si>
  <si>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</si>
  <si>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</si>
  <si>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</si>
  <si>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</si>
  <si>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</si>
  <si>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</si>
  <si>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</si>
  <si>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</si>
  <si>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</si>
  <si>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</si>
  <si>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</si>
  <si>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</si>
  <si>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</si>
  <si>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</si>
  <si>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</si>
  <si>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</si>
  <si>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</si>
  <si>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</si>
  <si>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</si>
  <si>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</si>
  <si>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</si>
  <si>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</si>
  <si>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</si>
  <si>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</si>
  <si>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</si>
  <si>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</si>
  <si>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</si>
  <si>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</si>
  <si>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</si>
  <si>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</si>
  <si>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</si>
  <si>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</si>
  <si>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</si>
  <si>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</si>
  <si>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</si>
  <si>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</si>
  <si>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</si>
  <si>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</si>
  <si>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</si>
  <si>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</si>
  <si>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</si>
  <si>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</si>
  <si>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</si>
  <si>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</si>
  <si>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</si>
  <si>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</si>
  <si>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</si>
  <si>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</si>
  <si>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</si>
  <si>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</si>
  <si>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</si>
  <si>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</si>
  <si>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</si>
  <si>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</si>
  <si>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</si>
  <si>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</si>
  <si>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</si>
  <si>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</si>
  <si>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</si>
  <si>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</si>
  <si>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</si>
  <si>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</si>
  <si>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</si>
  <si>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</si>
  <si>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</si>
  <si>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</si>
  <si>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</si>
  <si>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</si>
  <si>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</si>
  <si>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</si>
  <si>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</si>
  <si>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</si>
  <si>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</si>
  <si>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</si>
  <si>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</si>
  <si>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</si>
  <si>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</si>
  <si>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</si>
  <si>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</si>
  <si>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</si>
  <si>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</si>
  <si>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</si>
  <si>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</si>
  <si>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</si>
  <si>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</si>
  <si>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</si>
  <si>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</si>
  <si>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</si>
  <si>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</si>
  <si>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</si>
  <si>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</si>
  <si>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</si>
  <si>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</si>
  <si>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</si>
  <si>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</si>
  <si>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</si>
  <si>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</si>
  <si>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</si>
  <si>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</si>
  <si>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</si>
  <si>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</si>
  <si>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</si>
  <si>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</si>
  <si>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</si>
  <si>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</si>
  <si>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</si>
  <si>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</si>
  <si>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</si>
  <si>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</si>
  <si>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</si>
  <si>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</si>
  <si>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</si>
  <si>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</si>
  <si>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</si>
  <si>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</si>
  <si>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</si>
  <si>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</si>
  <si>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</si>
  <si>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</si>
  <si>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</si>
  <si>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</si>
  <si>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</si>
  <si>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</si>
  <si>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</si>
  <si>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</si>
  <si>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</si>
  <si>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</si>
  <si>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</si>
  <si>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</si>
  <si>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</si>
  <si>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</si>
  <si>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</si>
  <si>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</si>
  <si>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</si>
  <si>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</si>
  <si>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</si>
  <si>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</si>
  <si>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</si>
  <si>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</si>
  <si>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</si>
  <si>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</si>
  <si>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</si>
  <si>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</si>
  <si>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</si>
  <si>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</si>
  <si>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</si>
  <si>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</si>
  <si>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</si>
  <si>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</si>
  <si>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</si>
  <si>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</si>
  <si>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</si>
  <si>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</si>
  <si>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</si>
  <si>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</si>
  <si>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</si>
  <si>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</si>
  <si>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</si>
  <si>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</si>
  <si>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</si>
  <si>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</si>
  <si>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</si>
  <si>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</si>
  <si>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</si>
  <si>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</si>
  <si>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</si>
  <si>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</si>
  <si>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</si>
  <si>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</si>
  <si>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</si>
  <si>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</si>
  <si>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</si>
  <si>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</si>
  <si>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</si>
  <si>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</si>
  <si>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</si>
  <si>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</si>
  <si>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</si>
  <si>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</si>
  <si>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</si>
  <si>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</si>
  <si>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</si>
  <si>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</si>
  <si>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</si>
  <si>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</si>
  <si>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</si>
  <si>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</si>
  <si>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</si>
  <si>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</si>
  <si>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</si>
  <si>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</si>
  <si>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</si>
  <si>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</si>
  <si>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</si>
  <si>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</si>
  <si>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</si>
  <si>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</si>
  <si>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</si>
  <si>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</si>
  <si>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</si>
  <si>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</si>
  <si>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</si>
  <si>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</si>
  <si>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</si>
  <si>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</si>
  <si>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</si>
  <si>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</si>
  <si>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</si>
  <si>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</si>
  <si>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</si>
  <si>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</si>
  <si>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</si>
  <si>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</si>
  <si>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</si>
  <si>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</si>
  <si>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</si>
  <si>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</si>
  <si>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</si>
  <si>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</si>
  <si>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</si>
  <si>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</si>
  <si>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</si>
  <si>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</si>
  <si>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</si>
  <si>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</si>
  <si>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</si>
  <si>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</si>
  <si>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</si>
  <si>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</si>
  <si>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</si>
  <si>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</si>
  <si>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</si>
  <si>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</si>
  <si>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</si>
  <si>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</si>
  <si>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</si>
  <si>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</si>
  <si>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</si>
  <si>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</si>
  <si>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</si>
  <si>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</si>
  <si>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</si>
  <si>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</si>
  <si>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</si>
  <si>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</si>
  <si>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</si>
  <si>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</si>
  <si>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</si>
  <si>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</si>
  <si>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</si>
  <si>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</si>
  <si>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</si>
  <si>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</si>
  <si>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</si>
  <si>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</si>
  <si>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</si>
  <si>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</si>
  <si>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</si>
  <si>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</si>
  <si>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</si>
  <si>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</si>
  <si>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</si>
  <si>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</si>
  <si>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</si>
  <si>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</si>
  <si>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</si>
  <si>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</si>
  <si>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</si>
  <si>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</si>
  <si>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</si>
  <si>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</si>
  <si>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</si>
  <si>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</si>
  <si>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</si>
  <si>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</si>
  <si>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</si>
  <si>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</si>
  <si>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</si>
  <si>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</si>
  <si>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</si>
  <si>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</si>
  <si>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</si>
  <si>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</si>
  <si>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</si>
  <si>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</si>
  <si>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</si>
  <si>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</si>
  <si>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</si>
  <si>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</si>
  <si>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</si>
  <si>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</si>
  <si>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</si>
  <si>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</si>
  <si>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</si>
  <si>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</si>
  <si>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</si>
  <si>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</si>
  <si>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</si>
  <si>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</si>
  <si>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</si>
  <si>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</si>
  <si>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</si>
  <si>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</si>
  <si>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</si>
  <si>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</si>
  <si>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</si>
  <si>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</si>
  <si>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</si>
  <si>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</si>
  <si>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</si>
  <si>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</si>
  <si>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</si>
  <si>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</si>
  <si>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</si>
  <si>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</si>
  <si>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</si>
  <si>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</si>
  <si>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</si>
  <si>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</si>
  <si>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</si>
  <si>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</si>
  <si>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</si>
  <si>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</si>
  <si>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</si>
  <si>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</si>
  <si>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</si>
  <si>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</si>
  <si>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</si>
  <si>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</si>
  <si>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</si>
  <si>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</si>
  <si>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</si>
  <si>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</si>
  <si>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</si>
  <si>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</si>
  <si>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3/11</t>
  </si>
  <si>
    <t>8/21</t>
  </si>
  <si>
    <t>11/09</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</si>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</sst>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1485</v>
      </c>
      <c r="B2">
        <f>INDEX('School Tables'!$AH$3:$AH$208,MATCH('DOE25'!A2,'School Tables'!$AJ$3:$AJ$208,0))</f>
        <v>582</v>
      </c>
      <c r="C2">
        <f>INDEX('School Tables'!$AI$3:$AI$208,MATCH('DOE25'!A2,'School Tables'!$AJ$3:$AJ$208,0))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1614902</v>
      </c>
      <c r="G9" s="18">
        <v>239660</v>
      </c>
      <c r="H9" s="18">
        <v>107063</v>
      </c>
      <c r="I9" s="18"/>
      <c r="J9" s="13">
        <f>SUM(I440)</f>
        <v>2105822</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722716</v>
      </c>
      <c r="G12" s="18"/>
      <c r="H12" s="18">
        <v>612308</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50406</v>
      </c>
      <c r="G13" s="18">
        <v>239253</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2388024</v>
      </c>
      <c r="G19" s="38">
        <f>SUM(G9:G18)</f>
        <v>478913</v>
      </c>
      <c r="H19" s="38">
        <f>SUM(H9:H18)</f>
        <v>719371</v>
      </c>
      <c r="I19" s="38">
        <f>SUM(I9:I18)</f>
        <v>0</v>
      </c>
      <c r="J19" s="38">
        <f>SUM(J9:J18)</f>
        <v>2105822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612308</v>
      </c>
      <c r="I22" s="18"/>
      <c r="J22" s="13">
        <f>SUM(I449)</f>
        <v>110408</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30931</v>
      </c>
      <c r="G24" s="18">
        <v>15503</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27326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107063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58257</v>
      </c>
      <c r="G32" s="38">
        <f>SUM(G22:G31)</f>
        <v>15503</v>
      </c>
      <c r="H32" s="38">
        <f>SUM(H22:H31)</f>
        <v>719371</v>
      </c>
      <c r="I32" s="38">
        <f>SUM(I22:I31)</f>
        <v>0</v>
      </c>
      <c r="J32" s="38">
        <f>SUM(J22:J31)</f>
        <v>110408</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463410</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500000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1995414</v>
      </c>
      <c r="K48" s="23" t="s">
        <v>288</v>
      </c>
      <c r="L48" s="23" t="s">
        <v>288</v>
      </c>
      <c r="M48" s="8"/>
      <c r="N48" s="165"/>
    </row>
    <row r="49" spans="1:14" s="3" customFormat="1" ht="12.2" customHeight="1" x14ac:dyDescent="0.15">
      <c r="A49" s="1" t="s">
        <v>859</v>
      </c>
      <c r="B49" s="2" t="s">
        <v>289</v>
      </c>
      <c r="C49" s="6">
        <v>34</v>
      </c>
      <c r="D49" s="2"/>
      <c r="E49" s="6">
        <v>753</v>
      </c>
      <c r="F49" s="18">
        <v>210000</v>
      </c>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1619767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2329767</v>
      </c>
      <c r="G51" s="38">
        <f>SUM(G35:G50)</f>
        <v>463410</v>
      </c>
      <c r="H51" s="38">
        <f>SUM(H35:H50)</f>
        <v>0</v>
      </c>
      <c r="I51" s="38">
        <f>SUM(I35:I50)</f>
        <v>0</v>
      </c>
      <c r="J51" s="38">
        <f>SUM(J35:J50)</f>
        <v>1995414</v>
      </c>
      <c r="K51" s="42" t="s">
        <v>288</v>
      </c>
      <c r="L51" s="42" t="s">
        <v>288</v>
      </c>
      <c r="N51" s="131"/>
    </row>
    <row r="52" spans="1:14" s="3" customFormat="1" ht="12.2" customHeight="1" thickTop="1" x14ac:dyDescent="0.15">
      <c r="A52" s="35" t="s">
        <v>455</v>
      </c>
      <c r="B52" s="36" t="s">
        <v>289</v>
      </c>
      <c r="C52" s="6">
        <v>37</v>
      </c>
      <c r="D52" s="36" t="s">
        <v>653</v>
      </c>
      <c r="E52" s="36"/>
      <c r="F52" s="38">
        <f>F51+F32</f>
        <v>2388024</v>
      </c>
      <c r="G52" s="38">
        <f>G51+G32</f>
        <v>478913</v>
      </c>
      <c r="H52" s="38">
        <f>H51+H32</f>
        <v>719371</v>
      </c>
      <c r="I52" s="38">
        <f>I51+I32</f>
        <v>0</v>
      </c>
      <c r="J52" s="38">
        <f>J51+J32</f>
        <v>2105822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12474300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12474300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10798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43268</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21862</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75928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7818</v>
      </c>
      <c r="G96" s="18"/>
      <c r="H96" s="18"/>
      <c r="I96" s="18"/>
      <c r="J96" s="18">
        <v>3714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90505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f>36620+3991</f>
        <v>40611</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v>303</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11262</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9695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69386</v>
      </c>
      <c r="G111" s="38">
        <f>SUM(G96:G110)</f>
        <v>90808</v>
      </c>
      <c r="H111" s="38">
        <f>SUM(H96:H110)</f>
        <v>0</v>
      </c>
      <c r="I111" s="38">
        <f>SUM(I96:I110)</f>
        <v>0</v>
      </c>
      <c r="J111" s="38">
        <f>SUM(J96:J110)</f>
        <v>3714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12619614</v>
      </c>
      <c r="G112" s="38">
        <f>G60+G111</f>
        <v>90808</v>
      </c>
      <c r="H112" s="38">
        <f>H60+H79+H94+H111</f>
        <v>0</v>
      </c>
      <c r="I112" s="38">
        <f>I60+I111</f>
        <v>0</v>
      </c>
      <c r="J112" s="38">
        <f>J60+J111</f>
        <v>3714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7060201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2771386</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32654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9864241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583185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959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42853</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15889</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8617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642886</v>
      </c>
      <c r="G136" s="38">
        <f>SUM(G123:G135)</f>
        <v>8617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10507127</v>
      </c>
      <c r="G140" s="38">
        <f>G121+SUM(G136:G137)</f>
        <v>8617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426877+150147</f>
        <v>577024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177165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36929</f>
        <v>36929</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917462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6256+41208+439750</f>
        <v>487214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371032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13770</f>
        <v>13770</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f>14315+732666</f>
        <v>746981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371032</v>
      </c>
      <c r="G163" s="38">
        <f>SUM(G150:G162)</f>
        <v>917462</v>
      </c>
      <c r="H163" s="38">
        <f>SUM(H150:H162)</f>
        <v>2039083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371032</v>
      </c>
      <c r="G170" s="38">
        <f>G147+G163+SUM(G164:G169)</f>
        <v>917462</v>
      </c>
      <c r="H170" s="38">
        <f>H147+H163+SUM(H164:H169)</f>
        <v>2039083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360000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f>94575+1567+0.07</f>
        <v>96142.07</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96142.07</v>
      </c>
      <c r="G184" s="38">
        <f>SUM(G180:G183)</f>
        <v>0</v>
      </c>
      <c r="H184" s="38">
        <f>SUM(H180:H183)</f>
        <v>0</v>
      </c>
      <c r="I184" s="38">
        <f>SUM(I180:I183)</f>
        <v>0</v>
      </c>
      <c r="J184" s="38">
        <f>SUM(J180:J183)</f>
        <v>360000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122376</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122376</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218518.07</v>
      </c>
      <c r="G193" s="38">
        <f>G184+SUM(G189:G192)</f>
        <v>0</v>
      </c>
      <c r="H193" s="38">
        <f>+H184+SUM(H189:H192)</f>
        <v>0</v>
      </c>
      <c r="I193" s="38">
        <f>I178+I184+SUM(I189:I192)</f>
        <v>0</v>
      </c>
      <c r="J193" s="38">
        <f>J184</f>
        <v>360000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23716291.07</v>
      </c>
      <c r="G194" s="38">
        <f>G112+G140+G170+G193</f>
        <v>1016887</v>
      </c>
      <c r="H194" s="38">
        <f>H112+H140+H170+H193</f>
        <v>2039083</v>
      </c>
      <c r="I194" s="38">
        <f>I112+I140+I170+I193</f>
        <v>0</v>
      </c>
      <c r="J194" s="38">
        <f>J112+J140+J193</f>
        <v>363714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2564633+41029</f>
        <v>2605662</v>
      </c>
      <c r="G198" s="18">
        <v>1199120</v>
      </c>
      <c r="H198" s="18">
        <v>1992</v>
      </c>
      <c r="I198" s="18">
        <v>69876</v>
      </c>
      <c r="J198" s="18">
        <v>8614</v>
      </c>
      <c r="K198" s="18"/>
      <c r="L198" s="13">
        <f>SUM(F198:K198)</f>
        <v>3885264</v>
      </c>
      <c r="M198" s="8"/>
      <c r="N198" s="165"/>
    </row>
    <row r="199" spans="1:14" s="3" customFormat="1" ht="12.2" customHeight="1" x14ac:dyDescent="0.15">
      <c r="A199" s="1" t="s">
        <v>439</v>
      </c>
      <c r="B199" s="2" t="s">
        <v>341</v>
      </c>
      <c r="C199" s="2" t="s">
        <v>291</v>
      </c>
      <c r="D199" s="2" t="s">
        <v>431</v>
      </c>
      <c r="E199" s="6">
        <v>1200</v>
      </c>
      <c r="F199" s="18">
        <f>836705+45250</f>
        <v>881955</v>
      </c>
      <c r="G199" s="18">
        <f>394913+5602</f>
        <v>400515</v>
      </c>
      <c r="H199" s="18">
        <v>672604</v>
      </c>
      <c r="I199" s="18">
        <f>2654+5570</f>
        <v>8224</v>
      </c>
      <c r="J199" s="18"/>
      <c r="K199" s="18">
        <v>1157</v>
      </c>
      <c r="L199" s="13">
        <f>SUM(F199:K199)</f>
        <v>1964455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53031</v>
      </c>
      <c r="G201" s="18">
        <v>13481</v>
      </c>
      <c r="H201" s="18"/>
      <c r="I201" s="18"/>
      <c r="J201" s="18"/>
      <c r="K201" s="18"/>
      <c r="L201" s="13">
        <f>SUM(F201:K201)</f>
        <v>66512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382296</v>
      </c>
      <c r="G203" s="18">
        <f>214548</f>
        <v>214548</v>
      </c>
      <c r="H203" s="18">
        <f>1775+561+5861</f>
        <v>8197</v>
      </c>
      <c r="I203" s="18">
        <v>3523</v>
      </c>
      <c r="J203" s="18"/>
      <c r="K203" s="18">
        <v>558</v>
      </c>
      <c r="L203" s="13">
        <f t="shared" ref="L203:L209" si="0">SUM(F203:K203)</f>
        <v>609122</v>
      </c>
      <c r="M203" s="8"/>
      <c r="N203" s="165"/>
    </row>
    <row r="204" spans="1:14" s="3" customFormat="1" ht="12.2" customHeight="1" x14ac:dyDescent="0.15">
      <c r="A204" s="1" t="s">
        <v>443</v>
      </c>
      <c r="B204" s="2" t="s">
        <v>341</v>
      </c>
      <c r="C204" s="2" t="s">
        <v>295</v>
      </c>
      <c r="D204" s="2" t="s">
        <v>431</v>
      </c>
      <c r="E204" s="6">
        <v>2200</v>
      </c>
      <c r="F204" s="18">
        <v>104048</v>
      </c>
      <c r="G204" s="18">
        <f>42367+59011</f>
        <v>101378</v>
      </c>
      <c r="H204" s="18">
        <f>35550+3940</f>
        <v>39490</v>
      </c>
      <c r="I204" s="18">
        <f>10488+878</f>
        <v>11366</v>
      </c>
      <c r="J204" s="18"/>
      <c r="K204" s="18"/>
      <c r="L204" s="13">
        <f t="shared" si="0"/>
        <v>256282</v>
      </c>
      <c r="M204" s="8"/>
      <c r="N204" s="165"/>
    </row>
    <row r="205" spans="1:14" s="3" customFormat="1" ht="12.2" customHeight="1" x14ac:dyDescent="0.15">
      <c r="A205" s="1" t="s">
        <v>444</v>
      </c>
      <c r="B205" s="2" t="s">
        <v>341</v>
      </c>
      <c r="C205" s="2" t="s">
        <v>296</v>
      </c>
      <c r="D205" s="2" t="s">
        <v>431</v>
      </c>
      <c r="E205" s="6">
        <v>2300</v>
      </c>
      <c r="F205" s="18">
        <v>428565</v>
      </c>
      <c r="G205" s="18">
        <v>181900</v>
      </c>
      <c r="H205" s="18">
        <f>58822+61678</f>
        <v>120500</v>
      </c>
      <c r="I205" s="18">
        <f>6742+1615</f>
        <v>8357</v>
      </c>
      <c r="J205" s="18">
        <f>38362+25275+261</f>
        <v>63898</v>
      </c>
      <c r="K205" s="18">
        <v>3961</v>
      </c>
      <c r="L205" s="13">
        <f t="shared" si="0"/>
        <v>807181</v>
      </c>
      <c r="M205" s="8"/>
      <c r="N205" s="165"/>
    </row>
    <row r="206" spans="1:14" s="3" customFormat="1" ht="12.2" customHeight="1" x14ac:dyDescent="0.15">
      <c r="A206" s="1" t="s">
        <v>445</v>
      </c>
      <c r="B206" s="2" t="s">
        <v>341</v>
      </c>
      <c r="C206" s="2" t="s">
        <v>297</v>
      </c>
      <c r="D206" s="2" t="s">
        <v>431</v>
      </c>
      <c r="E206" s="6">
        <v>2400</v>
      </c>
      <c r="F206" s="18">
        <v>401326</v>
      </c>
      <c r="G206" s="18">
        <f>231444+17627</f>
        <v>249071</v>
      </c>
      <c r="H206" s="18">
        <v>3108</v>
      </c>
      <c r="I206" s="18">
        <v>562.16999999999996</v>
      </c>
      <c r="J206" s="18"/>
      <c r="K206" s="18">
        <v>2318</v>
      </c>
      <c r="L206" s="13">
        <f t="shared" si="0"/>
        <v>656385.17000000004</v>
      </c>
      <c r="M206" s="8"/>
      <c r="N206" s="165"/>
    </row>
    <row r="207" spans="1:14" s="3" customFormat="1" ht="12.2" customHeight="1" x14ac:dyDescent="0.15">
      <c r="A207" s="1" t="s">
        <v>446</v>
      </c>
      <c r="B207" s="2" t="s">
        <v>341</v>
      </c>
      <c r="C207" s="2" t="s">
        <v>298</v>
      </c>
      <c r="D207" s="2" t="s">
        <v>431</v>
      </c>
      <c r="E207" s="6">
        <v>2500</v>
      </c>
      <c r="F207" s="18">
        <v>93685</v>
      </c>
      <c r="G207" s="18">
        <v>46800</v>
      </c>
      <c r="H207" s="18"/>
      <c r="I207" s="18"/>
      <c r="J207" s="18"/>
      <c r="K207" s="18"/>
      <c r="L207" s="13">
        <f t="shared" si="0"/>
        <v>140485</v>
      </c>
      <c r="M207" s="8"/>
      <c r="N207" s="165"/>
    </row>
    <row r="208" spans="1:14" s="3" customFormat="1" ht="12.2" customHeight="1" x14ac:dyDescent="0.15">
      <c r="A208" s="1" t="s">
        <v>447</v>
      </c>
      <c r="B208" s="2" t="s">
        <v>341</v>
      </c>
      <c r="C208" s="2" t="s">
        <v>299</v>
      </c>
      <c r="D208" s="2" t="s">
        <v>431</v>
      </c>
      <c r="E208" s="6">
        <v>2600</v>
      </c>
      <c r="F208" s="18">
        <f>196255+116120+14685+95</f>
        <v>327155</v>
      </c>
      <c r="G208" s="18">
        <f>95838+63745+9495</f>
        <v>169078</v>
      </c>
      <c r="H208" s="18">
        <f>166763+65856+15331</f>
        <v>247950</v>
      </c>
      <c r="I208" s="18">
        <f>185403+2116+2052</f>
        <v>189571</v>
      </c>
      <c r="J208" s="18">
        <f>4808+292</f>
        <v>5100</v>
      </c>
      <c r="K208" s="18">
        <v>781</v>
      </c>
      <c r="L208" s="13">
        <f t="shared" si="0"/>
        <v>939635</v>
      </c>
      <c r="M208" s="8"/>
      <c r="N208" s="165"/>
    </row>
    <row r="209" spans="1:14" s="3" customFormat="1" ht="12.2" customHeight="1" x14ac:dyDescent="0.15">
      <c r="A209" s="1" t="s">
        <v>448</v>
      </c>
      <c r="B209" s="2" t="s">
        <v>341</v>
      </c>
      <c r="C209" s="2" t="s">
        <v>300</v>
      </c>
      <c r="D209" s="2" t="s">
        <v>431</v>
      </c>
      <c r="E209" s="6">
        <v>2700</v>
      </c>
      <c r="F209" s="18"/>
      <c r="G209" s="18"/>
      <c r="H209" s="18">
        <f>4461+377283</f>
        <v>381744</v>
      </c>
      <c r="I209" s="18">
        <v>34436</v>
      </c>
      <c r="J209" s="18"/>
      <c r="K209" s="18"/>
      <c r="L209" s="13">
        <f t="shared" si="0"/>
        <v>416180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v>16270</v>
      </c>
      <c r="L210" s="13">
        <f>SUM(F210:K210)</f>
        <v>16270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5277723</v>
      </c>
      <c r="G212" s="38">
        <f t="shared" si="1"/>
        <v>2575891</v>
      </c>
      <c r="H212" s="38">
        <f t="shared" si="1"/>
        <v>1475585</v>
      </c>
      <c r="I212" s="38">
        <f t="shared" si="1"/>
        <v>325915.17</v>
      </c>
      <c r="J212" s="38">
        <f t="shared" si="1"/>
        <v>77612</v>
      </c>
      <c r="K212" s="38">
        <f t="shared" si="1"/>
        <v>25045</v>
      </c>
      <c r="L212" s="38">
        <f t="shared" si="1"/>
        <v>9757771.1699999999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1354289</v>
      </c>
      <c r="G216" s="18">
        <v>646242</v>
      </c>
      <c r="H216" s="18">
        <v>145</v>
      </c>
      <c r="I216" s="18">
        <v>38260</v>
      </c>
      <c r="J216" s="18">
        <v>4758</v>
      </c>
      <c r="K216" s="18">
        <v>144</v>
      </c>
      <c r="L216" s="13">
        <f>SUM(F216:K216)</f>
        <v>2043838</v>
      </c>
      <c r="M216" s="8"/>
      <c r="N216" s="165"/>
    </row>
    <row r="217" spans="1:14" s="3" customFormat="1" ht="12.2" customHeight="1" x14ac:dyDescent="0.15">
      <c r="A217" s="1" t="s">
        <v>439</v>
      </c>
      <c r="B217" s="2" t="s">
        <v>346</v>
      </c>
      <c r="C217" s="2" t="s">
        <v>291</v>
      </c>
      <c r="D217" s="2" t="s">
        <v>431</v>
      </c>
      <c r="E217" s="6">
        <v>1200</v>
      </c>
      <c r="F217" s="18">
        <f>285676+36358+48163</f>
        <v>370197</v>
      </c>
      <c r="G217" s="18">
        <f>133918+4501</f>
        <v>138419</v>
      </c>
      <c r="H217" s="18">
        <f>540426+4709</f>
        <v>545135</v>
      </c>
      <c r="I217" s="18">
        <v>4475</v>
      </c>
      <c r="J217" s="18"/>
      <c r="K217" s="18">
        <v>4475</v>
      </c>
      <c r="L217" s="13">
        <f>SUM(F217:K217)</f>
        <v>1062701</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85629</v>
      </c>
      <c r="G219" s="18">
        <v>32821</v>
      </c>
      <c r="H219" s="18">
        <v>8125</v>
      </c>
      <c r="I219" s="18">
        <v>6668</v>
      </c>
      <c r="J219" s="18">
        <v>9738</v>
      </c>
      <c r="K219" s="18">
        <v>594</v>
      </c>
      <c r="L219" s="13">
        <f>SUM(F219:K219)</f>
        <v>143575</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175988</v>
      </c>
      <c r="G221" s="18">
        <v>115752</v>
      </c>
      <c r="H221" s="18">
        <f>28218+4709</f>
        <v>32927</v>
      </c>
      <c r="I221" s="18">
        <v>3267</v>
      </c>
      <c r="J221" s="18"/>
      <c r="K221" s="18">
        <v>250</v>
      </c>
      <c r="L221" s="13">
        <f t="shared" ref="L221:L227" si="2">SUM(F221:K221)</f>
        <v>328184</v>
      </c>
      <c r="M221" s="8"/>
      <c r="N221" s="165"/>
    </row>
    <row r="222" spans="1:14" s="3" customFormat="1" ht="12.2" customHeight="1" x14ac:dyDescent="0.15">
      <c r="A222" s="1" t="s">
        <v>443</v>
      </c>
      <c r="B222" s="2" t="s">
        <v>346</v>
      </c>
      <c r="C222" s="2" t="s">
        <v>295</v>
      </c>
      <c r="D222" s="2" t="s">
        <v>431</v>
      </c>
      <c r="E222" s="6">
        <v>2200</v>
      </c>
      <c r="F222" s="18">
        <v>77512</v>
      </c>
      <c r="G222" s="18">
        <f>20350+47415</f>
        <v>67765</v>
      </c>
      <c r="H222" s="18">
        <f>2162+28563+3166</f>
        <v>33891</v>
      </c>
      <c r="I222" s="18">
        <f>9739+706</f>
        <v>10445</v>
      </c>
      <c r="J222" s="18"/>
      <c r="K222" s="18">
        <v>50</v>
      </c>
      <c r="L222" s="13">
        <f t="shared" si="2"/>
        <v>189663</v>
      </c>
      <c r="M222" s="8"/>
      <c r="N222" s="165"/>
    </row>
    <row r="223" spans="1:14" s="3" customFormat="1" ht="12.2" customHeight="1" x14ac:dyDescent="0.15">
      <c r="A223" s="1" t="s">
        <v>444</v>
      </c>
      <c r="B223" s="2" t="s">
        <v>346</v>
      </c>
      <c r="C223" s="2" t="s">
        <v>296</v>
      </c>
      <c r="D223" s="2" t="s">
        <v>431</v>
      </c>
      <c r="E223" s="6">
        <v>2300</v>
      </c>
      <c r="F223" s="18">
        <v>342852</v>
      </c>
      <c r="G223" s="18">
        <v>145520</v>
      </c>
      <c r="H223" s="18">
        <f>47263+49557</f>
        <v>96820</v>
      </c>
      <c r="I223" s="18">
        <f>5417+1298</f>
        <v>6715</v>
      </c>
      <c r="J223" s="18">
        <f>30823+20309+210</f>
        <v>51342</v>
      </c>
      <c r="K223" s="18">
        <v>3182</v>
      </c>
      <c r="L223" s="13">
        <f t="shared" si="2"/>
        <v>646431</v>
      </c>
      <c r="M223" s="8"/>
      <c r="N223" s="165"/>
    </row>
    <row r="224" spans="1:14" s="3" customFormat="1" ht="12.2" customHeight="1" x14ac:dyDescent="0.15">
      <c r="A224" s="1" t="s">
        <v>445</v>
      </c>
      <c r="B224" s="2" t="s">
        <v>346</v>
      </c>
      <c r="C224" s="2" t="s">
        <v>297</v>
      </c>
      <c r="D224" s="2" t="s">
        <v>431</v>
      </c>
      <c r="E224" s="6">
        <v>2400</v>
      </c>
      <c r="F224" s="18">
        <f>276897+23534</f>
        <v>300431</v>
      </c>
      <c r="G224" s="18">
        <f>150107+14102</f>
        <v>164209</v>
      </c>
      <c r="H224" s="18">
        <v>3933</v>
      </c>
      <c r="I224" s="18">
        <v>6102</v>
      </c>
      <c r="J224" s="18"/>
      <c r="K224" s="18">
        <v>1724</v>
      </c>
      <c r="L224" s="13">
        <f t="shared" si="2"/>
        <v>476399</v>
      </c>
      <c r="M224" s="8"/>
      <c r="N224" s="165"/>
    </row>
    <row r="225" spans="1:14" s="3" customFormat="1" ht="12.2" customHeight="1" x14ac:dyDescent="0.15">
      <c r="A225" s="1" t="s">
        <v>446</v>
      </c>
      <c r="B225" s="2" t="s">
        <v>346</v>
      </c>
      <c r="C225" s="2" t="s">
        <v>298</v>
      </c>
      <c r="D225" s="2" t="s">
        <v>431</v>
      </c>
      <c r="E225" s="6">
        <v>2500</v>
      </c>
      <c r="F225" s="18">
        <v>75273</v>
      </c>
      <c r="G225" s="18">
        <v>37604</v>
      </c>
      <c r="H225" s="18"/>
      <c r="I225" s="18"/>
      <c r="J225" s="18"/>
      <c r="K225" s="18"/>
      <c r="L225" s="13">
        <f t="shared" si="2"/>
        <v>112877</v>
      </c>
      <c r="M225" s="8"/>
      <c r="N225" s="165"/>
    </row>
    <row r="226" spans="1:14" s="3" customFormat="1" ht="12.2" customHeight="1" x14ac:dyDescent="0.15">
      <c r="A226" s="1" t="s">
        <v>447</v>
      </c>
      <c r="B226" s="2" t="s">
        <v>346</v>
      </c>
      <c r="C226" s="2" t="s">
        <v>299</v>
      </c>
      <c r="D226" s="2" t="s">
        <v>431</v>
      </c>
      <c r="E226" s="6">
        <v>2600</v>
      </c>
      <c r="F226" s="18">
        <f>92305+93301+11798</f>
        <v>197404</v>
      </c>
      <c r="G226" s="18">
        <f>41935+51217+7629</f>
        <v>100781</v>
      </c>
      <c r="H226" s="18">
        <f>97001+52914+12318</f>
        <v>162233</v>
      </c>
      <c r="I226" s="18">
        <f>64407+1700+1649</f>
        <v>67756</v>
      </c>
      <c r="J226" s="18">
        <f>476+235</f>
        <v>711</v>
      </c>
      <c r="K226" s="18">
        <v>627</v>
      </c>
      <c r="L226" s="13">
        <f t="shared" si="2"/>
        <v>529512</v>
      </c>
      <c r="M226" s="8"/>
      <c r="N226" s="165"/>
    </row>
    <row r="227" spans="1:14" s="3" customFormat="1" ht="12.2" customHeight="1" x14ac:dyDescent="0.15">
      <c r="A227" s="1" t="s">
        <v>448</v>
      </c>
      <c r="B227" s="2" t="s">
        <v>346</v>
      </c>
      <c r="C227" s="2" t="s">
        <v>300</v>
      </c>
      <c r="D227" s="2" t="s">
        <v>431</v>
      </c>
      <c r="E227" s="6">
        <v>2700</v>
      </c>
      <c r="F227" s="18"/>
      <c r="G227" s="18"/>
      <c r="H227" s="18">
        <f>14336+303140</f>
        <v>317476</v>
      </c>
      <c r="I227" s="18">
        <f>2006+27668-11539</f>
        <v>18135</v>
      </c>
      <c r="J227" s="18"/>
      <c r="K227" s="18"/>
      <c r="L227" s="13">
        <f t="shared" si="2"/>
        <v>335611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v>13072</v>
      </c>
      <c r="L228" s="13">
        <f>SUM(F228:K228)</f>
        <v>13072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2979575</v>
      </c>
      <c r="G230" s="38">
        <f>SUM(G216:G229)</f>
        <v>1449113</v>
      </c>
      <c r="H230" s="38">
        <f>SUM(H216:H229)</f>
        <v>1200685</v>
      </c>
      <c r="I230" s="38">
        <f>SUM(I216:I229)</f>
        <v>161823</v>
      </c>
      <c r="J230" s="38">
        <f>SUM(J216:J229)</f>
        <v>66549</v>
      </c>
      <c r="K230" s="38">
        <f t="shared" si="3"/>
        <v>24118</v>
      </c>
      <c r="L230" s="38">
        <f t="shared" si="3"/>
        <v>5881863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1508619</v>
      </c>
      <c r="G234" s="18">
        <v>738677</v>
      </c>
      <c r="H234" s="18">
        <v>18682</v>
      </c>
      <c r="I234" s="18">
        <v>37185</v>
      </c>
      <c r="J234" s="18">
        <v>12589</v>
      </c>
      <c r="K234" s="18">
        <v>1683</v>
      </c>
      <c r="L234" s="13">
        <f>SUM(F234:K234)</f>
        <v>2317435</v>
      </c>
      <c r="M234" s="8"/>
      <c r="N234" s="165"/>
    </row>
    <row r="235" spans="1:14" s="3" customFormat="1" ht="12.2" customHeight="1" x14ac:dyDescent="0.15">
      <c r="A235" s="1" t="s">
        <v>439</v>
      </c>
      <c r="B235" s="2" t="s">
        <v>350</v>
      </c>
      <c r="C235" s="2" t="s">
        <v>291</v>
      </c>
      <c r="D235" s="2" t="s">
        <v>431</v>
      </c>
      <c r="E235" s="6">
        <v>1200</v>
      </c>
      <c r="F235" s="18">
        <f>484381+47163</f>
        <v>531544</v>
      </c>
      <c r="G235" s="18">
        <f>219813+5839</f>
        <v>225652</v>
      </c>
      <c r="H235" s="18">
        <v>701048</v>
      </c>
      <c r="I235" s="18">
        <f>1232+5804</f>
        <v>7036</v>
      </c>
      <c r="J235" s="18">
        <v>785</v>
      </c>
      <c r="K235" s="18">
        <f>299+5804</f>
        <v>6103</v>
      </c>
      <c r="L235" s="13">
        <f>SUM(F235:K235)</f>
        <v>1472168</v>
      </c>
      <c r="M235" s="8"/>
      <c r="N235" s="165"/>
    </row>
    <row r="236" spans="1:14" s="3" customFormat="1" ht="12.2" customHeight="1" x14ac:dyDescent="0.15">
      <c r="A236" s="1" t="s">
        <v>440</v>
      </c>
      <c r="B236" s="2" t="s">
        <v>350</v>
      </c>
      <c r="C236" s="2" t="s">
        <v>292</v>
      </c>
      <c r="D236" s="2" t="s">
        <v>431</v>
      </c>
      <c r="E236" s="6">
        <v>1300</v>
      </c>
      <c r="F236" s="18">
        <v>141626</v>
      </c>
      <c r="G236" s="18">
        <v>70976</v>
      </c>
      <c r="H236" s="18">
        <v>133777</v>
      </c>
      <c r="I236" s="18">
        <v>7443</v>
      </c>
      <c r="J236" s="18"/>
      <c r="K236" s="18">
        <v>299</v>
      </c>
      <c r="L236" s="13">
        <f>SUM(F236:K236)</f>
        <v>354121</v>
      </c>
      <c r="M236" s="8"/>
      <c r="N236" s="165"/>
    </row>
    <row r="237" spans="1:14" s="3" customFormat="1" ht="12.2" customHeight="1" x14ac:dyDescent="0.15">
      <c r="A237" s="1" t="s">
        <v>441</v>
      </c>
      <c r="B237" s="2" t="s">
        <v>350</v>
      </c>
      <c r="C237" s="2" t="s">
        <v>293</v>
      </c>
      <c r="D237" s="2" t="s">
        <v>431</v>
      </c>
      <c r="E237" s="6">
        <v>1400</v>
      </c>
      <c r="F237" s="18">
        <v>173293</v>
      </c>
      <c r="G237" s="18">
        <v>52156</v>
      </c>
      <c r="H237" s="18">
        <v>49300</v>
      </c>
      <c r="I237" s="18">
        <v>16804</v>
      </c>
      <c r="J237" s="18">
        <v>25086</v>
      </c>
      <c r="K237" s="18">
        <v>12930</v>
      </c>
      <c r="L237" s="13">
        <f>SUM(F237:K237)</f>
        <v>329569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283455+21959</f>
        <v>305414</v>
      </c>
      <c r="G239" s="18">
        <f>146100+71846+175</f>
        <v>218121</v>
      </c>
      <c r="H239" s="18">
        <f>27478+6110+6110</f>
        <v>39698</v>
      </c>
      <c r="I239" s="18">
        <v>3270</v>
      </c>
      <c r="J239" s="18">
        <v>519.9</v>
      </c>
      <c r="K239" s="18">
        <v>14</v>
      </c>
      <c r="L239" s="13">
        <f t="shared" ref="L239:L245" si="4">SUM(F239:K239)</f>
        <v>567036.9</v>
      </c>
      <c r="M239" s="8"/>
      <c r="N239" s="165"/>
    </row>
    <row r="240" spans="1:14" s="3" customFormat="1" ht="12.2" customHeight="1" x14ac:dyDescent="0.15">
      <c r="A240" s="1" t="s">
        <v>443</v>
      </c>
      <c r="B240" s="2" t="s">
        <v>350</v>
      </c>
      <c r="C240" s="2" t="s">
        <v>295</v>
      </c>
      <c r="D240" s="2" t="s">
        <v>431</v>
      </c>
      <c r="E240" s="6">
        <v>2200</v>
      </c>
      <c r="F240" s="18">
        <v>62237</v>
      </c>
      <c r="G240" s="18">
        <f>26136+61507</f>
        <v>87643</v>
      </c>
      <c r="H240" s="18">
        <f>223+37053+4108</f>
        <v>41384</v>
      </c>
      <c r="I240" s="18">
        <f>6767+916</f>
        <v>7683</v>
      </c>
      <c r="J240" s="18">
        <v>1403</v>
      </c>
      <c r="K240" s="18">
        <v>238</v>
      </c>
      <c r="L240" s="13">
        <f t="shared" si="4"/>
        <v>200588</v>
      </c>
      <c r="M240" s="8"/>
      <c r="N240" s="165"/>
    </row>
    <row r="241" spans="1:14" s="3" customFormat="1" ht="12.2" customHeight="1" x14ac:dyDescent="0.15">
      <c r="A241" s="1" t="s">
        <v>444</v>
      </c>
      <c r="B241" s="2" t="s">
        <v>350</v>
      </c>
      <c r="C241" s="2" t="s">
        <v>296</v>
      </c>
      <c r="D241" s="2" t="s">
        <v>431</v>
      </c>
      <c r="E241" s="6">
        <v>2300</v>
      </c>
      <c r="F241" s="18">
        <v>453055</v>
      </c>
      <c r="G241" s="18">
        <f>192294-1962</f>
        <v>190332</v>
      </c>
      <c r="H241" s="18">
        <f>61310+64288</f>
        <v>125598</v>
      </c>
      <c r="I241" s="18">
        <f>7028+1683</f>
        <v>8711</v>
      </c>
      <c r="J241" s="18">
        <f>39985+26344+272</f>
        <v>66601</v>
      </c>
      <c r="K241" s="18">
        <v>4129</v>
      </c>
      <c r="L241" s="13">
        <f t="shared" si="4"/>
        <v>848426</v>
      </c>
      <c r="M241" s="8"/>
      <c r="N241" s="165"/>
    </row>
    <row r="242" spans="1:14" s="3" customFormat="1" ht="12.2" customHeight="1" x14ac:dyDescent="0.15">
      <c r="A242" s="1" t="s">
        <v>445</v>
      </c>
      <c r="B242" s="2" t="s">
        <v>350</v>
      </c>
      <c r="C242" s="2" t="s">
        <v>297</v>
      </c>
      <c r="D242" s="2" t="s">
        <v>431</v>
      </c>
      <c r="E242" s="6">
        <v>2400</v>
      </c>
      <c r="F242" s="18">
        <f>271147+31099</f>
        <v>302246</v>
      </c>
      <c r="G242" s="18">
        <f>151445+18635</f>
        <v>170080</v>
      </c>
      <c r="H242" s="18">
        <v>11687</v>
      </c>
      <c r="I242" s="18">
        <v>3480</v>
      </c>
      <c r="J242" s="18"/>
      <c r="K242" s="18">
        <v>8485</v>
      </c>
      <c r="L242" s="13">
        <f t="shared" si="4"/>
        <v>495978</v>
      </c>
      <c r="M242" s="8"/>
      <c r="N242" s="165"/>
    </row>
    <row r="243" spans="1:14" s="3" customFormat="1" ht="12.2" customHeight="1" x14ac:dyDescent="0.15">
      <c r="A243" s="1" t="s">
        <v>446</v>
      </c>
      <c r="B243" s="2" t="s">
        <v>350</v>
      </c>
      <c r="C243" s="2" t="s">
        <v>298</v>
      </c>
      <c r="D243" s="2" t="s">
        <v>431</v>
      </c>
      <c r="E243" s="6">
        <v>2500</v>
      </c>
      <c r="F243" s="18">
        <v>97647</v>
      </c>
      <c r="G243" s="18">
        <v>48780</v>
      </c>
      <c r="H243" s="18"/>
      <c r="I243" s="18"/>
      <c r="J243" s="18"/>
      <c r="K243" s="18"/>
      <c r="L243" s="13">
        <f t="shared" si="4"/>
        <v>146427</v>
      </c>
      <c r="M243" s="8"/>
      <c r="N243" s="165"/>
    </row>
    <row r="244" spans="1:14" s="3" customFormat="1" ht="12.2" customHeight="1" x14ac:dyDescent="0.15">
      <c r="A244" s="1" t="s">
        <v>447</v>
      </c>
      <c r="B244" s="2" t="s">
        <v>350</v>
      </c>
      <c r="C244" s="2" t="s">
        <v>299</v>
      </c>
      <c r="D244" s="2" t="s">
        <v>431</v>
      </c>
      <c r="E244" s="6">
        <v>2600</v>
      </c>
      <c r="F244" s="18">
        <f>109387+121031+15305</f>
        <v>245723</v>
      </c>
      <c r="G244" s="18">
        <f>44089+66445+9897</f>
        <v>120431</v>
      </c>
      <c r="H244" s="18">
        <f>119242+68641+15980</f>
        <v>203863</v>
      </c>
      <c r="I244" s="18">
        <f>179930+2206+2139</f>
        <v>184275</v>
      </c>
      <c r="J244" s="18">
        <f>475+304</f>
        <v>779</v>
      </c>
      <c r="K244" s="18">
        <v>814</v>
      </c>
      <c r="L244" s="13">
        <f t="shared" si="4"/>
        <v>755885</v>
      </c>
      <c r="M244" s="8"/>
      <c r="N244" s="165"/>
    </row>
    <row r="245" spans="1:14" s="3" customFormat="1" ht="12.2" customHeight="1" x14ac:dyDescent="0.15">
      <c r="A245" s="1" t="s">
        <v>448</v>
      </c>
      <c r="B245" s="2" t="s">
        <v>350</v>
      </c>
      <c r="C245" s="2" t="s">
        <v>300</v>
      </c>
      <c r="D245" s="2" t="s">
        <v>431</v>
      </c>
      <c r="E245" s="6">
        <v>2700</v>
      </c>
      <c r="F245" s="18"/>
      <c r="G245" s="18"/>
      <c r="H245" s="18">
        <f>39074+393238</f>
        <v>432312</v>
      </c>
      <c r="I245" s="18">
        <v>35893</v>
      </c>
      <c r="J245" s="18">
        <v>9532</v>
      </c>
      <c r="K245" s="18"/>
      <c r="L245" s="13">
        <f t="shared" si="4"/>
        <v>477737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v>16958</v>
      </c>
      <c r="L246" s="13">
        <f>SUM(F246:K246)</f>
        <v>16958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3821404</v>
      </c>
      <c r="G248" s="38">
        <f t="shared" si="5"/>
        <v>1922848</v>
      </c>
      <c r="H248" s="38">
        <f t="shared" si="5"/>
        <v>1757349</v>
      </c>
      <c r="I248" s="38">
        <f t="shared" si="5"/>
        <v>311780</v>
      </c>
      <c r="J248" s="38">
        <f t="shared" si="5"/>
        <v>117294.9</v>
      </c>
      <c r="K248" s="38">
        <f t="shared" si="5"/>
        <v>51653</v>
      </c>
      <c r="L248" s="38">
        <f t="shared" si="5"/>
        <v>7982328.9000000004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7194+76882</f>
        <v>84076</v>
      </c>
      <c r="I256" s="18"/>
      <c r="J256" s="18"/>
      <c r="K256" s="18"/>
      <c r="L256" s="13">
        <f t="shared" si="6"/>
        <v>84076</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84076</v>
      </c>
      <c r="I257" s="38">
        <f t="shared" si="7"/>
        <v>0</v>
      </c>
      <c r="J257" s="38">
        <f t="shared" si="7"/>
        <v>0</v>
      </c>
      <c r="K257" s="38">
        <f t="shared" si="7"/>
        <v>0</v>
      </c>
      <c r="L257" s="38">
        <f>SUM(F257:K257)</f>
        <v>84076</v>
      </c>
      <c r="M257" s="8"/>
      <c r="N257" s="165"/>
    </row>
    <row r="258" spans="1:14" s="3" customFormat="1" ht="12.2" customHeight="1" thickTop="1" x14ac:dyDescent="0.15">
      <c r="A258" s="35" t="s">
        <v>462</v>
      </c>
      <c r="B258" s="37">
        <v>10</v>
      </c>
      <c r="C258" s="37">
        <v>8</v>
      </c>
      <c r="D258" s="36" t="s">
        <v>431</v>
      </c>
      <c r="E258" s="37"/>
      <c r="F258" s="38">
        <f t="shared" ref="F258:L258" si="8">F212+F230+F248+F257</f>
        <v>12078702</v>
      </c>
      <c r="G258" s="38">
        <f t="shared" si="8"/>
        <v>5947852</v>
      </c>
      <c r="H258" s="38">
        <f t="shared" si="8"/>
        <v>4517695</v>
      </c>
      <c r="I258" s="38">
        <f t="shared" si="8"/>
        <v>799518.16999999993</v>
      </c>
      <c r="J258" s="38">
        <f t="shared" si="8"/>
        <v>261455.9</v>
      </c>
      <c r="K258" s="38">
        <f t="shared" si="8"/>
        <v>100816</v>
      </c>
      <c r="L258" s="38">
        <f t="shared" si="8"/>
        <v>23706039.07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1024895</v>
      </c>
      <c r="L261" s="13">
        <f>SUM(F261:K261)</f>
        <v>1024895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30852</v>
      </c>
      <c r="L262" s="13">
        <f>SUM(F262:K262)</f>
        <v>30852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360000</v>
      </c>
      <c r="L267" s="13">
        <f t="shared" si="9"/>
        <v>360000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1415747</v>
      </c>
      <c r="L271" s="38">
        <f t="shared" si="9"/>
        <v>1415747</v>
      </c>
      <c r="M271" s="8"/>
      <c r="N271" s="165"/>
    </row>
    <row r="272" spans="1:14" s="33" customFormat="1" ht="12.2" customHeight="1" thickTop="1" x14ac:dyDescent="0.2">
      <c r="A272" s="40" t="s">
        <v>464</v>
      </c>
      <c r="B272" s="37">
        <v>10</v>
      </c>
      <c r="C272" s="37">
        <v>18</v>
      </c>
      <c r="D272" s="36" t="s">
        <v>431</v>
      </c>
      <c r="E272" s="37"/>
      <c r="F272" s="39">
        <f t="shared" ref="F272:L272" si="11">F258+F271</f>
        <v>12078702</v>
      </c>
      <c r="G272" s="39">
        <f t="shared" si="11"/>
        <v>5947852</v>
      </c>
      <c r="H272" s="39">
        <f t="shared" si="11"/>
        <v>4517695</v>
      </c>
      <c r="I272" s="39">
        <f t="shared" si="11"/>
        <v>799518.16999999993</v>
      </c>
      <c r="J272" s="39">
        <f t="shared" si="11"/>
        <v>261455.9</v>
      </c>
      <c r="K272" s="39">
        <f t="shared" si="11"/>
        <v>1516563</v>
      </c>
      <c r="L272" s="39">
        <f t="shared" si="11"/>
        <v>25121786.07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162639+53703-4926</f>
        <v>211416</v>
      </c>
      <c r="G277" s="18">
        <f>87563+27031</f>
        <v>114594</v>
      </c>
      <c r="H277" s="18">
        <v>1596</v>
      </c>
      <c r="I277" s="18">
        <f>17166+7317</f>
        <v>24483</v>
      </c>
      <c r="J277" s="18">
        <v>29193</v>
      </c>
      <c r="K277" s="18"/>
      <c r="L277" s="13">
        <f>SUM(F277:K277)</f>
        <v>381282</v>
      </c>
      <c r="M277" s="8"/>
      <c r="N277" s="165"/>
    </row>
    <row r="278" spans="1:14" s="3" customFormat="1" ht="12.2" customHeight="1" x14ac:dyDescent="0.15">
      <c r="A278" s="1" t="s">
        <v>439</v>
      </c>
      <c r="B278" s="2" t="s">
        <v>357</v>
      </c>
      <c r="C278" s="2" t="s">
        <v>291</v>
      </c>
      <c r="D278" s="2" t="s">
        <v>431</v>
      </c>
      <c r="E278" s="6">
        <v>1200</v>
      </c>
      <c r="F278" s="18">
        <v>61198</v>
      </c>
      <c r="G278" s="18"/>
      <c r="H278" s="18">
        <v>76050</v>
      </c>
      <c r="I278" s="18"/>
      <c r="J278" s="18">
        <v>6799</v>
      </c>
      <c r="K278" s="18"/>
      <c r="L278" s="13">
        <f>SUM(F278:K278)</f>
        <v>144047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42629</v>
      </c>
      <c r="G280" s="18">
        <v>11683</v>
      </c>
      <c r="H280" s="18">
        <v>13800</v>
      </c>
      <c r="I280" s="18">
        <f>2496+481</f>
        <v>2977</v>
      </c>
      <c r="J280" s="18">
        <v>2199</v>
      </c>
      <c r="K280" s="18">
        <v>2000</v>
      </c>
      <c r="L280" s="13">
        <f>SUM(F280:K280)</f>
        <v>75288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58077+120237</f>
        <v>178314</v>
      </c>
      <c r="G282" s="18">
        <f>619+31024</f>
        <v>31643</v>
      </c>
      <c r="H282" s="18">
        <v>27155</v>
      </c>
      <c r="I282" s="18">
        <f>12486+7198</f>
        <v>19684</v>
      </c>
      <c r="J282" s="18">
        <v>444</v>
      </c>
      <c r="K282" s="18"/>
      <c r="L282" s="13">
        <f t="shared" ref="L282:L288" si="12">SUM(F282:K282)</f>
        <v>257240</v>
      </c>
      <c r="M282" s="8"/>
      <c r="N282" s="165"/>
    </row>
    <row r="283" spans="1:14" s="3" customFormat="1" ht="12.2" customHeight="1" x14ac:dyDescent="0.15">
      <c r="A283" s="1" t="s">
        <v>443</v>
      </c>
      <c r="B283" s="2" t="s">
        <v>357</v>
      </c>
      <c r="C283" s="2" t="s">
        <v>295</v>
      </c>
      <c r="D283" s="2" t="s">
        <v>431</v>
      </c>
      <c r="E283" s="6">
        <v>2200</v>
      </c>
      <c r="F283" s="18"/>
      <c r="G283" s="18"/>
      <c r="H283" s="18"/>
      <c r="I283" s="18">
        <v>3584</v>
      </c>
      <c r="J283" s="18"/>
      <c r="K283" s="18"/>
      <c r="L283" s="13">
        <f t="shared" si="12"/>
        <v>3584</v>
      </c>
      <c r="M283" s="8"/>
      <c r="N283" s="165"/>
    </row>
    <row r="284" spans="1:14" s="3" customFormat="1" ht="12.2" customHeight="1" x14ac:dyDescent="0.15">
      <c r="A284" s="1" t="s">
        <v>444</v>
      </c>
      <c r="B284" s="2" t="s">
        <v>357</v>
      </c>
      <c r="C284" s="2" t="s">
        <v>296</v>
      </c>
      <c r="D284" s="2" t="s">
        <v>431</v>
      </c>
      <c r="E284" s="6">
        <v>2300</v>
      </c>
      <c r="F284" s="18">
        <v>2093</v>
      </c>
      <c r="G284" s="18">
        <v>125</v>
      </c>
      <c r="H284" s="18"/>
      <c r="I284" s="18">
        <v>6021</v>
      </c>
      <c r="J284" s="18">
        <v>14256</v>
      </c>
      <c r="K284" s="18"/>
      <c r="L284" s="13">
        <f t="shared" si="12"/>
        <v>22495</v>
      </c>
      <c r="M284" s="8"/>
      <c r="N284" s="165"/>
    </row>
    <row r="285" spans="1:14" s="3" customFormat="1" ht="12.2" customHeight="1" x14ac:dyDescent="0.15">
      <c r="A285" s="1" t="s">
        <v>445</v>
      </c>
      <c r="B285" s="2" t="s">
        <v>357</v>
      </c>
      <c r="C285" s="2" t="s">
        <v>297</v>
      </c>
      <c r="D285" s="2" t="s">
        <v>431</v>
      </c>
      <c r="E285" s="6">
        <v>2400</v>
      </c>
      <c r="F285" s="18"/>
      <c r="G285" s="18"/>
      <c r="H285" s="18">
        <v>300</v>
      </c>
      <c r="I285" s="18"/>
      <c r="J285" s="18"/>
      <c r="K285" s="18"/>
      <c r="L285" s="13">
        <f t="shared" si="12"/>
        <v>300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f>587+4331</f>
        <v>4918</v>
      </c>
      <c r="J287" s="18"/>
      <c r="K287" s="18"/>
      <c r="L287" s="13">
        <f t="shared" si="12"/>
        <v>4918</v>
      </c>
      <c r="M287" s="8"/>
      <c r="N287" s="165"/>
    </row>
    <row r="288" spans="1:14" s="3" customFormat="1" ht="12.2" customHeight="1" x14ac:dyDescent="0.15">
      <c r="A288" s="1" t="s">
        <v>448</v>
      </c>
      <c r="B288" s="2" t="s">
        <v>357</v>
      </c>
      <c r="C288" s="2" t="s">
        <v>300</v>
      </c>
      <c r="D288" s="2" t="s">
        <v>431</v>
      </c>
      <c r="E288" s="6">
        <v>2700</v>
      </c>
      <c r="F288" s="18"/>
      <c r="G288" s="18"/>
      <c r="H288" s="18">
        <v>356</v>
      </c>
      <c r="I288" s="18"/>
      <c r="J288" s="18"/>
      <c r="K288" s="18"/>
      <c r="L288" s="13">
        <f t="shared" si="12"/>
        <v>356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495650</v>
      </c>
      <c r="G291" s="39">
        <f t="shared" si="13"/>
        <v>158045</v>
      </c>
      <c r="H291" s="39">
        <f t="shared" si="13"/>
        <v>119257</v>
      </c>
      <c r="I291" s="39">
        <f t="shared" si="13"/>
        <v>61667</v>
      </c>
      <c r="J291" s="39">
        <f t="shared" si="13"/>
        <v>52891</v>
      </c>
      <c r="K291" s="39">
        <f t="shared" si="13"/>
        <v>2000</v>
      </c>
      <c r="L291" s="38">
        <f t="shared" si="13"/>
        <v>889510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40000+36286</f>
        <v>76286</v>
      </c>
      <c r="G296" s="18">
        <f>16715+18265</f>
        <v>34980</v>
      </c>
      <c r="H296" s="18">
        <v>1079</v>
      </c>
      <c r="I296" s="18">
        <f>15281+4945</f>
        <v>20226</v>
      </c>
      <c r="J296" s="18">
        <v>19725</v>
      </c>
      <c r="K296" s="18"/>
      <c r="L296" s="13">
        <f>SUM(F296:K296)</f>
        <v>152296</v>
      </c>
      <c r="M296" s="8"/>
      <c r="N296" s="165"/>
    </row>
    <row r="297" spans="1:14" s="3" customFormat="1" ht="12.2" customHeight="1" x14ac:dyDescent="0.15">
      <c r="A297" s="1" t="s">
        <v>439</v>
      </c>
      <c r="B297" s="2" t="s">
        <v>358</v>
      </c>
      <c r="C297" s="2" t="s">
        <v>291</v>
      </c>
      <c r="D297" s="2" t="s">
        <v>431</v>
      </c>
      <c r="E297" s="6">
        <v>1200</v>
      </c>
      <c r="F297" s="18">
        <v>38999</v>
      </c>
      <c r="G297" s="18"/>
      <c r="H297" s="18">
        <v>51385</v>
      </c>
      <c r="I297" s="18"/>
      <c r="J297" s="18">
        <v>4593</v>
      </c>
      <c r="K297" s="18"/>
      <c r="L297" s="13">
        <f>SUM(F297:K297)</f>
        <v>94977</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23206</v>
      </c>
      <c r="G299" s="18">
        <v>5125</v>
      </c>
      <c r="H299" s="18">
        <v>300</v>
      </c>
      <c r="I299" s="18">
        <f>13477+12356+1+325</f>
        <v>26159</v>
      </c>
      <c r="J299" s="18">
        <v>2400</v>
      </c>
      <c r="K299" s="18">
        <v>1000</v>
      </c>
      <c r="L299" s="13">
        <f>SUM(F299:K299)</f>
        <v>58190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34138+81241</f>
        <v>115379</v>
      </c>
      <c r="G301" s="18">
        <f>9923+20962</f>
        <v>30885</v>
      </c>
      <c r="H301" s="18">
        <f>10040-88</f>
        <v>9952</v>
      </c>
      <c r="I301" s="18">
        <v>4864</v>
      </c>
      <c r="J301" s="18">
        <v>300</v>
      </c>
      <c r="K301" s="18"/>
      <c r="L301" s="13">
        <f t="shared" ref="L301:L307" si="14">SUM(F301:K301)</f>
        <v>161380</v>
      </c>
      <c r="M301" s="8"/>
      <c r="N301" s="165"/>
    </row>
    <row r="302" spans="1:14" s="3" customFormat="1" ht="12.2" customHeight="1" x14ac:dyDescent="0.15">
      <c r="A302" s="1" t="s">
        <v>443</v>
      </c>
      <c r="B302" s="2" t="s">
        <v>358</v>
      </c>
      <c r="C302" s="2" t="s">
        <v>295</v>
      </c>
      <c r="D302" s="2" t="s">
        <v>431</v>
      </c>
      <c r="E302" s="6">
        <v>2200</v>
      </c>
      <c r="F302" s="18">
        <v>1800</v>
      </c>
      <c r="G302" s="18">
        <v>509</v>
      </c>
      <c r="H302" s="18">
        <v>18348</v>
      </c>
      <c r="I302" s="18">
        <v>2422</v>
      </c>
      <c r="J302" s="18"/>
      <c r="K302" s="18"/>
      <c r="L302" s="13">
        <f t="shared" si="14"/>
        <v>23079</v>
      </c>
      <c r="M302" s="8"/>
      <c r="N302" s="165"/>
    </row>
    <row r="303" spans="1:14" s="3" customFormat="1" ht="12.2" customHeight="1" x14ac:dyDescent="0.15">
      <c r="A303" s="1" t="s">
        <v>444</v>
      </c>
      <c r="B303" s="2" t="s">
        <v>358</v>
      </c>
      <c r="C303" s="2" t="s">
        <v>296</v>
      </c>
      <c r="D303" s="2" t="s">
        <v>431</v>
      </c>
      <c r="E303" s="6">
        <v>2300</v>
      </c>
      <c r="F303" s="18">
        <v>1414</v>
      </c>
      <c r="G303" s="18">
        <v>84</v>
      </c>
      <c r="H303" s="18"/>
      <c r="I303" s="18">
        <v>4068</v>
      </c>
      <c r="J303" s="18">
        <v>9632</v>
      </c>
      <c r="K303" s="18"/>
      <c r="L303" s="13">
        <f t="shared" si="14"/>
        <v>15198</v>
      </c>
      <c r="M303" s="8"/>
      <c r="N303" s="165"/>
    </row>
    <row r="304" spans="1:14" s="3" customFormat="1" ht="12.2" customHeight="1" x14ac:dyDescent="0.15">
      <c r="A304" s="1" t="s">
        <v>445</v>
      </c>
      <c r="B304" s="2" t="s">
        <v>358</v>
      </c>
      <c r="C304" s="2" t="s">
        <v>297</v>
      </c>
      <c r="D304" s="2" t="s">
        <v>431</v>
      </c>
      <c r="E304" s="6">
        <v>2400</v>
      </c>
      <c r="F304" s="18"/>
      <c r="G304" s="18"/>
      <c r="H304" s="18">
        <v>202</v>
      </c>
      <c r="I304" s="18"/>
      <c r="J304" s="18"/>
      <c r="K304" s="18"/>
      <c r="L304" s="13">
        <f t="shared" si="14"/>
        <v>202</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v>397</v>
      </c>
      <c r="J306" s="18"/>
      <c r="K306" s="18"/>
      <c r="L306" s="13">
        <f t="shared" si="14"/>
        <v>397</v>
      </c>
      <c r="M306" s="8"/>
      <c r="N306" s="165"/>
    </row>
    <row r="307" spans="1:14" s="3" customFormat="1" ht="12.2" customHeight="1" x14ac:dyDescent="0.15">
      <c r="A307" s="1" t="s">
        <v>448</v>
      </c>
      <c r="B307" s="2" t="s">
        <v>358</v>
      </c>
      <c r="C307" s="2" t="s">
        <v>300</v>
      </c>
      <c r="D307" s="2" t="s">
        <v>431</v>
      </c>
      <c r="E307" s="6">
        <v>2700</v>
      </c>
      <c r="F307" s="18"/>
      <c r="G307" s="18"/>
      <c r="H307" s="18">
        <v>3260</v>
      </c>
      <c r="I307" s="18"/>
      <c r="J307" s="18"/>
      <c r="K307" s="18"/>
      <c r="L307" s="13">
        <f t="shared" si="14"/>
        <v>3260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257084</v>
      </c>
      <c r="G310" s="39">
        <f t="shared" si="15"/>
        <v>71583</v>
      </c>
      <c r="H310" s="39">
        <f t="shared" si="15"/>
        <v>84526</v>
      </c>
      <c r="I310" s="39">
        <f t="shared" si="15"/>
        <v>58136</v>
      </c>
      <c r="J310" s="39">
        <f t="shared" si="15"/>
        <v>36650</v>
      </c>
      <c r="K310" s="39">
        <f t="shared" si="15"/>
        <v>1000</v>
      </c>
      <c r="L310" s="38">
        <f t="shared" si="15"/>
        <v>508979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4522+55155</f>
        <v>59677</v>
      </c>
      <c r="G315" s="18">
        <f>891+27762</f>
        <v>28653</v>
      </c>
      <c r="H315" s="18">
        <v>1640</v>
      </c>
      <c r="I315" s="18">
        <f>14700+7515</f>
        <v>22215</v>
      </c>
      <c r="J315" s="18">
        <v>1615</v>
      </c>
      <c r="K315" s="18"/>
      <c r="L315" s="13">
        <f>SUM(F315:K315)</f>
        <v>113800</v>
      </c>
      <c r="M315" s="8"/>
      <c r="N315" s="165"/>
    </row>
    <row r="316" spans="1:14" s="3" customFormat="1" ht="12.2" customHeight="1" x14ac:dyDescent="0.15">
      <c r="A316" s="1" t="s">
        <v>439</v>
      </c>
      <c r="B316" s="2" t="s">
        <v>359</v>
      </c>
      <c r="C316" s="2" t="s">
        <v>291</v>
      </c>
      <c r="D316" s="2" t="s">
        <v>431</v>
      </c>
      <c r="E316" s="6">
        <v>1200</v>
      </c>
      <c r="F316" s="18">
        <v>45099</v>
      </c>
      <c r="G316" s="18">
        <v>431</v>
      </c>
      <c r="H316" s="18">
        <v>78105</v>
      </c>
      <c r="I316" s="18">
        <v>2015</v>
      </c>
      <c r="J316" s="18">
        <v>6982</v>
      </c>
      <c r="K316" s="18"/>
      <c r="L316" s="13">
        <f>SUM(F316:K316)</f>
        <v>132632</v>
      </c>
      <c r="M316" s="8"/>
      <c r="N316" s="165"/>
    </row>
    <row r="317" spans="1:14" s="3" customFormat="1" ht="12.2" customHeight="1" x14ac:dyDescent="0.15">
      <c r="A317" s="1" t="s">
        <v>440</v>
      </c>
      <c r="B317" s="2" t="s">
        <v>359</v>
      </c>
      <c r="C317" s="2" t="s">
        <v>292</v>
      </c>
      <c r="D317" s="2" t="s">
        <v>431</v>
      </c>
      <c r="E317" s="6">
        <v>1300</v>
      </c>
      <c r="F317" s="18">
        <v>1519</v>
      </c>
      <c r="G317" s="18">
        <v>431</v>
      </c>
      <c r="H317" s="18">
        <v>14754</v>
      </c>
      <c r="I317" s="18">
        <v>9322</v>
      </c>
      <c r="J317" s="18">
        <v>9127</v>
      </c>
      <c r="K317" s="18"/>
      <c r="L317" s="13">
        <f>SUM(F317:K317)</f>
        <v>35153</v>
      </c>
      <c r="M317" s="8"/>
      <c r="N317" s="165"/>
    </row>
    <row r="318" spans="1:14" s="3" customFormat="1" ht="12.2" customHeight="1" x14ac:dyDescent="0.15">
      <c r="A318" s="1" t="s">
        <v>441</v>
      </c>
      <c r="B318" s="2" t="s">
        <v>359</v>
      </c>
      <c r="C318" s="2" t="s">
        <v>293</v>
      </c>
      <c r="D318" s="2" t="s">
        <v>431</v>
      </c>
      <c r="E318" s="6">
        <v>1400</v>
      </c>
      <c r="F318" s="18"/>
      <c r="G318" s="18"/>
      <c r="H318" s="18"/>
      <c r="I318" s="18">
        <v>494</v>
      </c>
      <c r="J318" s="18"/>
      <c r="K318" s="18"/>
      <c r="L318" s="13">
        <f>SUM(F318:K318)</f>
        <v>494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123487</v>
      </c>
      <c r="G320" s="18">
        <v>31863</v>
      </c>
      <c r="H320" s="18">
        <f>9950+900</f>
        <v>10850</v>
      </c>
      <c r="I320" s="18">
        <f>2149+7392</f>
        <v>9541</v>
      </c>
      <c r="J320" s="18">
        <f>29982+456</f>
        <v>30438</v>
      </c>
      <c r="K320" s="18"/>
      <c r="L320" s="13">
        <f t="shared" ref="L320:L326" si="16">SUM(F320:K320)</f>
        <v>206179</v>
      </c>
      <c r="M320" s="8"/>
      <c r="N320" s="165"/>
    </row>
    <row r="321" spans="1:14" s="3" customFormat="1" ht="12.2" customHeight="1" x14ac:dyDescent="0.15">
      <c r="A321" s="1" t="s">
        <v>443</v>
      </c>
      <c r="B321" s="2" t="s">
        <v>359</v>
      </c>
      <c r="C321" s="2" t="s">
        <v>295</v>
      </c>
      <c r="D321" s="2" t="s">
        <v>431</v>
      </c>
      <c r="E321" s="6">
        <v>2200</v>
      </c>
      <c r="F321" s="18"/>
      <c r="G321" s="18"/>
      <c r="H321" s="18">
        <f>600+27889</f>
        <v>28489</v>
      </c>
      <c r="I321" s="18">
        <f>13+3681</f>
        <v>3694</v>
      </c>
      <c r="J321" s="18"/>
      <c r="K321" s="18"/>
      <c r="L321" s="13">
        <f t="shared" si="16"/>
        <v>32183</v>
      </c>
      <c r="M321" s="8"/>
      <c r="N321" s="165"/>
    </row>
    <row r="322" spans="1:14" s="3" customFormat="1" ht="12.2" customHeight="1" x14ac:dyDescent="0.15">
      <c r="A322" s="1" t="s">
        <v>444</v>
      </c>
      <c r="B322" s="2" t="s">
        <v>359</v>
      </c>
      <c r="C322" s="2" t="s">
        <v>296</v>
      </c>
      <c r="D322" s="2" t="s">
        <v>431</v>
      </c>
      <c r="E322" s="6">
        <v>2300</v>
      </c>
      <c r="F322" s="18">
        <v>2149</v>
      </c>
      <c r="G322" s="18">
        <v>128</v>
      </c>
      <c r="H322" s="18"/>
      <c r="I322" s="18">
        <v>6183</v>
      </c>
      <c r="J322" s="18">
        <v>14641</v>
      </c>
      <c r="K322" s="18"/>
      <c r="L322" s="13">
        <f t="shared" si="16"/>
        <v>23101</v>
      </c>
      <c r="M322" s="8"/>
      <c r="N322" s="165"/>
    </row>
    <row r="323" spans="1:14" s="3" customFormat="1" ht="12.2" customHeight="1" x14ac:dyDescent="0.15">
      <c r="A323" s="1" t="s">
        <v>445</v>
      </c>
      <c r="B323" s="2" t="s">
        <v>359</v>
      </c>
      <c r="C323" s="2" t="s">
        <v>297</v>
      </c>
      <c r="D323" s="2" t="s">
        <v>431</v>
      </c>
      <c r="E323" s="6">
        <v>2400</v>
      </c>
      <c r="F323" s="18"/>
      <c r="G323" s="18"/>
      <c r="H323" s="18">
        <v>307</v>
      </c>
      <c r="I323" s="18"/>
      <c r="J323" s="18"/>
      <c r="K323" s="18"/>
      <c r="L323" s="13">
        <f t="shared" si="16"/>
        <v>307</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v>603</v>
      </c>
      <c r="J325" s="18"/>
      <c r="K325" s="18"/>
      <c r="L325" s="13">
        <f t="shared" si="16"/>
        <v>603</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231931</v>
      </c>
      <c r="G329" s="39">
        <f t="shared" si="17"/>
        <v>61506</v>
      </c>
      <c r="H329" s="39">
        <f t="shared" si="17"/>
        <v>134145</v>
      </c>
      <c r="I329" s="39">
        <f t="shared" si="17"/>
        <v>54067</v>
      </c>
      <c r="J329" s="39">
        <f t="shared" si="17"/>
        <v>62803</v>
      </c>
      <c r="K329" s="39">
        <f t="shared" si="17"/>
        <v>0</v>
      </c>
      <c r="L329" s="38">
        <f t="shared" si="17"/>
        <v>544452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v>16022</v>
      </c>
      <c r="J337" s="18"/>
      <c r="K337" s="18"/>
      <c r="L337" s="13">
        <f t="shared" si="18"/>
        <v>16022</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16022</v>
      </c>
      <c r="J338" s="38">
        <f t="shared" si="19"/>
        <v>0</v>
      </c>
      <c r="K338" s="38">
        <f t="shared" si="19"/>
        <v>0</v>
      </c>
      <c r="L338" s="38">
        <f t="shared" si="18"/>
        <v>16022</v>
      </c>
      <c r="M338" s="8"/>
      <c r="N338" s="165"/>
    </row>
    <row r="339" spans="1:43" s="3" customFormat="1" ht="12.2" customHeight="1" thickTop="1" x14ac:dyDescent="0.15">
      <c r="A339" s="35" t="s">
        <v>468</v>
      </c>
      <c r="B339" s="37">
        <v>14</v>
      </c>
      <c r="C339" s="37">
        <v>7</v>
      </c>
      <c r="D339" s="36" t="s">
        <v>431</v>
      </c>
      <c r="E339" s="37"/>
      <c r="F339" s="38">
        <f t="shared" ref="F339:L339" si="20">F291+F310+F329+F338</f>
        <v>984665</v>
      </c>
      <c r="G339" s="38">
        <f t="shared" si="20"/>
        <v>291134</v>
      </c>
      <c r="H339" s="38">
        <f t="shared" si="20"/>
        <v>337928</v>
      </c>
      <c r="I339" s="38">
        <f t="shared" si="20"/>
        <v>189892</v>
      </c>
      <c r="J339" s="38">
        <f t="shared" si="20"/>
        <v>152344</v>
      </c>
      <c r="K339" s="38">
        <f t="shared" si="20"/>
        <v>3000</v>
      </c>
      <c r="L339" s="38">
        <f t="shared" si="20"/>
        <v>1958963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77630+2490</f>
        <v>80120</v>
      </c>
      <c r="L345" s="13">
        <f t="shared" ref="L345:L351" si="21">SUM(F345:K345)</f>
        <v>80120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80120</v>
      </c>
      <c r="L352" s="38">
        <f>SUM(L342:L351)</f>
        <v>80120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984665</v>
      </c>
      <c r="G353" s="38">
        <f>G339</f>
        <v>291134</v>
      </c>
      <c r="H353" s="38">
        <f>H339</f>
        <v>337928</v>
      </c>
      <c r="I353" s="38">
        <f>I339</f>
        <v>189892</v>
      </c>
      <c r="J353" s="38">
        <f>J339</f>
        <v>152344</v>
      </c>
      <c r="K353" s="38">
        <f>K339+K352</f>
        <v>83120</v>
      </c>
      <c r="L353" s="38">
        <f>L339+L352</f>
        <v>2039083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82918+26495</f>
        <v>109413</v>
      </c>
      <c r="G359" s="18">
        <f>14327+11809</f>
        <v>26136</v>
      </c>
      <c r="H359" s="18">
        <v>2480</v>
      </c>
      <c r="I359" s="18">
        <f>32011+103495</f>
        <v>135506</v>
      </c>
      <c r="J359" s="18">
        <v>3512</v>
      </c>
      <c r="K359" s="18">
        <v>2130</v>
      </c>
      <c r="L359" s="13">
        <f>SUM(F359:K359)</f>
        <v>279177</v>
      </c>
      <c r="M359" s="8"/>
      <c r="N359" s="165"/>
    </row>
    <row r="360" spans="1:22" s="3" customFormat="1" ht="12.2" customHeight="1" x14ac:dyDescent="0.15">
      <c r="A360" s="1" t="s">
        <v>542</v>
      </c>
      <c r="B360" s="2" t="s">
        <v>366</v>
      </c>
      <c r="C360" s="6">
        <v>2</v>
      </c>
      <c r="D360" s="2" t="s">
        <v>431</v>
      </c>
      <c r="E360" s="6"/>
      <c r="F360" s="18">
        <f>29157+21196</f>
        <v>50353</v>
      </c>
      <c r="G360" s="18">
        <f>2263+9447</f>
        <v>11710</v>
      </c>
      <c r="H360" s="18">
        <v>1984</v>
      </c>
      <c r="I360" s="18">
        <v>82796</v>
      </c>
      <c r="J360" s="18">
        <v>2809</v>
      </c>
      <c r="K360" s="18">
        <v>1704</v>
      </c>
      <c r="L360" s="13">
        <f>SUM(F360:K360)</f>
        <v>151356</v>
      </c>
      <c r="M360" s="8"/>
      <c r="N360" s="165"/>
    </row>
    <row r="361" spans="1:22" s="3" customFormat="1" ht="12.2" customHeight="1" x14ac:dyDescent="0.15">
      <c r="A361" s="3" t="s">
        <v>543</v>
      </c>
      <c r="B361" s="2" t="s">
        <v>366</v>
      </c>
      <c r="C361" s="6">
        <v>3</v>
      </c>
      <c r="D361" s="2" t="s">
        <v>431</v>
      </c>
      <c r="E361" s="6"/>
      <c r="F361" s="18">
        <f>83952+28009</f>
        <v>111961</v>
      </c>
      <c r="G361" s="18">
        <f>14505+12486</f>
        <v>26991</v>
      </c>
      <c r="H361" s="18">
        <v>2624</v>
      </c>
      <c r="I361" s="18">
        <v>109408</v>
      </c>
      <c r="J361" s="18">
        <v>3713</v>
      </c>
      <c r="K361" s="18">
        <f>2254+2</f>
        <v>2256</v>
      </c>
      <c r="L361" s="13">
        <f>SUM(F361:K361)</f>
        <v>256953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271727</v>
      </c>
      <c r="G363" s="38">
        <f t="shared" si="22"/>
        <v>64837</v>
      </c>
      <c r="H363" s="38">
        <f t="shared" si="22"/>
        <v>7088</v>
      </c>
      <c r="I363" s="38">
        <f t="shared" si="22"/>
        <v>327710</v>
      </c>
      <c r="J363" s="38">
        <f t="shared" si="22"/>
        <v>10034</v>
      </c>
      <c r="K363" s="38">
        <f t="shared" si="22"/>
        <v>6090</v>
      </c>
      <c r="L363" s="38">
        <f t="shared" si="22"/>
        <v>687486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87741</v>
      </c>
      <c r="G368" s="18">
        <v>67686</v>
      </c>
      <c r="H368" s="18">
        <v>95261</v>
      </c>
      <c r="I368" s="13">
        <f>SUM(F368:H368)</f>
        <v>250688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26957</v>
      </c>
      <c r="G369" s="53">
        <v>20795</v>
      </c>
      <c r="H369" s="53">
        <v>29270</v>
      </c>
      <c r="I369" s="13">
        <f>SUM(F369:H369)</f>
        <v>77022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114698</v>
      </c>
      <c r="G370" s="38">
        <f>SUM(G368:G369)</f>
        <v>88481</v>
      </c>
      <c r="H370" s="38">
        <f>SUM(H368:H369)</f>
        <v>124531</v>
      </c>
      <c r="I370" s="38">
        <f>SUM(I368:I369)</f>
        <v>327710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2605</v>
      </c>
      <c r="I390" s="18"/>
      <c r="J390" s="23" t="s">
        <v>288</v>
      </c>
      <c r="K390" s="23" t="s">
        <v>288</v>
      </c>
      <c r="L390" s="13">
        <f t="shared" si="25"/>
        <v>2605</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360000</v>
      </c>
      <c r="H393" s="18">
        <v>1109</v>
      </c>
      <c r="I393" s="18"/>
      <c r="J393" s="23" t="s">
        <v>288</v>
      </c>
      <c r="K393" s="23" t="s">
        <v>288</v>
      </c>
      <c r="L393" s="13">
        <f t="shared" si="25"/>
        <v>361109</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360000</v>
      </c>
      <c r="H394" s="97">
        <f>SUM(H388:H393)</f>
        <v>3714</v>
      </c>
      <c r="I394" s="54">
        <f>SUM(I388:I393)</f>
        <v>0</v>
      </c>
      <c r="J394" s="42" t="s">
        <v>288</v>
      </c>
      <c r="K394" s="42" t="s">
        <v>288</v>
      </c>
      <c r="L394" s="38">
        <f>SUM(L388:L393)</f>
        <v>363714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360000</v>
      </c>
      <c r="H409" s="38">
        <f>H394+H402+H408</f>
        <v>3714</v>
      </c>
      <c r="I409" s="38">
        <f>I394+I402+I408</f>
        <v>0</v>
      </c>
      <c r="J409" s="23" t="s">
        <v>288</v>
      </c>
      <c r="K409" s="23" t="s">
        <v>288</v>
      </c>
      <c r="L409" s="38">
        <f>L394+L402+L408</f>
        <v>363714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v>81773</v>
      </c>
      <c r="L416" s="13">
        <f t="shared" si="27"/>
        <v>81773</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v>40603</v>
      </c>
      <c r="L419" s="13">
        <f t="shared" si="27"/>
        <v>40603</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122376</v>
      </c>
      <c r="L420" s="38">
        <f t="shared" si="28"/>
        <v>122376</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122376</v>
      </c>
      <c r="L435" s="38">
        <f t="shared" si="32"/>
        <v>122376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2105822</v>
      </c>
      <c r="G440" s="18"/>
      <c r="H440" s="18"/>
      <c r="I440" s="13">
        <f t="shared" ref="I440:I446" si="33">SUM(F440:H440)</f>
        <v>2105822</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2105822</v>
      </c>
      <c r="G447" s="13">
        <f>SUM(G440:G446)</f>
        <v>0</v>
      </c>
      <c r="H447" s="13">
        <f>SUM(H440:H446)</f>
        <v>0</v>
      </c>
      <c r="I447" s="13">
        <f>SUM(I440:I446)</f>
        <v>2105822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110408</v>
      </c>
      <c r="G449" s="18"/>
      <c r="H449" s="18"/>
      <c r="I449" s="13">
        <f>SUM(F449:H449)</f>
        <v>110408</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110408</v>
      </c>
      <c r="G453" s="57">
        <f>SUM(G449:G452)</f>
        <v>0</v>
      </c>
      <c r="H453" s="57">
        <f>SUM(H449:H452)</f>
        <v>0</v>
      </c>
      <c r="I453" s="57">
        <f>SUM(I449:I452)</f>
        <v>110408</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1995414</v>
      </c>
      <c r="G460" s="18"/>
      <c r="H460" s="18"/>
      <c r="I460" s="13">
        <f t="shared" si="34"/>
        <v>1995414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1995414</v>
      </c>
      <c r="G461" s="65">
        <f>SUM(G455:G460)</f>
        <v>0</v>
      </c>
      <c r="H461" s="65">
        <f>SUM(H455:H460)</f>
        <v>0</v>
      </c>
      <c r="I461" s="65">
        <f>SUM(I455:I460)</f>
        <v>1995414</v>
      </c>
      <c r="J461" s="23" t="s">
        <v>288</v>
      </c>
      <c r="K461" s="23" t="s">
        <v>288</v>
      </c>
      <c r="L461" s="23" t="s">
        <v>288</v>
      </c>
      <c r="N461" s="131"/>
    </row>
    <row r="462" spans="1:86" ht="12.2" customHeight="1" thickTop="1" x14ac:dyDescent="0.2">
      <c r="A462" s="40" t="s">
        <v>424</v>
      </c>
      <c r="B462" s="41">
        <v>18</v>
      </c>
      <c r="C462" s="64">
        <v>21</v>
      </c>
      <c r="D462" s="114" t="s">
        <v>432</v>
      </c>
      <c r="E462" s="64"/>
      <c r="F462" s="39">
        <f>F453+F461</f>
        <v>2105822</v>
      </c>
      <c r="G462" s="39">
        <f>G453+G461</f>
        <v>0</v>
      </c>
      <c r="H462" s="39">
        <f>H453+H461</f>
        <v>0</v>
      </c>
      <c r="I462" s="39">
        <f>I453+I461</f>
        <v>2105822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3735262</v>
      </c>
      <c r="G466" s="18">
        <v>134009</v>
      </c>
      <c r="H466" s="18"/>
      <c r="I466" s="18"/>
      <c r="J466" s="18">
        <f>1573667+180409</f>
        <v>1754076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23716291+0.07</f>
        <v>23716291.07</v>
      </c>
      <c r="G469" s="18">
        <f>1016887</f>
        <v>1016887</v>
      </c>
      <c r="H469" s="18">
        <v>2039083</v>
      </c>
      <c r="I469" s="18"/>
      <c r="J469" s="18">
        <v>363714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23716291.07</v>
      </c>
      <c r="G471" s="19">
        <f>SUM(G469:G470)</f>
        <v>1016887</v>
      </c>
      <c r="H471" s="19">
        <f>SUM(H469:H470)</f>
        <v>2039083</v>
      </c>
      <c r="I471" s="19">
        <f>SUM(I469:I470)</f>
        <v>0</v>
      </c>
      <c r="J471" s="19">
        <f>SUM(J469:J470)</f>
        <v>363714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25121786+0.07</f>
        <v>25121786.07</v>
      </c>
      <c r="G473" s="18">
        <v>687486</v>
      </c>
      <c r="H473" s="18">
        <v>2039083</v>
      </c>
      <c r="I473" s="18"/>
      <c r="J473" s="18">
        <v>122376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25121786.07</v>
      </c>
      <c r="G475" s="19">
        <f>SUM(G473:G474)</f>
        <v>687486</v>
      </c>
      <c r="H475" s="19">
        <f>SUM(H473:H474)</f>
        <v>2039083</v>
      </c>
      <c r="I475" s="19">
        <f>SUM(I473:I474)</f>
        <v>0</v>
      </c>
      <c r="J475" s="19">
        <f>SUM(J473:J474)</f>
        <v>122376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2329767</v>
      </c>
      <c r="G477" s="19">
        <f>(G466+G471)- G475</f>
        <v>463410</v>
      </c>
      <c r="H477" s="19">
        <f>(H466+H471)- H475</f>
        <v>0</v>
      </c>
      <c r="I477" s="19">
        <f>(I466+I471)- I475</f>
        <v>0</v>
      </c>
      <c r="J477" s="19">
        <f>(J466+J471)- J475</f>
        <v>1995414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v>15</v>
      </c>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t="s">
        <v>1804</v>
      </c>
      <c r="H492" s="111"/>
      <c r="I492" s="111"/>
      <c r="J492" s="111"/>
      <c r="K492" s="23" t="s">
        <v>288</v>
      </c>
      <c r="L492" s="23" t="s">
        <v>288</v>
      </c>
      <c r="N492" s="131"/>
    </row>
    <row r="493" spans="1:14" ht="12.2" customHeight="1" x14ac:dyDescent="0.2">
      <c r="A493" s="21" t="s">
        <v>616</v>
      </c>
      <c r="B493" s="22">
        <v>20</v>
      </c>
      <c r="C493" s="22">
        <v>3</v>
      </c>
      <c r="D493" s="2" t="s">
        <v>432</v>
      </c>
      <c r="E493" s="22"/>
      <c r="F493" s="112" t="s">
        <v>1803</v>
      </c>
      <c r="G493" s="112" t="s">
        <v>1805</v>
      </c>
      <c r="H493" s="111"/>
      <c r="I493" s="111"/>
      <c r="J493" s="111"/>
      <c r="K493" s="23" t="s">
        <v>288</v>
      </c>
      <c r="L493" s="23" t="s">
        <v>288</v>
      </c>
      <c r="N493" s="131"/>
    </row>
    <row r="494" spans="1:14" ht="12.2" customHeight="1" x14ac:dyDescent="0.2">
      <c r="A494" s="21" t="s">
        <v>617</v>
      </c>
      <c r="B494" s="22">
        <v>20</v>
      </c>
      <c r="C494" s="22">
        <v>4</v>
      </c>
      <c r="D494" s="2" t="s">
        <v>432</v>
      </c>
      <c r="E494" s="22"/>
      <c r="F494" s="18">
        <v>8625000</v>
      </c>
      <c r="G494" s="18">
        <v>3396240</v>
      </c>
      <c r="H494" s="18"/>
      <c r="I494" s="18"/>
      <c r="J494" s="18"/>
      <c r="K494" s="23" t="s">
        <v>288</v>
      </c>
      <c r="L494" s="23" t="s">
        <v>288</v>
      </c>
      <c r="N494" s="131"/>
    </row>
    <row r="495" spans="1:14" ht="12.2" customHeight="1" x14ac:dyDescent="0.2">
      <c r="A495" s="21" t="s">
        <v>618</v>
      </c>
      <c r="B495" s="22">
        <v>20</v>
      </c>
      <c r="C495" s="22">
        <v>5</v>
      </c>
      <c r="D495" s="2" t="s">
        <v>432</v>
      </c>
      <c r="E495" s="22"/>
      <c r="F495" s="18">
        <v>3.19</v>
      </c>
      <c r="G495" s="18">
        <v>1.4</v>
      </c>
      <c r="H495" s="18"/>
      <c r="I495" s="18"/>
      <c r="J495" s="18"/>
      <c r="K495" s="23" t="s">
        <v>288</v>
      </c>
      <c r="L495" s="23" t="s">
        <v>288</v>
      </c>
      <c r="N495" s="131"/>
    </row>
    <row r="496" spans="1:14" ht="12.2" customHeight="1" x14ac:dyDescent="0.2">
      <c r="A496" s="21" t="s">
        <v>619</v>
      </c>
      <c r="B496" s="22">
        <v>20</v>
      </c>
      <c r="C496" s="22">
        <v>6</v>
      </c>
      <c r="D496" s="2" t="s">
        <v>432</v>
      </c>
      <c r="E496" s="22"/>
      <c r="F496" s="18">
        <v>795000</v>
      </c>
      <c r="G496" s="18">
        <v>696189</v>
      </c>
      <c r="H496" s="18"/>
      <c r="I496" s="18"/>
      <c r="J496" s="18"/>
      <c r="K496" s="19">
        <f>SUM(F496:J496)</f>
        <v>1491189</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795000</v>
      </c>
      <c r="G498" s="18">
        <v>230047</v>
      </c>
      <c r="H498" s="18"/>
      <c r="I498" s="18"/>
      <c r="J498" s="18"/>
      <c r="K498" s="19">
        <f t="shared" si="35"/>
        <v>1025047</v>
      </c>
      <c r="L498" s="23" t="s">
        <v>288</v>
      </c>
      <c r="N498" s="131"/>
    </row>
    <row r="499" spans="1:14" ht="12.2" customHeight="1" x14ac:dyDescent="0.2">
      <c r="A499" s="144" t="s">
        <v>622</v>
      </c>
      <c r="B499" s="145">
        <v>20</v>
      </c>
      <c r="C499" s="145">
        <v>9</v>
      </c>
      <c r="D499" s="146" t="s">
        <v>432</v>
      </c>
      <c r="E499" s="145"/>
      <c r="F499" s="147">
        <v>0</v>
      </c>
      <c r="G499" s="147">
        <v>465519</v>
      </c>
      <c r="H499" s="147"/>
      <c r="I499" s="147"/>
      <c r="J499" s="147"/>
      <c r="K499" s="148">
        <f t="shared" si="35"/>
        <v>465519</v>
      </c>
      <c r="L499" s="149" t="s">
        <v>288</v>
      </c>
      <c r="N499" s="131"/>
    </row>
    <row r="500" spans="1:14" ht="12.2" customHeight="1" thickBot="1" x14ac:dyDescent="0.25">
      <c r="A500" s="21" t="s">
        <v>623</v>
      </c>
      <c r="B500" s="22">
        <v>20</v>
      </c>
      <c r="C500" s="22">
        <v>10</v>
      </c>
      <c r="D500" s="2" t="s">
        <v>432</v>
      </c>
      <c r="E500" s="22"/>
      <c r="F500" s="18">
        <v>0</v>
      </c>
      <c r="G500" s="18">
        <v>9782</v>
      </c>
      <c r="H500" s="18"/>
      <c r="I500" s="18"/>
      <c r="J500" s="18"/>
      <c r="K500" s="19">
        <f t="shared" si="35"/>
        <v>9782</v>
      </c>
      <c r="L500" s="23" t="s">
        <v>288</v>
      </c>
      <c r="N500" s="131"/>
    </row>
    <row r="501" spans="1:14" ht="12.2" customHeight="1" thickTop="1" x14ac:dyDescent="0.2">
      <c r="A501" s="97" t="s">
        <v>624</v>
      </c>
      <c r="B501" s="41">
        <v>20</v>
      </c>
      <c r="C501" s="41">
        <v>11</v>
      </c>
      <c r="D501" s="36" t="s">
        <v>432</v>
      </c>
      <c r="E501" s="41"/>
      <c r="F501" s="39">
        <f>SUM(F499:F500)</f>
        <v>0</v>
      </c>
      <c r="G501" s="39">
        <f>SUM(G499:G500)</f>
        <v>475301</v>
      </c>
      <c r="H501" s="39">
        <f>SUM(H499:H500)</f>
        <v>0</v>
      </c>
      <c r="I501" s="39">
        <f>SUM(I499:I500)</f>
        <v>0</v>
      </c>
      <c r="J501" s="39">
        <f>SUM(J499:J500)</f>
        <v>0</v>
      </c>
      <c r="K501" s="39">
        <f t="shared" si="35"/>
        <v>475301</v>
      </c>
      <c r="L501" s="42" t="s">
        <v>288</v>
      </c>
      <c r="N501" s="131"/>
    </row>
    <row r="502" spans="1:14" ht="12.2" customHeight="1" x14ac:dyDescent="0.2">
      <c r="A502" s="144" t="s">
        <v>651</v>
      </c>
      <c r="B502" s="145">
        <v>20</v>
      </c>
      <c r="C502" s="145">
        <v>12</v>
      </c>
      <c r="D502" s="146" t="s">
        <v>432</v>
      </c>
      <c r="E502" s="145"/>
      <c r="F502" s="147">
        <v>0</v>
      </c>
      <c r="G502" s="147">
        <v>231138</v>
      </c>
      <c r="H502" s="147"/>
      <c r="I502" s="147"/>
      <c r="J502" s="147"/>
      <c r="K502" s="148">
        <f t="shared" si="35"/>
        <v>231138</v>
      </c>
      <c r="L502" s="149" t="s">
        <v>288</v>
      </c>
      <c r="N502" s="131"/>
    </row>
    <row r="503" spans="1:14" ht="12.2" customHeight="1" thickBot="1" x14ac:dyDescent="0.25">
      <c r="A503" s="21" t="s">
        <v>625</v>
      </c>
      <c r="B503" s="22">
        <v>20</v>
      </c>
      <c r="C503" s="22">
        <v>13</v>
      </c>
      <c r="D503" s="2" t="s">
        <v>432</v>
      </c>
      <c r="E503" s="22"/>
      <c r="F503" s="18">
        <v>0</v>
      </c>
      <c r="G503" s="18">
        <v>9753</v>
      </c>
      <c r="H503" s="18"/>
      <c r="I503" s="18"/>
      <c r="J503" s="18"/>
      <c r="K503" s="19">
        <f t="shared" si="35"/>
        <v>9753</v>
      </c>
      <c r="L503" s="23" t="s">
        <v>288</v>
      </c>
      <c r="N503" s="131"/>
    </row>
    <row r="504" spans="1:14" ht="12.2" customHeight="1" thickTop="1" x14ac:dyDescent="0.2">
      <c r="A504" s="97" t="s">
        <v>626</v>
      </c>
      <c r="B504" s="41">
        <v>20</v>
      </c>
      <c r="C504" s="41">
        <v>14</v>
      </c>
      <c r="D504" s="36" t="s">
        <v>432</v>
      </c>
      <c r="E504" s="41"/>
      <c r="F504" s="39">
        <f>SUM(F502:F503)</f>
        <v>0</v>
      </c>
      <c r="G504" s="39">
        <f>SUM(G502:G503)</f>
        <v>240891</v>
      </c>
      <c r="H504" s="39">
        <f>SUM(H502:H503)</f>
        <v>0</v>
      </c>
      <c r="I504" s="39">
        <f>SUM(I502:I503)</f>
        <v>0</v>
      </c>
      <c r="J504" s="39">
        <f>SUM(J502:J503)</f>
        <v>0</v>
      </c>
      <c r="K504" s="39">
        <f t="shared" si="35"/>
        <v>240891</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943153</v>
      </c>
      <c r="G522" s="18">
        <v>400515</v>
      </c>
      <c r="H522" s="18">
        <v>748654</v>
      </c>
      <c r="I522" s="18">
        <v>8224</v>
      </c>
      <c r="J522" s="18">
        <v>6799</v>
      </c>
      <c r="K522" s="18">
        <v>1157</v>
      </c>
      <c r="L522" s="69">
        <f>SUM(F522:K522)</f>
        <v>2108502</v>
      </c>
      <c r="N522" s="131"/>
    </row>
    <row r="523" spans="1:14" ht="12.2" customHeight="1" x14ac:dyDescent="0.2">
      <c r="A523" s="21" t="s">
        <v>634</v>
      </c>
      <c r="B523" s="22">
        <v>21</v>
      </c>
      <c r="C523" s="22">
        <v>2</v>
      </c>
      <c r="D523" s="2" t="s">
        <v>432</v>
      </c>
      <c r="E523" s="22"/>
      <c r="F523" s="18">
        <v>409196</v>
      </c>
      <c r="G523" s="18">
        <v>138419</v>
      </c>
      <c r="H523" s="18">
        <v>596520</v>
      </c>
      <c r="I523" s="18">
        <v>4475</v>
      </c>
      <c r="J523" s="18">
        <v>4593</v>
      </c>
      <c r="K523" s="18">
        <v>4475</v>
      </c>
      <c r="L523" s="69">
        <f>SUM(F523:K523)</f>
        <v>1157678</v>
      </c>
      <c r="N523" s="131"/>
    </row>
    <row r="524" spans="1:14" ht="12.2" customHeight="1" thickBot="1" x14ac:dyDescent="0.25">
      <c r="A524" s="21" t="s">
        <v>635</v>
      </c>
      <c r="B524" s="22">
        <v>21</v>
      </c>
      <c r="C524" s="22">
        <v>3</v>
      </c>
      <c r="D524" s="2" t="s">
        <v>432</v>
      </c>
      <c r="E524" s="22"/>
      <c r="F524" s="18">
        <v>576643</v>
      </c>
      <c r="G524" s="18">
        <v>226083</v>
      </c>
      <c r="H524" s="18">
        <v>779153</v>
      </c>
      <c r="I524" s="18">
        <v>9051</v>
      </c>
      <c r="J524" s="18">
        <v>7767</v>
      </c>
      <c r="K524" s="18">
        <v>6103</v>
      </c>
      <c r="L524" s="69">
        <f>SUM(F524:K524)</f>
        <v>1604800</v>
      </c>
      <c r="N524" s="131"/>
    </row>
    <row r="525" spans="1:14" ht="12.2" customHeight="1" thickTop="1" x14ac:dyDescent="0.2">
      <c r="A525" s="97" t="s">
        <v>63</v>
      </c>
      <c r="B525" s="41">
        <v>21</v>
      </c>
      <c r="C525" s="41">
        <v>4</v>
      </c>
      <c r="D525" s="115" t="s">
        <v>432</v>
      </c>
      <c r="E525" s="41"/>
      <c r="F525" s="81">
        <f>SUM(F522:F524)</f>
        <v>1928992</v>
      </c>
      <c r="G525" s="81">
        <f t="shared" ref="G525:L525" si="36">SUM(G522:G524)</f>
        <v>765017</v>
      </c>
      <c r="H525" s="81">
        <f t="shared" si="36"/>
        <v>2124327</v>
      </c>
      <c r="I525" s="81">
        <f t="shared" si="36"/>
        <v>21750</v>
      </c>
      <c r="J525" s="81">
        <f t="shared" si="36"/>
        <v>19159</v>
      </c>
      <c r="K525" s="81">
        <f t="shared" si="36"/>
        <v>11735</v>
      </c>
      <c r="L525" s="70">
        <f t="shared" si="36"/>
        <v>4870980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110842+21959</f>
        <v>132801</v>
      </c>
      <c r="G527" s="18">
        <v>71846</v>
      </c>
      <c r="H527" s="18"/>
      <c r="I527" s="18">
        <v>5079</v>
      </c>
      <c r="J527" s="18"/>
      <c r="K527" s="18"/>
      <c r="L527" s="69">
        <f>SUM(F527:K527)</f>
        <v>209726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132801</v>
      </c>
      <c r="G530" s="70">
        <f t="shared" ref="G530:L530" si="37">SUM(G527:G529)</f>
        <v>71846</v>
      </c>
      <c r="H530" s="70">
        <f t="shared" si="37"/>
        <v>0</v>
      </c>
      <c r="I530" s="70">
        <f t="shared" si="37"/>
        <v>5079</v>
      </c>
      <c r="J530" s="70">
        <f t="shared" si="37"/>
        <v>0</v>
      </c>
      <c r="K530" s="70">
        <f t="shared" si="37"/>
        <v>0</v>
      </c>
      <c r="L530" s="70">
        <f t="shared" si="37"/>
        <v>209726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73475</v>
      </c>
      <c r="G532" s="18">
        <v>39151</v>
      </c>
      <c r="H532" s="18"/>
      <c r="I532" s="18"/>
      <c r="J532" s="18"/>
      <c r="K532" s="18"/>
      <c r="L532" s="69">
        <f>SUM(F532:K532)</f>
        <v>112626</v>
      </c>
      <c r="M532" s="8"/>
      <c r="N532" s="165"/>
    </row>
    <row r="533" spans="1:14" s="3" customFormat="1" ht="12.2" customHeight="1" x14ac:dyDescent="0.15">
      <c r="A533" s="21" t="s">
        <v>634</v>
      </c>
      <c r="B533" s="22">
        <v>21</v>
      </c>
      <c r="C533" s="22">
        <v>10</v>
      </c>
      <c r="D533" s="2" t="s">
        <v>432</v>
      </c>
      <c r="E533" s="22"/>
      <c r="F533" s="18">
        <v>58780</v>
      </c>
      <c r="G533" s="18">
        <v>31321</v>
      </c>
      <c r="H533" s="18"/>
      <c r="I533" s="18"/>
      <c r="J533" s="18"/>
      <c r="K533" s="18"/>
      <c r="L533" s="69">
        <f>SUM(F533:K533)</f>
        <v>90101</v>
      </c>
      <c r="M533" s="8"/>
      <c r="N533" s="165"/>
    </row>
    <row r="534" spans="1:14" s="3" customFormat="1" ht="12.2" customHeight="1" thickBot="1" x14ac:dyDescent="0.2">
      <c r="A534" s="21" t="s">
        <v>635</v>
      </c>
      <c r="B534" s="22">
        <v>21</v>
      </c>
      <c r="C534" s="22">
        <v>11</v>
      </c>
      <c r="D534" s="2" t="s">
        <v>432</v>
      </c>
      <c r="E534" s="22"/>
      <c r="F534" s="18">
        <v>77674</v>
      </c>
      <c r="G534" s="18">
        <v>41388</v>
      </c>
      <c r="H534" s="18"/>
      <c r="I534" s="18"/>
      <c r="J534" s="18"/>
      <c r="K534" s="18"/>
      <c r="L534" s="69">
        <f>SUM(F534:K534)</f>
        <v>119062</v>
      </c>
      <c r="M534" s="8"/>
      <c r="N534" s="165"/>
    </row>
    <row r="535" spans="1:14" s="3" customFormat="1" ht="12.2" customHeight="1" thickTop="1" x14ac:dyDescent="0.15">
      <c r="A535" s="97" t="s">
        <v>67</v>
      </c>
      <c r="B535" s="41">
        <v>21</v>
      </c>
      <c r="C535" s="41">
        <v>12</v>
      </c>
      <c r="D535" s="115" t="s">
        <v>432</v>
      </c>
      <c r="E535" s="41"/>
      <c r="F535" s="70">
        <f>SUM(F532:F534)</f>
        <v>209929</v>
      </c>
      <c r="G535" s="70">
        <f t="shared" ref="G535:L535" si="38">SUM(G532:G534)</f>
        <v>111860</v>
      </c>
      <c r="H535" s="70">
        <f t="shared" si="38"/>
        <v>0</v>
      </c>
      <c r="I535" s="70">
        <f t="shared" si="38"/>
        <v>0</v>
      </c>
      <c r="J535" s="70">
        <f t="shared" si="38"/>
        <v>0</v>
      </c>
      <c r="K535" s="70">
        <f t="shared" si="38"/>
        <v>0</v>
      </c>
      <c r="L535" s="70">
        <f t="shared" si="38"/>
        <v>321789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882</v>
      </c>
      <c r="I537" s="18"/>
      <c r="J537" s="18"/>
      <c r="K537" s="18"/>
      <c r="L537" s="69">
        <f>SUM(F537:K537)</f>
        <v>882</v>
      </c>
      <c r="M537" s="8"/>
      <c r="N537" s="165"/>
    </row>
    <row r="538" spans="1:14" s="3" customFormat="1" ht="12.2" customHeight="1" x14ac:dyDescent="0.15">
      <c r="A538" s="21" t="s">
        <v>634</v>
      </c>
      <c r="B538" s="22">
        <v>21</v>
      </c>
      <c r="C538" s="22">
        <v>14</v>
      </c>
      <c r="D538" s="2" t="s">
        <v>432</v>
      </c>
      <c r="E538" s="22"/>
      <c r="F538" s="18"/>
      <c r="G538" s="18"/>
      <c r="H538" s="18">
        <v>680</v>
      </c>
      <c r="I538" s="18"/>
      <c r="J538" s="18"/>
      <c r="K538" s="18"/>
      <c r="L538" s="69">
        <f>SUM(F538:K538)</f>
        <v>680</v>
      </c>
      <c r="M538" s="8"/>
      <c r="N538" s="165"/>
    </row>
    <row r="539" spans="1:14" s="3" customFormat="1" ht="12.2" customHeight="1" thickBot="1" x14ac:dyDescent="0.2">
      <c r="A539" s="21" t="s">
        <v>635</v>
      </c>
      <c r="B539" s="22">
        <v>21</v>
      </c>
      <c r="C539" s="22">
        <v>15</v>
      </c>
      <c r="D539" s="2" t="s">
        <v>432</v>
      </c>
      <c r="E539" s="22"/>
      <c r="F539" s="18"/>
      <c r="G539" s="18"/>
      <c r="H539" s="18">
        <v>957</v>
      </c>
      <c r="I539" s="18"/>
      <c r="J539" s="18"/>
      <c r="K539" s="18"/>
      <c r="L539" s="69">
        <f>SUM(F539:K539)</f>
        <v>957</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2519</v>
      </c>
      <c r="I540" s="70">
        <f t="shared" si="39"/>
        <v>0</v>
      </c>
      <c r="J540" s="70">
        <f t="shared" si="39"/>
        <v>0</v>
      </c>
      <c r="K540" s="70">
        <f t="shared" si="39"/>
        <v>0</v>
      </c>
      <c r="L540" s="70">
        <f t="shared" si="39"/>
        <v>2519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95197</v>
      </c>
      <c r="I542" s="18"/>
      <c r="J542" s="18"/>
      <c r="K542" s="18"/>
      <c r="L542" s="69">
        <f>SUM(F542:K542)</f>
        <v>95197</v>
      </c>
      <c r="M542" s="8"/>
      <c r="N542" s="165"/>
    </row>
    <row r="543" spans="1:14" s="3" customFormat="1" ht="12.2" customHeight="1" x14ac:dyDescent="0.15">
      <c r="A543" s="21" t="s">
        <v>634</v>
      </c>
      <c r="B543" s="22">
        <v>21</v>
      </c>
      <c r="C543" s="22">
        <v>18</v>
      </c>
      <c r="D543" s="2" t="s">
        <v>432</v>
      </c>
      <c r="E543" s="22"/>
      <c r="F543" s="18"/>
      <c r="G543" s="18"/>
      <c r="H543" s="18">
        <v>76157</v>
      </c>
      <c r="I543" s="18"/>
      <c r="J543" s="18"/>
      <c r="K543" s="18"/>
      <c r="L543" s="69">
        <f>SUM(F543:K543)</f>
        <v>76157</v>
      </c>
      <c r="M543" s="8"/>
      <c r="N543" s="165"/>
    </row>
    <row r="544" spans="1:14" s="3" customFormat="1" ht="12.2" customHeight="1" thickBot="1" x14ac:dyDescent="0.2">
      <c r="A544" s="21" t="s">
        <v>635</v>
      </c>
      <c r="B544" s="22">
        <v>21</v>
      </c>
      <c r="C544" s="22">
        <v>19</v>
      </c>
      <c r="D544" s="2" t="s">
        <v>432</v>
      </c>
      <c r="E544" s="22"/>
      <c r="F544" s="18"/>
      <c r="G544" s="18"/>
      <c r="H544" s="18">
        <v>100637</v>
      </c>
      <c r="I544" s="18"/>
      <c r="J544" s="18"/>
      <c r="K544" s="18"/>
      <c r="L544" s="69">
        <f>SUM(F544:K544)</f>
        <v>100637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271991</v>
      </c>
      <c r="I545" s="141">
        <f t="shared" si="40"/>
        <v>0</v>
      </c>
      <c r="J545" s="141">
        <f t="shared" si="40"/>
        <v>0</v>
      </c>
      <c r="K545" s="141">
        <f t="shared" si="40"/>
        <v>0</v>
      </c>
      <c r="L545" s="141">
        <f t="shared" si="40"/>
        <v>271991</v>
      </c>
      <c r="M545" s="8"/>
      <c r="N545" s="165"/>
    </row>
    <row r="546" spans="1:14" s="3" customFormat="1" ht="12.2" customHeight="1" thickTop="1" x14ac:dyDescent="0.15">
      <c r="A546" s="75" t="s">
        <v>72</v>
      </c>
      <c r="B546" s="41">
        <v>21</v>
      </c>
      <c r="C546" s="41">
        <v>21</v>
      </c>
      <c r="D546" s="115" t="s">
        <v>432</v>
      </c>
      <c r="E546" s="41"/>
      <c r="F546" s="70">
        <f>F525+F530+F535+F540+F545</f>
        <v>2271722</v>
      </c>
      <c r="G546" s="70">
        <f t="shared" ref="G546:L546" si="41">G525+G530+G535+G540+G545</f>
        <v>948723</v>
      </c>
      <c r="H546" s="70">
        <f t="shared" si="41"/>
        <v>2398837</v>
      </c>
      <c r="I546" s="70">
        <f t="shared" si="41"/>
        <v>26829</v>
      </c>
      <c r="J546" s="70">
        <f t="shared" si="41"/>
        <v>19159</v>
      </c>
      <c r="K546" s="70">
        <f t="shared" si="41"/>
        <v>11735</v>
      </c>
      <c r="L546" s="70">
        <f t="shared" si="41"/>
        <v>5677005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2108502</v>
      </c>
      <c r="G550" s="69">
        <f>L527</f>
        <v>209726</v>
      </c>
      <c r="H550" s="69">
        <f>L532</f>
        <v>112626</v>
      </c>
      <c r="I550" s="69">
        <f>L537</f>
        <v>882</v>
      </c>
      <c r="J550" s="69">
        <f>L542</f>
        <v>95197</v>
      </c>
      <c r="K550" s="69">
        <f>SUM(F550:J550)</f>
        <v>2526933</v>
      </c>
      <c r="L550" s="23" t="s">
        <v>288</v>
      </c>
      <c r="M550" s="8"/>
      <c r="N550" s="165"/>
    </row>
    <row r="551" spans="1:14" s="3" customFormat="1" ht="12.2" customHeight="1" x14ac:dyDescent="0.15">
      <c r="A551" s="21" t="s">
        <v>634</v>
      </c>
      <c r="B551" s="22">
        <v>21</v>
      </c>
      <c r="C551" s="22">
        <v>23</v>
      </c>
      <c r="D551" s="2" t="s">
        <v>432</v>
      </c>
      <c r="E551" s="22"/>
      <c r="F551" s="69">
        <f>L523</f>
        <v>1157678</v>
      </c>
      <c r="G551" s="69">
        <f>L528</f>
        <v>0</v>
      </c>
      <c r="H551" s="69">
        <f>L533</f>
        <v>90101</v>
      </c>
      <c r="I551" s="69">
        <f>L538</f>
        <v>680</v>
      </c>
      <c r="J551" s="69">
        <f>L543</f>
        <v>76157</v>
      </c>
      <c r="K551" s="69">
        <f>SUM(F551:J551)</f>
        <v>1324616</v>
      </c>
      <c r="L551" s="23" t="s">
        <v>288</v>
      </c>
      <c r="M551" s="8"/>
      <c r="N551" s="165"/>
    </row>
    <row r="552" spans="1:14" s="3" customFormat="1" ht="12.2" customHeight="1" thickBot="1" x14ac:dyDescent="0.2">
      <c r="A552" s="21" t="s">
        <v>635</v>
      </c>
      <c r="B552" s="22">
        <v>21</v>
      </c>
      <c r="C552" s="22">
        <v>24</v>
      </c>
      <c r="D552" s="2" t="s">
        <v>432</v>
      </c>
      <c r="E552" s="22"/>
      <c r="F552" s="69">
        <f>L524</f>
        <v>1604800</v>
      </c>
      <c r="G552" s="69">
        <f>L529</f>
        <v>0</v>
      </c>
      <c r="H552" s="69">
        <f>L534</f>
        <v>119062</v>
      </c>
      <c r="I552" s="69">
        <f>L539</f>
        <v>957</v>
      </c>
      <c r="J552" s="69">
        <f>L544</f>
        <v>100637</v>
      </c>
      <c r="K552" s="69">
        <f>SUM(F552:J552)</f>
        <v>1825456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4870980</v>
      </c>
      <c r="G553" s="70">
        <f t="shared" si="42"/>
        <v>209726</v>
      </c>
      <c r="H553" s="70">
        <f t="shared" si="42"/>
        <v>321789</v>
      </c>
      <c r="I553" s="70">
        <f t="shared" si="42"/>
        <v>2519</v>
      </c>
      <c r="J553" s="70">
        <f t="shared" si="42"/>
        <v>271991</v>
      </c>
      <c r="K553" s="70">
        <f t="shared" si="42"/>
        <v>5677005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26142</v>
      </c>
      <c r="G563" s="18">
        <v>5368</v>
      </c>
      <c r="H563" s="18">
        <v>42</v>
      </c>
      <c r="I563" s="18"/>
      <c r="J563" s="18"/>
      <c r="K563" s="18"/>
      <c r="L563" s="69">
        <f>SUM(F563:K563)</f>
        <v>31552</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26142</v>
      </c>
      <c r="G566" s="70">
        <f t="shared" si="44"/>
        <v>5368</v>
      </c>
      <c r="H566" s="70">
        <f t="shared" si="44"/>
        <v>42</v>
      </c>
      <c r="I566" s="70">
        <f t="shared" si="44"/>
        <v>0</v>
      </c>
      <c r="J566" s="70">
        <f t="shared" si="44"/>
        <v>0</v>
      </c>
      <c r="K566" s="70">
        <f t="shared" si="44"/>
        <v>0</v>
      </c>
      <c r="L566" s="70">
        <f t="shared" si="44"/>
        <v>31552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26142</v>
      </c>
      <c r="G572" s="70">
        <f t="shared" ref="G572:L572" si="46">G561+G566+G571</f>
        <v>5368</v>
      </c>
      <c r="H572" s="70">
        <f t="shared" si="46"/>
        <v>42</v>
      </c>
      <c r="I572" s="70">
        <f t="shared" si="46"/>
        <v>0</v>
      </c>
      <c r="J572" s="70">
        <f t="shared" si="46"/>
        <v>0</v>
      </c>
      <c r="K572" s="70">
        <f t="shared" si="46"/>
        <v>0</v>
      </c>
      <c r="L572" s="70">
        <f t="shared" si="46"/>
        <v>31552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87193</v>
      </c>
      <c r="G583" s="18">
        <v>69755</v>
      </c>
      <c r="H583" s="18">
        <v>92176</v>
      </c>
      <c r="I583" s="69">
        <f t="shared" si="47"/>
        <v>249124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132291</v>
      </c>
      <c r="I585" s="69">
        <f t="shared" si="47"/>
        <v>132291</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314879+1645</f>
        <v>316524</v>
      </c>
      <c r="I592" s="18">
        <f>242907+4920</f>
        <v>247827</v>
      </c>
      <c r="J592" s="18">
        <f>341869-6565</f>
        <v>335304</v>
      </c>
      <c r="K592" s="80">
        <f t="shared" ref="K592:K598" si="48">SUM(H592:J592)</f>
        <v>899655</v>
      </c>
      <c r="L592" s="23" t="s">
        <v>288</v>
      </c>
      <c r="M592" s="8"/>
      <c r="N592" s="165"/>
    </row>
    <row r="593" spans="1:14" s="3" customFormat="1" ht="12.2" customHeight="1" x14ac:dyDescent="0.15">
      <c r="A593" s="3" t="s">
        <v>638</v>
      </c>
      <c r="B593" s="22">
        <v>23</v>
      </c>
      <c r="C593" s="22">
        <v>2</v>
      </c>
      <c r="D593" s="2" t="s">
        <v>432</v>
      </c>
      <c r="E593" s="22"/>
      <c r="F593" s="78">
        <v>2722</v>
      </c>
      <c r="G593" s="79" t="s">
        <v>97</v>
      </c>
      <c r="H593" s="18">
        <v>90423</v>
      </c>
      <c r="I593" s="18">
        <v>69756</v>
      </c>
      <c r="J593" s="18">
        <v>98174</v>
      </c>
      <c r="K593" s="80">
        <f t="shared" si="48"/>
        <v>258353</v>
      </c>
      <c r="L593" s="23" t="s">
        <v>288</v>
      </c>
      <c r="M593" s="8"/>
      <c r="N593" s="165"/>
    </row>
    <row r="594" spans="1:14" s="3" customFormat="1" ht="12.2" customHeight="1" x14ac:dyDescent="0.15">
      <c r="A594" s="3" t="s">
        <v>639</v>
      </c>
      <c r="B594" s="22">
        <v>23</v>
      </c>
      <c r="C594" s="22">
        <v>3</v>
      </c>
      <c r="D594" s="2" t="s">
        <v>432</v>
      </c>
      <c r="E594" s="22"/>
      <c r="F594" s="78">
        <v>2723</v>
      </c>
      <c r="G594" s="79" t="s">
        <v>97</v>
      </c>
      <c r="H594" s="18">
        <v>4773</v>
      </c>
      <c r="I594" s="18">
        <v>3682</v>
      </c>
      <c r="J594" s="18">
        <v>5183</v>
      </c>
      <c r="K594" s="80">
        <f t="shared" si="48"/>
        <v>13638</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9314</v>
      </c>
      <c r="J595" s="18">
        <v>36499</v>
      </c>
      <c r="K595" s="80">
        <f t="shared" si="48"/>
        <v>45813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4460</v>
      </c>
      <c r="I596" s="18">
        <v>5032</v>
      </c>
      <c r="J596" s="18">
        <v>2577</v>
      </c>
      <c r="K596" s="80">
        <f t="shared" si="48"/>
        <v>12069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416180</v>
      </c>
      <c r="I599" s="81">
        <f>SUM(I592:I598)</f>
        <v>335611</v>
      </c>
      <c r="J599" s="81">
        <f>SUM(J592:J598)</f>
        <v>477737</v>
      </c>
      <c r="K599" s="81">
        <f>SUM(K592:K598)</f>
        <v>1229528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130503</v>
      </c>
      <c r="I605" s="18">
        <v>103199</v>
      </c>
      <c r="J605" s="18">
        <f>180097+0.9</f>
        <v>180097.9</v>
      </c>
      <c r="K605" s="80">
        <f>SUM(H605:J605)</f>
        <v>413799.9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130503</v>
      </c>
      <c r="I606" s="81">
        <f>SUM(I603:I605)</f>
        <v>103199</v>
      </c>
      <c r="J606" s="81">
        <f>SUM(J603:J605)</f>
        <v>180097.9</v>
      </c>
      <c r="K606" s="81">
        <f>SUM(K603:K605)</f>
        <v>413799.9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2388024</v>
      </c>
      <c r="H618" s="80">
        <f>SUM(F52)</f>
        <v>2388024</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478913</v>
      </c>
      <c r="H619" s="80">
        <f>SUM(G52)</f>
        <v>478913</v>
      </c>
      <c r="I619" s="87" t="s">
        <v>876</v>
      </c>
      <c r="J619" s="80">
        <f>G619-H619</f>
        <v>0</v>
      </c>
      <c r="K619" s="80"/>
      <c r="L619" s="80"/>
      <c r="M619" s="8"/>
    </row>
    <row r="620" spans="1:14" s="3" customFormat="1" ht="12.2" customHeight="1" x14ac:dyDescent="0.15">
      <c r="A620" s="74"/>
      <c r="B620" s="22"/>
      <c r="C620" s="22"/>
      <c r="D620" s="22"/>
      <c r="E620" s="22"/>
      <c r="F620" s="87" t="s">
        <v>685</v>
      </c>
      <c r="G620" s="80">
        <f>SUM(H19)</f>
        <v>719371</v>
      </c>
      <c r="H620" s="80">
        <f>SUM(H52)</f>
        <v>719371</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2105822</v>
      </c>
      <c r="H622" s="80">
        <f>SUM(J52)</f>
        <v>2105822</v>
      </c>
      <c r="I622" s="87" t="s">
        <v>879</v>
      </c>
      <c r="J622" s="80">
        <f>G622-H622</f>
        <v>0</v>
      </c>
      <c r="K622" s="80"/>
      <c r="L622" s="80"/>
      <c r="M622" s="8"/>
    </row>
    <row r="623" spans="1:14" s="3" customFormat="1" ht="12.2" customHeight="1" x14ac:dyDescent="0.15">
      <c r="A623" s="74"/>
      <c r="B623" s="22"/>
      <c r="C623" s="22"/>
      <c r="D623" s="22"/>
      <c r="E623" s="22"/>
      <c r="F623" s="87" t="s">
        <v>865</v>
      </c>
      <c r="G623" s="80">
        <f>F51</f>
        <v>2329767</v>
      </c>
      <c r="H623" s="80">
        <f>F477</f>
        <v>2329767</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463410</v>
      </c>
      <c r="H624" s="80">
        <f>G477</f>
        <v>463410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1995414</v>
      </c>
      <c r="H627" s="80">
        <f>J477</f>
        <v>1995414</v>
      </c>
      <c r="I627" s="87" t="s">
        <v>105</v>
      </c>
      <c r="J627" s="80">
        <f t="shared" si="50"/>
        <v>0</v>
      </c>
      <c r="K627" s="67"/>
      <c r="L627" s="69"/>
      <c r="M627" s="8"/>
    </row>
    <row r="628" spans="1:13" s="3" customFormat="1" ht="12.2" customHeight="1" x14ac:dyDescent="0.15">
      <c r="A628" s="21"/>
      <c r="B628" s="22"/>
      <c r="C628" s="22"/>
      <c r="D628" s="22"/>
      <c r="E628" s="22"/>
      <c r="F628" s="86" t="s">
        <v>658</v>
      </c>
      <c r="G628" s="80">
        <f>F194</f>
        <v>23716291.07</v>
      </c>
      <c r="H628" s="80">
        <f>SUM(F469)</f>
        <v>23716291.07</v>
      </c>
      <c r="I628" s="87" t="s">
        <v>106</v>
      </c>
      <c r="J628" s="80">
        <f>G628-H628</f>
        <v>0</v>
      </c>
      <c r="K628" s="67"/>
      <c r="L628" s="69"/>
      <c r="M628" s="8"/>
    </row>
    <row r="629" spans="1:13" s="3" customFormat="1" ht="12.2" customHeight="1" x14ac:dyDescent="0.15">
      <c r="A629" s="21"/>
      <c r="B629" s="22"/>
      <c r="C629" s="22"/>
      <c r="D629" s="22"/>
      <c r="E629" s="22"/>
      <c r="F629" s="86" t="s">
        <v>659</v>
      </c>
      <c r="G629" s="80">
        <f>G194</f>
        <v>1016887</v>
      </c>
      <c r="H629" s="80">
        <f>SUM(G469)</f>
        <v>1016887</v>
      </c>
      <c r="I629" s="87" t="s">
        <v>107</v>
      </c>
      <c r="J629" s="80">
        <f>G629-H629</f>
        <v>0</v>
      </c>
      <c r="K629" s="67"/>
      <c r="L629" s="69"/>
      <c r="M629" s="8"/>
    </row>
    <row r="630" spans="1:13" s="3" customFormat="1" ht="12.2" customHeight="1" x14ac:dyDescent="0.15">
      <c r="A630" s="21"/>
      <c r="B630" s="22"/>
      <c r="C630" s="22"/>
      <c r="D630" s="22"/>
      <c r="E630" s="22"/>
      <c r="F630" s="86" t="s">
        <v>660</v>
      </c>
      <c r="G630" s="80">
        <f>H194</f>
        <v>2039083</v>
      </c>
      <c r="H630" s="80">
        <f>SUM(H469)</f>
        <v>2039083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363714</v>
      </c>
      <c r="H632" s="80">
        <f>SUM(J469)</f>
        <v>363714</v>
      </c>
      <c r="I632" s="87" t="s">
        <v>110</v>
      </c>
      <c r="J632" s="80">
        <f>G632-H632</f>
        <v>0</v>
      </c>
      <c r="K632" s="67"/>
      <c r="L632" s="69"/>
      <c r="M632" s="8"/>
    </row>
    <row r="633" spans="1:13" s="3" customFormat="1" ht="12.2" customHeight="1" x14ac:dyDescent="0.15">
      <c r="A633" s="21"/>
      <c r="B633" s="22"/>
      <c r="C633" s="22"/>
      <c r="D633" s="22"/>
      <c r="E633" s="22"/>
      <c r="F633" s="86" t="s">
        <v>394</v>
      </c>
      <c r="G633" s="80">
        <f>SUM(L272)</f>
        <v>25121786.07</v>
      </c>
      <c r="H633" s="80">
        <f>SUM(F473)</f>
        <v>25121786.07</v>
      </c>
      <c r="I633" s="87" t="s">
        <v>111</v>
      </c>
      <c r="J633" s="80">
        <f t="shared" si="50"/>
        <v>0</v>
      </c>
      <c r="K633" s="67"/>
      <c r="L633" s="69"/>
      <c r="M633" s="8"/>
    </row>
    <row r="634" spans="1:13" s="3" customFormat="1" ht="12.2" customHeight="1" x14ac:dyDescent="0.15">
      <c r="A634" s="21"/>
      <c r="B634" s="22"/>
      <c r="C634" s="22"/>
      <c r="D634" s="22"/>
      <c r="E634" s="22"/>
      <c r="F634" s="86" t="s">
        <v>395</v>
      </c>
      <c r="G634" s="80">
        <f>SUM(L353)</f>
        <v>2039083</v>
      </c>
      <c r="H634" s="80">
        <f>SUM(H473)</f>
        <v>2039083</v>
      </c>
      <c r="I634" s="87" t="s">
        <v>112</v>
      </c>
      <c r="J634" s="80">
        <f>G634-H634</f>
        <v>0</v>
      </c>
      <c r="K634" s="67"/>
      <c r="L634" s="69"/>
      <c r="M634" s="8"/>
    </row>
    <row r="635" spans="1:13" s="124" customFormat="1" ht="12.2" customHeight="1" x14ac:dyDescent="0.15">
      <c r="A635" s="21"/>
      <c r="B635" s="22"/>
      <c r="C635" s="22"/>
      <c r="D635" s="22"/>
      <c r="E635" s="22"/>
      <c r="F635" s="99" t="s">
        <v>247</v>
      </c>
      <c r="G635" s="80">
        <f>I363</f>
        <v>327710</v>
      </c>
      <c r="H635" s="80">
        <f>I370</f>
        <v>327710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687486</v>
      </c>
      <c r="H636" s="80">
        <f>SUM(G473)</f>
        <v>687486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363714</v>
      </c>
      <c r="H638" s="108">
        <f>SUM(J469)</f>
        <v>363714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122376</v>
      </c>
      <c r="H639" s="108">
        <f>SUM(J473)</f>
        <v>122376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2105822</v>
      </c>
      <c r="H640" s="80">
        <f>SUM(F462)</f>
        <v>2105822</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2105822</v>
      </c>
      <c r="H643" s="80">
        <f>SUM(I462)</f>
        <v>2105822</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3714</v>
      </c>
      <c r="H645" s="80">
        <f>H409</f>
        <v>3714</v>
      </c>
      <c r="I645" s="87" t="s">
        <v>480</v>
      </c>
      <c r="J645" s="80">
        <f t="shared" si="50"/>
        <v>0</v>
      </c>
      <c r="K645" s="67"/>
      <c r="L645" s="69"/>
      <c r="M645" s="8"/>
    </row>
    <row r="646" spans="1:13" s="3" customFormat="1" ht="12.2" customHeight="1" x14ac:dyDescent="0.15">
      <c r="A646" s="21"/>
      <c r="B646" s="22"/>
      <c r="C646" s="22"/>
      <c r="D646" s="22"/>
      <c r="E646" s="22"/>
      <c r="F646" s="86" t="s">
        <v>664</v>
      </c>
      <c r="G646" s="80">
        <f>J184</f>
        <v>360000</v>
      </c>
      <c r="H646" s="80">
        <f>G409</f>
        <v>360000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363714</v>
      </c>
      <c r="H647" s="80">
        <f>L409</f>
        <v>363714</v>
      </c>
      <c r="I647" s="87" t="s">
        <v>477</v>
      </c>
      <c r="J647" s="80">
        <f t="shared" si="50"/>
        <v>0</v>
      </c>
      <c r="K647" s="67"/>
      <c r="L647" s="69"/>
      <c r="M647" s="8"/>
    </row>
    <row r="648" spans="1:13" s="3" customFormat="1" ht="12.2" customHeight="1" x14ac:dyDescent="0.15">
      <c r="A648" s="21"/>
      <c r="B648" s="22"/>
      <c r="C648" s="22"/>
      <c r="D648" s="22"/>
      <c r="E648" s="22"/>
      <c r="F648" s="86" t="s">
        <v>51</v>
      </c>
      <c r="G648" s="80">
        <f>K599</f>
        <v>1229528</v>
      </c>
      <c r="H648" s="80">
        <f>L209+L227+L245</f>
        <v>1229528</v>
      </c>
      <c r="I648" s="87" t="s">
        <v>396</v>
      </c>
      <c r="J648" s="80">
        <f t="shared" si="50"/>
        <v>0</v>
      </c>
      <c r="K648" s="67"/>
      <c r="L648" s="69"/>
      <c r="M648" s="8"/>
    </row>
    <row r="649" spans="1:13" s="3" customFormat="1" ht="12.2" customHeight="1" x14ac:dyDescent="0.15">
      <c r="A649" s="21"/>
      <c r="B649" s="22"/>
      <c r="C649" s="22"/>
      <c r="D649" s="22"/>
      <c r="E649" s="22"/>
      <c r="F649" s="86" t="s">
        <v>52</v>
      </c>
      <c r="G649" s="80">
        <f>K606</f>
        <v>413799.9</v>
      </c>
      <c r="H649" s="80">
        <f>(J258+J339)-(J256+J337)</f>
        <v>413799.9</v>
      </c>
      <c r="I649" s="87" t="s">
        <v>699</v>
      </c>
      <c r="J649" s="80">
        <f t="shared" si="50"/>
        <v>0</v>
      </c>
      <c r="K649" s="67"/>
      <c r="L649" s="69"/>
      <c r="M649" s="8"/>
    </row>
    <row r="650" spans="1:13" s="3" customFormat="1" ht="12.2" customHeight="1" x14ac:dyDescent="0.15">
      <c r="A650" s="21"/>
      <c r="B650" s="22"/>
      <c r="C650" s="22"/>
      <c r="D650" s="22"/>
      <c r="E650" s="22"/>
      <c r="F650" s="86" t="s">
        <v>387</v>
      </c>
      <c r="G650" s="80">
        <f>L209</f>
        <v>416180</v>
      </c>
      <c r="H650" s="80">
        <f>H599</f>
        <v>416180</v>
      </c>
      <c r="I650" s="87" t="s">
        <v>388</v>
      </c>
      <c r="J650" s="80">
        <f t="shared" si="50"/>
        <v>0</v>
      </c>
      <c r="K650" s="67"/>
      <c r="L650" s="69"/>
      <c r="M650" s="8"/>
    </row>
    <row r="651" spans="1:13" s="3" customFormat="1" ht="12.2" customHeight="1" x14ac:dyDescent="0.15">
      <c r="A651" s="21"/>
      <c r="B651" s="22"/>
      <c r="C651" s="22"/>
      <c r="D651" s="22"/>
      <c r="E651" s="22"/>
      <c r="F651" s="86" t="s">
        <v>392</v>
      </c>
      <c r="G651" s="80">
        <f>L227</f>
        <v>335611</v>
      </c>
      <c r="H651" s="80">
        <f>I599</f>
        <v>335611</v>
      </c>
      <c r="I651" s="87" t="s">
        <v>389</v>
      </c>
      <c r="J651" s="80">
        <f t="shared" si="50"/>
        <v>0</v>
      </c>
      <c r="K651" s="67"/>
      <c r="L651" s="69"/>
      <c r="M651" s="8"/>
    </row>
    <row r="652" spans="1:13" s="3" customFormat="1" ht="12.2" customHeight="1" x14ac:dyDescent="0.15">
      <c r="A652" s="21"/>
      <c r="B652" s="22"/>
      <c r="C652" s="22"/>
      <c r="D652" s="22"/>
      <c r="E652" s="22"/>
      <c r="F652" s="86" t="s">
        <v>393</v>
      </c>
      <c r="G652" s="80">
        <f>L245</f>
        <v>477737</v>
      </c>
      <c r="H652" s="80">
        <f>J599</f>
        <v>477737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360000</v>
      </c>
      <c r="H656" s="80">
        <f>K267+K348</f>
        <v>360000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10926458.17</v>
      </c>
      <c r="G661" s="13">
        <f>(L230+L310+L360)</f>
        <v>6542198</v>
      </c>
      <c r="H661" s="13">
        <f>(L248+L329+L361)</f>
        <v>8783733.9000000004</v>
      </c>
      <c r="I661" s="13">
        <f>SUM(F661:H661)</f>
        <v>26252390.07</v>
      </c>
      <c r="J661" s="13"/>
      <c r="K661" s="13"/>
      <c r="L661" s="13"/>
      <c r="M661" s="9"/>
    </row>
    <row r="662" spans="1:13" s="3" customFormat="1" ht="12.2" customHeight="1" x14ac:dyDescent="0.2">
      <c r="A662" s="1" t="s">
        <v>127</v>
      </c>
      <c r="F662" s="13">
        <f>(L359/IF(SUM(L359:L361)=0,1,SUM(L359:L361))*(SUM(G97:G110)))</f>
        <v>36875.667309588847</v>
      </c>
      <c r="G662" s="13">
        <f>(L360/IF(SUM(L359:L361)=0,1,SUM(L359:L361))*(SUM(G97:G110)))</f>
        <v>19992.168055785864</v>
      </c>
      <c r="H662" s="13">
        <f>(L361/IF(SUM(L359:L361)=0,1,SUM(L359:L361))*(SUM(G97:G110)))</f>
        <v>33940.164634625282</v>
      </c>
      <c r="I662" s="13">
        <f>SUM(F662:H662)</f>
        <v>90808</v>
      </c>
      <c r="J662"/>
      <c r="K662" s="13"/>
      <c r="L662" s="13"/>
      <c r="M662" s="8"/>
    </row>
    <row r="663" spans="1:13" s="3" customFormat="1" ht="12.2" customHeight="1" x14ac:dyDescent="0.2">
      <c r="A663" s="1" t="s">
        <v>128</v>
      </c>
      <c r="F663" s="13">
        <f>(L209+L288)-(J209+J288)</f>
        <v>416536</v>
      </c>
      <c r="G663" s="13">
        <f>(L227+L307)-(J227+J307)</f>
        <v>338871</v>
      </c>
      <c r="H663" s="13">
        <f>(L245+L326)-(J245+J326)</f>
        <v>468205</v>
      </c>
      <c r="I663" s="13">
        <f>SUM(F663:H663)</f>
        <v>1223612</v>
      </c>
      <c r="J663"/>
      <c r="K663" s="13"/>
      <c r="L663" s="13"/>
      <c r="M663" s="9"/>
    </row>
    <row r="664" spans="1:13" s="3" customFormat="1" ht="12.2" customHeight="1" x14ac:dyDescent="0.15">
      <c r="A664" s="142" t="s">
        <v>129</v>
      </c>
      <c r="B664" s="124"/>
      <c r="C664" s="124"/>
      <c r="D664" s="124"/>
      <c r="E664" s="124"/>
      <c r="F664" s="143">
        <f>SUM(F576:F588)+SUM(H603:H605)+SUM(L612)</f>
        <v>217696</v>
      </c>
      <c r="G664" s="143">
        <f>SUM(G576:G588)+SUM(I603:I605)+L613</f>
        <v>172954</v>
      </c>
      <c r="H664" s="143">
        <f>SUM(H576:H588)+SUM(J603:J605)+L614</f>
        <v>404564.9</v>
      </c>
      <c r="I664" s="13">
        <f>SUM(F664:H664)</f>
        <v>795214.9</v>
      </c>
      <c r="J664" s="13"/>
      <c r="K664" s="13"/>
      <c r="L664" s="13"/>
      <c r="M664" s="9"/>
    </row>
    <row r="665" spans="1:13" s="3" customFormat="1" ht="12.2" customHeight="1" x14ac:dyDescent="0.15">
      <c r="A665" s="1" t="s">
        <v>130</v>
      </c>
      <c r="F665" s="13">
        <f>F661-SUM(F662:F664)</f>
        <v>10255350.50269041</v>
      </c>
      <c r="G665" s="13">
        <f>G661-SUM(G662:G664)</f>
        <v>6010380.8319442142</v>
      </c>
      <c r="H665" s="13">
        <f>H661-SUM(H662:H664)</f>
        <v>7877023.8353653755</v>
      </c>
      <c r="I665" s="13">
        <f>I661-SUM(I662:I664)</f>
        <v>24142755.170000002</v>
      </c>
      <c r="J665" s="13"/>
      <c r="K665" s="13"/>
      <c r="L665" s="13"/>
      <c r="M665" s="8"/>
    </row>
    <row r="666" spans="1:13" s="3" customFormat="1" ht="12.2" customHeight="1" x14ac:dyDescent="0.2">
      <c r="A666" s="1" t="s">
        <v>131</v>
      </c>
      <c r="F666" s="183">
        <v>516.04999999999995</v>
      </c>
      <c r="G666" s="184">
        <v>326.75</v>
      </c>
      <c r="H666" s="184">
        <v>431.14</v>
      </c>
      <c r="I666" s="13">
        <f>SUM(F666:H666)</f>
        <v>1273.94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19872.78</v>
      </c>
      <c r="G668" s="13">
        <f>ROUND(G665/G666,2)</f>
        <v>18394.43</v>
      </c>
      <c r="H668" s="13">
        <f>ROUND(H665/H666,2)</f>
        <v>18270.22</v>
      </c>
      <c r="I668" s="13">
        <f>ROUND(I665/I666,2)</f>
        <v>18951.25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-12.23</v>
      </c>
      <c r="I671" s="13">
        <f>SUM(F671:H671)</f>
        <v>-12.23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19872.78</v>
      </c>
      <c r="G673" s="13">
        <f>ROUND((G665+G670)/(G666+G671),2)</f>
        <v>18394.43</v>
      </c>
      <c r="H673" s="13">
        <f>ROUND((H665+H670)/(H666+H671),2)</f>
        <v>18803.62</v>
      </c>
      <c r="I673" s="13">
        <f>ROUND((I665+I670)/(I666+I671),2)</f>
        <v>19134.95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130" zoomScaleNormal="130" workbookViewId="0">
      <selection activeCell="E16" sqref="E16"/>
    </sheetView>
  </sheetViews>
  <sheetFormatPr defaultColWidth="9.1640625" defaultRowHeight="15" x14ac:dyDescent="0.25"/>
  <cols>
    <col min="1" max="2" width="9.1640625" style="262"/>
    <col min="3" max="3" width="154.5" style="262" customWidth="1"/>
    <col min="4" max="4" width="9.1640625" style="262"/>
    <col min="5" max="5" width="14.1640625" style="262" customWidth="1"/>
    <col min="6" max="6" width="13.1640625" style="262" customWidth="1"/>
    <col min="7" max="7" width="9.1640625" style="262"/>
    <col min="8" max="8" width="23.1640625" style="262" customWidth="1"/>
    <col min="9" max="9" width="14.1640625" style="262" customWidth="1"/>
    <col min="10" max="16384" width="9.16406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177165</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102886</v>
      </c>
      <c r="F9" s="276" t="s">
        <v>1644</v>
      </c>
    </row>
    <row r="10" spans="2:8" x14ac:dyDescent="0.25">
      <c r="B10" s="275"/>
      <c r="C10" s="275"/>
      <c r="D10" s="275"/>
      <c r="E10" s="275"/>
      <c r="F10" s="275"/>
    </row>
    <row r="11" spans="2:8" x14ac:dyDescent="0.25">
      <c r="B11" s="275"/>
      <c r="C11" s="279" t="s">
        <v>1648</v>
      </c>
      <c r="D11" s="276" t="s">
        <v>1651</v>
      </c>
      <c r="E11" s="263">
        <v>618</v>
      </c>
      <c r="F11" s="276" t="s">
        <v>1645</v>
      </c>
    </row>
    <row r="12" spans="2:8" x14ac:dyDescent="0.25">
      <c r="B12" s="275"/>
      <c r="C12" s="275"/>
      <c r="D12" s="276"/>
      <c r="E12" s="275"/>
      <c r="F12" s="275"/>
    </row>
    <row r="13" spans="2:8" x14ac:dyDescent="0.25">
      <c r="B13" s="275"/>
      <c r="C13" s="276" t="s">
        <v>1638</v>
      </c>
      <c r="D13" s="276" t="s">
        <v>1652</v>
      </c>
      <c r="E13" s="263">
        <v>43572</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30089</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1" t="str">
        <f>'DOE25'!A2</f>
        <v>Winnisquam Regional</v>
      </c>
      <c r="C5" s="302"/>
      <c r="D5" s="302"/>
      <c r="E5" s="302"/>
      <c r="F5" s="302"/>
    </row>
    <row r="8" spans="1:9" ht="18" x14ac:dyDescent="0.25">
      <c r="A8" s="240" t="s">
        <v>1568</v>
      </c>
      <c r="F8" s="247" t="s">
        <v>1586</v>
      </c>
    </row>
    <row r="9" spans="1:9" ht="15" x14ac:dyDescent="0.2">
      <c r="A9" s="238" t="s">
        <v>1569</v>
      </c>
      <c r="B9" s="241">
        <f>'DOE25'!G97</f>
        <v>90505</v>
      </c>
      <c r="F9" s="238" t="s">
        <v>1582</v>
      </c>
    </row>
    <row r="10" spans="1:9" ht="15" x14ac:dyDescent="0.2">
      <c r="A10" s="238" t="s">
        <v>1570</v>
      </c>
      <c r="B10" s="241">
        <f>'DOE25'!G112-'DOE25'!G97</f>
        <v>303</v>
      </c>
      <c r="F10" s="238" t="s">
        <v>1583</v>
      </c>
    </row>
    <row r="11" spans="1:9" ht="15" x14ac:dyDescent="0.2">
      <c r="A11" s="238" t="s">
        <v>1571</v>
      </c>
      <c r="B11" s="241">
        <f>'DOE25'!G140</f>
        <v>8617</v>
      </c>
      <c r="F11" s="238" t="s">
        <v>1584</v>
      </c>
    </row>
    <row r="12" spans="1:9" ht="15" x14ac:dyDescent="0.2">
      <c r="A12" s="238" t="s">
        <v>1572</v>
      </c>
      <c r="B12" s="241">
        <f>'DOE25'!G170</f>
        <v>917462</v>
      </c>
      <c r="F12" s="238" t="s">
        <v>1585</v>
      </c>
    </row>
    <row r="13" spans="1:9" ht="15" x14ac:dyDescent="0.2">
      <c r="A13" s="238" t="s">
        <v>1573</v>
      </c>
      <c r="B13" s="241">
        <f>'DOE25'!G193-'DOE25'!G180</f>
        <v>0</v>
      </c>
      <c r="F13" s="238" t="s">
        <v>1595</v>
      </c>
    </row>
    <row r="14" spans="1:9" ht="18" x14ac:dyDescent="0.25">
      <c r="A14" s="240" t="s">
        <v>732</v>
      </c>
      <c r="B14" s="242">
        <f>SUM(B9:B13)</f>
        <v>1016887</v>
      </c>
    </row>
    <row r="16" spans="1:9" ht="18" x14ac:dyDescent="0.25">
      <c r="A16" s="240" t="s">
        <v>786</v>
      </c>
      <c r="F16" s="247" t="s">
        <v>1587</v>
      </c>
    </row>
    <row r="17" spans="1:6" ht="15" x14ac:dyDescent="0.2">
      <c r="A17" s="238" t="s">
        <v>1574</v>
      </c>
      <c r="B17" s="241">
        <f>'DOE25'!L363-'DOE25'!L362</f>
        <v>687486</v>
      </c>
      <c r="F17" s="238" t="s">
        <v>1588</v>
      </c>
    </row>
    <row r="18" spans="1:6" ht="15" x14ac:dyDescent="0.2">
      <c r="A18" s="238" t="s">
        <v>1575</v>
      </c>
      <c r="B18" s="251"/>
      <c r="F18" s="247" t="s">
        <v>1612</v>
      </c>
    </row>
    <row r="19" spans="1:6" ht="18" x14ac:dyDescent="0.25">
      <c r="A19" s="240" t="s">
        <v>725</v>
      </c>
      <c r="B19" s="242">
        <f>SUM(B17:B18)</f>
        <v>687486</v>
      </c>
    </row>
    <row r="21" spans="1:6" ht="18.75" thickBot="1" x14ac:dyDescent="0.3">
      <c r="A21" s="240" t="s">
        <v>1576</v>
      </c>
    </row>
    <row r="22" spans="1:6" ht="18.75" thickTop="1" x14ac:dyDescent="0.25">
      <c r="A22" s="240" t="s">
        <v>1577</v>
      </c>
      <c r="B22" s="246">
        <f>B14-B19</f>
        <v>329401</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134009</v>
      </c>
      <c r="F31" s="238" t="s">
        <v>1592</v>
      </c>
    </row>
    <row r="33" spans="1:6" ht="15" x14ac:dyDescent="0.2">
      <c r="A33" s="238" t="s">
        <v>1635</v>
      </c>
      <c r="B33" s="241">
        <f>'DOE25'!G477</f>
        <v>463410</v>
      </c>
      <c r="F33" s="238" t="s">
        <v>1593</v>
      </c>
    </row>
    <row r="36" spans="1:6" ht="15" x14ac:dyDescent="0.2">
      <c r="A36" s="238" t="s">
        <v>1579</v>
      </c>
      <c r="B36" s="252">
        <v>47072</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69" zoomScaleNormal="169" workbookViewId="0">
      <selection activeCell="F11" sqref="F11"/>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Winnisquam Regional</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5815949</v>
      </c>
      <c r="C9" s="167">
        <f>'DOE25'!G198+'DOE25'!G216+'DOE25'!G234+'DOE25'!G277+'DOE25'!G296+'DOE25'!G315</f>
        <v>2762266</v>
      </c>
    </row>
    <row r="10" spans="1:3" x14ac:dyDescent="0.2">
      <c r="A10" t="s">
        <v>775</v>
      </c>
      <c r="B10" s="177">
        <f>5041825</f>
        <v>5041825</v>
      </c>
      <c r="C10" s="177">
        <v>2403171</v>
      </c>
    </row>
    <row r="11" spans="1:3" x14ac:dyDescent="0.2">
      <c r="A11" t="s">
        <v>776</v>
      </c>
      <c r="B11" s="177">
        <f>351574+188597</f>
        <v>540171</v>
      </c>
      <c r="C11" s="177">
        <v>248603</v>
      </c>
    </row>
    <row r="12" spans="1:3" x14ac:dyDescent="0.2">
      <c r="A12" t="s">
        <v>777</v>
      </c>
      <c r="B12" s="177">
        <v>233953</v>
      </c>
      <c r="C12" s="177">
        <v>110492</v>
      </c>
    </row>
    <row r="13" spans="1:3" x14ac:dyDescent="0.2">
      <c r="A13" t="str">
        <f>IF(B9=B13,IF(C9=C13,"Check Total OK","Check Total Error"),"Check Total Error")</f>
        <v>Check Total OK</v>
      </c>
      <c r="B13" s="169">
        <f>SUM(B10:B12)</f>
        <v>5815949</v>
      </c>
      <c r="C13" s="169">
        <f>SUM(C10:C12)</f>
        <v>2762266</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1928992</v>
      </c>
      <c r="C18" s="167">
        <f>'DOE25'!G199+'DOE25'!G217+'DOE25'!G235+'DOE25'!G278+'DOE25'!G297+'DOE25'!G316</f>
        <v>765017</v>
      </c>
    </row>
    <row r="19" spans="1:3" x14ac:dyDescent="0.2">
      <c r="A19" t="s">
        <v>775</v>
      </c>
      <c r="B19" s="177">
        <f>866977+36798</f>
        <v>903775</v>
      </c>
      <c r="C19" s="177">
        <v>367208</v>
      </c>
    </row>
    <row r="20" spans="1:3" x14ac:dyDescent="0.2">
      <c r="A20" t="s">
        <v>776</v>
      </c>
      <c r="B20" s="177">
        <f>806562+108500</f>
        <v>915062</v>
      </c>
      <c r="C20" s="177">
        <v>368219</v>
      </c>
    </row>
    <row r="21" spans="1:3" x14ac:dyDescent="0.2">
      <c r="A21" t="s">
        <v>777</v>
      </c>
      <c r="B21" s="177">
        <v>110155</v>
      </c>
      <c r="C21" s="177">
        <v>29590</v>
      </c>
    </row>
    <row r="22" spans="1:3" x14ac:dyDescent="0.2">
      <c r="A22" t="str">
        <f>IF(B18=B22,IF(C18=C22,"Check Total OK","Check Total Error"),"Check Total Error")</f>
        <v>Check Total OK</v>
      </c>
      <c r="B22" s="169">
        <f>SUM(B19:B21)</f>
        <v>1928992</v>
      </c>
      <c r="C22" s="169">
        <f>SUM(C19:C21)</f>
        <v>765017</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143145</v>
      </c>
      <c r="C27" s="172">
        <f>'DOE25'!G200+'DOE25'!G218+'DOE25'!G236+'DOE25'!G279+'DOE25'!G298+'DOE25'!G317</f>
        <v>71407</v>
      </c>
    </row>
    <row r="28" spans="1:3" x14ac:dyDescent="0.2">
      <c r="A28" t="s">
        <v>775</v>
      </c>
      <c r="B28" s="177">
        <f>126663</f>
        <v>126663</v>
      </c>
      <c r="C28" s="177">
        <v>63185</v>
      </c>
    </row>
    <row r="29" spans="1:3" x14ac:dyDescent="0.2">
      <c r="A29" t="s">
        <v>776</v>
      </c>
      <c r="B29" s="177"/>
      <c r="C29" s="177"/>
    </row>
    <row r="30" spans="1:3" x14ac:dyDescent="0.2">
      <c r="A30" t="s">
        <v>777</v>
      </c>
      <c r="B30" s="177">
        <f>14963+1519</f>
        <v>16482</v>
      </c>
      <c r="C30" s="177">
        <v>8222</v>
      </c>
    </row>
    <row r="31" spans="1:3" x14ac:dyDescent="0.2">
      <c r="A31" t="str">
        <f>IF(B27=B31,IF(C27=C31,"Check Total OK","Check Total Error"),"Check Total Error")</f>
        <v>Check Total OK</v>
      </c>
      <c r="B31" s="169">
        <f>SUM(B28:B30)</f>
        <v>143145</v>
      </c>
      <c r="C31" s="169">
        <f>SUM(C28:C30)</f>
        <v>71407</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377788</v>
      </c>
      <c r="C36" s="173">
        <f>'DOE25'!G201+'DOE25'!G219+'DOE25'!G237+'DOE25'!G280+'DOE25'!G299+'DOE25'!G318</f>
        <v>115266</v>
      </c>
    </row>
    <row r="37" spans="1:3" x14ac:dyDescent="0.2">
      <c r="A37" t="s">
        <v>775</v>
      </c>
      <c r="B37" s="177">
        <f>24881+55996</f>
        <v>80877</v>
      </c>
      <c r="C37" s="177">
        <v>24205</v>
      </c>
    </row>
    <row r="38" spans="1:3" x14ac:dyDescent="0.2">
      <c r="A38" t="s">
        <v>776</v>
      </c>
      <c r="B38" s="177">
        <f>5189+513</f>
        <v>5702</v>
      </c>
      <c r="C38" s="177">
        <v>2307</v>
      </c>
    </row>
    <row r="39" spans="1:3" x14ac:dyDescent="0.2">
      <c r="A39" t="s">
        <v>777</v>
      </c>
      <c r="B39" s="177">
        <f>286559+4650</f>
        <v>291209</v>
      </c>
      <c r="C39" s="177">
        <v>88754</v>
      </c>
    </row>
    <row r="40" spans="1:3" x14ac:dyDescent="0.2">
      <c r="A40" t="str">
        <f>IF(B36=B40,IF(C36=C40,"Check Total OK","Check Total Error"),"Check Total Error")</f>
        <v>Check Total OK</v>
      </c>
      <c r="B40" s="169">
        <f>SUM(B37:B39)</f>
        <v>377788</v>
      </c>
      <c r="C40" s="169">
        <f>SUM(C37:C39)</f>
        <v>115266</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Normal="100" workbookViewId="0">
      <pane ySplit="4" topLeftCell="A5" activePane="bottomLeft" state="frozen"/>
      <selection activeCell="F46" sqref="F46"/>
      <selection pane="bottomLeft" activeCell="L14" sqref="L14"/>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05" t="s">
        <v>892</v>
      </c>
      <c r="B1" s="308"/>
      <c r="C1" s="308"/>
      <c r="D1" s="308"/>
      <c r="E1" s="308"/>
      <c r="F1" s="308"/>
      <c r="G1" s="308"/>
      <c r="H1" s="308"/>
      <c r="I1" s="131"/>
    </row>
    <row r="2" spans="1:9" x14ac:dyDescent="0.2">
      <c r="A2" s="32" t="s">
        <v>713</v>
      </c>
      <c r="B2" s="196" t="str">
        <f>'DOE25'!A2</f>
        <v>Winnisquam Regional</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13639638</v>
      </c>
      <c r="D5" s="19">
        <f>SUM('DOE25'!L198:L201)+SUM('DOE25'!L216:L219)+SUM('DOE25'!L234:L237)-F5-G5-H5</f>
        <v>13550683</v>
      </c>
      <c r="E5" s="180"/>
      <c r="F5" s="181"/>
      <c r="G5" s="19">
        <f>SUM('DOE25'!J198:J201)+SUM('DOE25'!J216:J219)+SUM('DOE25'!J234:J237)</f>
        <v>61570</v>
      </c>
      <c r="H5" s="19">
        <f>SUM('DOE25'!K198:K201)+SUM('DOE25'!K216:K219)+SUM('DOE25'!K234:K237)</f>
        <v>27385</v>
      </c>
      <c r="I5" s="192"/>
    </row>
    <row r="6" spans="1:9" x14ac:dyDescent="0.2">
      <c r="A6" s="31">
        <v>2100</v>
      </c>
      <c r="B6" t="s">
        <v>796</v>
      </c>
      <c r="C6" s="206">
        <f t="shared" si="0"/>
        <v>1504342.9</v>
      </c>
      <c r="D6" s="19">
        <f>'DOE25'!L203+'DOE25'!L221+'DOE25'!L239-F6-G6-H6</f>
        <v>1478001</v>
      </c>
      <c r="E6" s="180"/>
      <c r="F6" s="181">
        <f>50000-25000</f>
        <v>25000</v>
      </c>
      <c r="G6" s="19">
        <f>'DOE25'!J203+'DOE25'!J221+'DOE25'!J239</f>
        <v>519.9</v>
      </c>
      <c r="H6" s="19">
        <f>'DOE25'!K203+'DOE25'!K221+'DOE25'!K239</f>
        <v>822</v>
      </c>
      <c r="I6" s="192"/>
    </row>
    <row r="7" spans="1:9" x14ac:dyDescent="0.2">
      <c r="A7" s="31">
        <v>2200</v>
      </c>
      <c r="B7" t="s">
        <v>821</v>
      </c>
      <c r="C7" s="206">
        <f t="shared" si="0"/>
        <v>646533</v>
      </c>
      <c r="D7" s="19">
        <f>'DOE25'!L204+'DOE25'!L222+'DOE25'!L240-F7-G7-H7</f>
        <v>644842</v>
      </c>
      <c r="E7" s="180"/>
      <c r="F7" s="181"/>
      <c r="G7" s="19">
        <f>'DOE25'!J204+'DOE25'!J222+'DOE25'!J240</f>
        <v>1403</v>
      </c>
      <c r="H7" s="19">
        <f>'DOE25'!K204+'DOE25'!K222+'DOE25'!K240</f>
        <v>288</v>
      </c>
      <c r="I7" s="192"/>
    </row>
    <row r="8" spans="1:9" x14ac:dyDescent="0.2">
      <c r="A8" s="31">
        <v>2300</v>
      </c>
      <c r="B8" t="s">
        <v>797</v>
      </c>
      <c r="C8" s="206">
        <f t="shared" si="0"/>
        <v>1626254</v>
      </c>
      <c r="D8" s="180"/>
      <c r="E8" s="19">
        <f>'DOE25'!L205+'DOE25'!L223+'DOE25'!L241-F8-G8-H8-D9-D11</f>
        <v>1433141</v>
      </c>
      <c r="F8" s="181"/>
      <c r="G8" s="19">
        <f>'DOE25'!J205+'DOE25'!J223+'DOE25'!J241</f>
        <v>181841</v>
      </c>
      <c r="H8" s="19">
        <f>'DOE25'!K205+'DOE25'!K223+'DOE25'!K241</f>
        <v>11272</v>
      </c>
      <c r="I8" s="192"/>
    </row>
    <row r="9" spans="1:9" ht="14.25" x14ac:dyDescent="0.2">
      <c r="A9" s="31">
        <v>2310</v>
      </c>
      <c r="B9" s="71" t="s">
        <v>888</v>
      </c>
      <c r="C9" s="206">
        <f t="shared" si="0"/>
        <v>34639</v>
      </c>
      <c r="D9" s="181">
        <v>34639</v>
      </c>
      <c r="E9" s="180"/>
      <c r="F9" s="180"/>
      <c r="G9" s="180"/>
      <c r="H9" s="180"/>
      <c r="I9" s="192"/>
    </row>
    <row r="10" spans="1:9" ht="14.25" x14ac:dyDescent="0.2">
      <c r="A10" s="31">
        <v>2317</v>
      </c>
      <c r="B10" s="71" t="s">
        <v>889</v>
      </c>
      <c r="C10" s="206">
        <f t="shared" si="0"/>
        <v>20045</v>
      </c>
      <c r="D10" s="180"/>
      <c r="E10" s="181">
        <v>20045</v>
      </c>
      <c r="F10" s="180"/>
      <c r="G10" s="180"/>
      <c r="H10" s="180"/>
      <c r="I10" s="192"/>
    </row>
    <row r="11" spans="1:9" ht="14.25" x14ac:dyDescent="0.2">
      <c r="A11" s="31">
        <v>2321</v>
      </c>
      <c r="B11" s="71" t="s">
        <v>890</v>
      </c>
      <c r="C11" s="206">
        <f t="shared" si="0"/>
        <v>641145</v>
      </c>
      <c r="D11" s="181">
        <v>641145</v>
      </c>
      <c r="E11" s="180"/>
      <c r="F11" s="180"/>
      <c r="G11" s="180"/>
      <c r="H11" s="180"/>
      <c r="I11" s="192"/>
    </row>
    <row r="12" spans="1:9" x14ac:dyDescent="0.2">
      <c r="A12" s="31">
        <v>2400</v>
      </c>
      <c r="B12" t="s">
        <v>711</v>
      </c>
      <c r="C12" s="206">
        <f t="shared" si="0"/>
        <v>1628762.17</v>
      </c>
      <c r="D12" s="19">
        <f>'DOE25'!L206+'DOE25'!L224+'DOE25'!L242-F12-G12-H12</f>
        <v>1616235.17</v>
      </c>
      <c r="E12" s="180"/>
      <c r="F12" s="181"/>
      <c r="G12" s="19">
        <f>'DOE25'!J206+'DOE25'!J224+'DOE25'!J242</f>
        <v>0</v>
      </c>
      <c r="H12" s="19">
        <f>'DOE25'!K206+'DOE25'!K224+'DOE25'!K242</f>
        <v>12527</v>
      </c>
      <c r="I12" s="192"/>
    </row>
    <row r="13" spans="1:9" x14ac:dyDescent="0.2">
      <c r="A13" s="31">
        <v>2500</v>
      </c>
      <c r="B13" t="s">
        <v>798</v>
      </c>
      <c r="C13" s="206">
        <f t="shared" si="0"/>
        <v>399789</v>
      </c>
      <c r="D13" s="180"/>
      <c r="E13" s="19">
        <f>'DOE25'!L207+'DOE25'!L225+'DOE25'!L243-F13-G13-H13</f>
        <v>399789</v>
      </c>
      <c r="F13" s="181"/>
      <c r="G13" s="19">
        <f>'DOE25'!J207+'DOE25'!J225+'DOE25'!J243</f>
        <v>0</v>
      </c>
      <c r="H13" s="19">
        <f>'DOE25'!K207+'DOE25'!K225+'DOE25'!K243</f>
        <v>0</v>
      </c>
      <c r="I13" s="192"/>
    </row>
    <row r="14" spans="1:9" x14ac:dyDescent="0.2">
      <c r="A14" s="31">
        <v>2600</v>
      </c>
      <c r="B14" t="s">
        <v>819</v>
      </c>
      <c r="C14" s="206">
        <f t="shared" si="0"/>
        <v>2225032</v>
      </c>
      <c r="D14" s="19">
        <f>'DOE25'!L208+'DOE25'!L226+'DOE25'!L244-F14-G14-H14</f>
        <v>2087420</v>
      </c>
      <c r="E14" s="180"/>
      <c r="F14" s="181">
        <f>153800-25000</f>
        <v>128800</v>
      </c>
      <c r="G14" s="19">
        <f>'DOE25'!J208+'DOE25'!J226+'DOE25'!J244</f>
        <v>6590</v>
      </c>
      <c r="H14" s="19">
        <f>'DOE25'!K208+'DOE25'!K226+'DOE25'!K244</f>
        <v>2222</v>
      </c>
      <c r="I14" s="192"/>
    </row>
    <row r="15" spans="1:9" x14ac:dyDescent="0.2">
      <c r="A15" s="31">
        <v>2700</v>
      </c>
      <c r="B15" t="s">
        <v>799</v>
      </c>
      <c r="C15" s="206">
        <f t="shared" si="0"/>
        <v>1229528</v>
      </c>
      <c r="D15" s="19">
        <f>'DOE25'!L209+'DOE25'!L227+'DOE25'!L245-F15-G15-H15</f>
        <v>258674</v>
      </c>
      <c r="E15" s="180"/>
      <c r="F15" s="181">
        <f>986322-25000</f>
        <v>961322</v>
      </c>
      <c r="G15" s="19">
        <f>'DOE25'!J209+'DOE25'!J227+'DOE25'!J245</f>
        <v>9532</v>
      </c>
      <c r="H15" s="19">
        <f>'DOE25'!K209+'DOE25'!K227+'DOE25'!K245</f>
        <v>0</v>
      </c>
      <c r="I15" s="192"/>
    </row>
    <row r="16" spans="1:9" x14ac:dyDescent="0.2">
      <c r="A16" s="31">
        <v>2800</v>
      </c>
      <c r="B16" t="s">
        <v>800</v>
      </c>
      <c r="C16" s="206">
        <f t="shared" si="0"/>
        <v>46300</v>
      </c>
      <c r="D16" s="180"/>
      <c r="E16" s="19">
        <f>'DOE25'!L210+'DOE25'!L228+'DOE25'!L246-F16-G16-H16</f>
        <v>0</v>
      </c>
      <c r="F16" s="181"/>
      <c r="G16" s="19">
        <f>'DOE25'!J210+'DOE25'!J228+'DOE25'!J246</f>
        <v>0</v>
      </c>
      <c r="H16" s="19">
        <f>'DOE25'!K210+'DOE25'!K228+'DOE25'!K246</f>
        <v>46300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100098</v>
      </c>
      <c r="D22" s="180"/>
      <c r="E22" s="180"/>
      <c r="F22" s="180"/>
      <c r="G22" s="19">
        <f>'DOE25'!L256+'DOE25'!L337</f>
        <v>100098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1055747</v>
      </c>
      <c r="D25" s="180"/>
      <c r="E25" s="180"/>
      <c r="F25" s="191"/>
      <c r="G25" s="180"/>
      <c r="H25" s="180"/>
      <c r="I25" s="190">
        <f>'DOE25'!L261+'DOE25'!L262+'DOE25'!L342+'DOE25'!L343</f>
        <v>1055747</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436798</v>
      </c>
      <c r="D29" s="212">
        <f>'DOE25'!L359+'DOE25'!L360+'DOE25'!L361-'DOE25'!I368-F29-G29-H29</f>
        <v>420674</v>
      </c>
      <c r="E29" s="180"/>
      <c r="F29" s="181"/>
      <c r="G29" s="19">
        <f>'DOE25'!J359+'DOE25'!J360+'DOE25'!J361</f>
        <v>10034</v>
      </c>
      <c r="H29" s="19">
        <f>'DOE25'!K359+'DOE25'!K360+'DOE25'!K361</f>
        <v>6090</v>
      </c>
      <c r="I29" s="192"/>
    </row>
    <row r="30" spans="1:9" x14ac:dyDescent="0.2">
      <c r="A30" s="31"/>
      <c r="C30" s="207"/>
      <c r="D30" s="19"/>
      <c r="F30" s="201"/>
      <c r="G30" s="19"/>
      <c r="H30" s="19"/>
      <c r="I30" s="192"/>
    </row>
    <row r="31" spans="1:9" x14ac:dyDescent="0.2">
      <c r="A31" s="31" t="s">
        <v>818</v>
      </c>
      <c r="B31" t="s">
        <v>817</v>
      </c>
      <c r="C31" s="206">
        <f>SUM(D31:I31)</f>
        <v>1942941</v>
      </c>
      <c r="D31" s="19">
        <f>'DOE25'!L291+'DOE25'!L310+'DOE25'!L329+'DOE25'!L334+'DOE25'!L335+'DOE25'!L336-F31-G31-H31</f>
        <v>1787597</v>
      </c>
      <c r="E31" s="180"/>
      <c r="F31" s="181"/>
      <c r="G31" s="19">
        <f>'DOE25'!J291+'DOE25'!J310+'DOE25'!J329+'DOE25'!J334+'DOE25'!J335+'DOE25'!J336</f>
        <v>152344</v>
      </c>
      <c r="H31" s="19">
        <f>'DOE25'!K291+'DOE25'!K310+'DOE25'!K329+'DOE25'!K334+'DOE25'!K335+'DOE25'!K336</f>
        <v>3000</v>
      </c>
      <c r="I31" s="192"/>
    </row>
    <row r="32" spans="1:9" ht="12" thickBot="1" x14ac:dyDescent="0.25">
      <c r="C32" s="207"/>
      <c r="G32" s="188"/>
      <c r="H32" s="188"/>
      <c r="I32" s="194"/>
    </row>
    <row r="33" spans="1:9" ht="12" thickTop="1" x14ac:dyDescent="0.2">
      <c r="B33" t="s">
        <v>809</v>
      </c>
      <c r="D33" s="182">
        <f t="shared" ref="D33:I33" si="1">SUM(D5:D31)</f>
        <v>22519910.170000002</v>
      </c>
      <c r="E33" s="182">
        <f t="shared" si="1"/>
        <v>1852975</v>
      </c>
      <c r="F33" s="182">
        <f t="shared" si="1"/>
        <v>1115122</v>
      </c>
      <c r="G33" s="182">
        <f t="shared" si="1"/>
        <v>523931.9</v>
      </c>
      <c r="H33" s="182">
        <f t="shared" si="1"/>
        <v>109906</v>
      </c>
      <c r="I33" s="182">
        <f t="shared" si="1"/>
        <v>1055747</v>
      </c>
    </row>
    <row r="35" spans="1:9" ht="12" thickBot="1" x14ac:dyDescent="0.25">
      <c r="B35" s="188" t="s">
        <v>831</v>
      </c>
      <c r="D35" s="189">
        <f>E33</f>
        <v>1852975</v>
      </c>
      <c r="E35" s="185"/>
      <c r="F35" s="255" t="s">
        <v>1617</v>
      </c>
      <c r="G35" s="256"/>
      <c r="H35" s="256"/>
      <c r="I35" s="256"/>
    </row>
    <row r="36" spans="1:9" ht="12" thickTop="1" x14ac:dyDescent="0.2">
      <c r="B36" t="s">
        <v>810</v>
      </c>
      <c r="D36" s="19">
        <f>D33</f>
        <v>22519910.170000002</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9" sqref="D9"/>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904</v>
      </c>
      <c r="B1" t="s">
        <v>905</v>
      </c>
      <c r="D1" s="32" t="s">
        <v>1566</v>
      </c>
    </row>
    <row r="2" spans="1:18" ht="12" thickBot="1" x14ac:dyDescent="0.25">
      <c r="A2" s="221" t="str">
        <f>'DOE25'!A2</f>
        <v>Winnisquam Regional</v>
      </c>
      <c r="B2">
        <f>'DOE25'!B2</f>
        <v>582</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10647281.17</v>
      </c>
      <c r="G4" s="229">
        <f>'DOE25'!L212+'DOE25'!L291</f>
        <v>10647281.17</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Sanbornton Central School</v>
      </c>
      <c r="B6" s="230">
        <f>IFERROR(VLOOKUP(A6,'School Tables'!$C$3:$D$365,2,FALSE),"")</f>
        <v>22925</v>
      </c>
      <c r="C6" s="223" t="str">
        <f>IFERROR(INDEX('School Tables'!$B$3:$B$365,MATCH('School Level Expenditures'!B6,'School Tables'!$D$3:$D$365,0)),"")</f>
        <v>Winnisquam Regional</v>
      </c>
      <c r="D6" s="220">
        <f>2331912+774902</f>
        <v>3106814</v>
      </c>
      <c r="E6" s="220">
        <f>46084+123577+15197</f>
        <v>184858</v>
      </c>
      <c r="F6" s="232">
        <f t="shared" ref="F6:F20" si="0">D6+E6</f>
        <v>3291672</v>
      </c>
      <c r="G6" s="223"/>
      <c r="H6" s="223"/>
      <c r="I6" s="311"/>
      <c r="N6"/>
    </row>
    <row r="7" spans="1:18" x14ac:dyDescent="0.2">
      <c r="A7" t="str" cm="1">
        <f t="array" ref="A7">IFERROR(INDEX('School Tables'!$A$4:$G$325,'School Tables'!$J5,3),"")</f>
        <v>Southwick School</v>
      </c>
      <c r="B7" s="230">
        <f>IFERROR(VLOOKUP(A7,'School Tables'!$C$3:$D$365,2,FALSE),"")</f>
        <v>27070</v>
      </c>
      <c r="C7" s="223" t="str">
        <f>IFERROR(INDEX('School Tables'!$B$3:$B$365,MATCH('School Level Expenditures'!B7,'School Tables'!$D$3:$D$365,0)),"")</f>
        <v>Winnisquam Regional</v>
      </c>
      <c r="D7" s="220">
        <f>2371287+949141</f>
        <v>3320428</v>
      </c>
      <c r="E7" s="220">
        <f>247684+151363+18614+1</f>
        <v>417662</v>
      </c>
      <c r="F7" s="232">
        <f t="shared" si="0"/>
        <v>3738090</v>
      </c>
      <c r="G7" s="223"/>
      <c r="H7" s="223"/>
      <c r="I7" s="268"/>
      <c r="N7"/>
    </row>
    <row r="8" spans="1:18" x14ac:dyDescent="0.2">
      <c r="A8" t="str" cm="1">
        <f t="array" ref="A8">IFERROR(INDEX('School Tables'!$A$4:$G$325,'School Tables'!$J6,3),"")</f>
        <v>Union Sanborn School</v>
      </c>
      <c r="B8" s="230">
        <f>IFERROR(VLOOKUP(A8,'School Tables'!$C$3:$D$365,2,FALSE),"")</f>
        <v>22945</v>
      </c>
      <c r="C8" s="223" t="str">
        <f>IFERROR(INDEX('School Tables'!$B$3:$B$365,MATCH('School Level Expenditures'!B8,'School Tables'!$D$3:$D$365,0)),"")</f>
        <v>Winnisquam Regional</v>
      </c>
      <c r="D8" s="220">
        <f>2427239+903289+1.17</f>
        <v>3330529.17</v>
      </c>
      <c r="E8" s="220">
        <f>125224+144051+17715</f>
        <v>286990</v>
      </c>
      <c r="F8" s="232">
        <f t="shared" si="0"/>
        <v>3617519.17</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9757771.1699999999</v>
      </c>
      <c r="E21" s="265">
        <f>SUM(E5:E20)</f>
        <v>889510</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6390842</v>
      </c>
      <c r="G24" s="229">
        <f>'DOE25'!L230+'DOE25'!L310</f>
        <v>6390842</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Winnisquam Regional Middle School</v>
      </c>
      <c r="B26" s="230">
        <f>IFERROR(VLOOKUP(A26,'School Tables'!$N$4:$O$75,2,FALSE),"")</f>
        <v>22955</v>
      </c>
      <c r="C26" s="223" t="str">
        <f>IFERROR(INDEX('School Tables'!$M$4:$M$75,MATCH('School Level Expenditures'!A26,'School Tables'!$N$4:$N$75,0)),"")</f>
        <v>Winnisquam Regional</v>
      </c>
      <c r="D26" s="220">
        <v>5881863</v>
      </c>
      <c r="E26" s="220">
        <v>508979</v>
      </c>
      <c r="F26" s="232">
        <f>D26+E26</f>
        <v>6390842</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ref="F27:F32" si="1">D27+E27</f>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5881863</v>
      </c>
      <c r="E33" s="265">
        <f>SUM(E25:E32)</f>
        <v>508979</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8526780.9000000004</v>
      </c>
      <c r="G36" s="229">
        <f>'DOE25'!L248+'DOE25'!L329</f>
        <v>8526780.9000000004</v>
      </c>
      <c r="H36" s="267">
        <f>F36-G36</f>
        <v>0</v>
      </c>
      <c r="I36" s="310"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1"/>
      <c r="N37"/>
    </row>
    <row r="38" spans="1:14" x14ac:dyDescent="0.2">
      <c r="A38" t="str" cm="1">
        <f t="array" ref="A38">IFERROR(INDEX('School Tables'!$W$4:$AC$100,'School Tables'!$AF4,3),"")</f>
        <v>Winnisquam Regional High School</v>
      </c>
      <c r="B38" s="230">
        <f>IFERROR(VLOOKUP(A38,'School Tables'!$Y$4:$Z$100,2,FALSE),"")</f>
        <v>22950</v>
      </c>
      <c r="C38" s="223" t="str">
        <f>IFERROR(INDEX('School Tables'!$X$4:$X$100,MATCH('School Level Expenditures'!A38,'School Tables'!$Y$4:$Y$100,0)),"")</f>
        <v>Winnisquam Regional</v>
      </c>
      <c r="D38" s="220">
        <v>7982328</v>
      </c>
      <c r="E38" s="220">
        <v>544452.9</v>
      </c>
      <c r="F38" s="232">
        <f t="shared" si="2"/>
        <v>8526780.9000000004</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7982328</v>
      </c>
      <c r="E43" s="266">
        <f>SUM(E37:E42)</f>
        <v>544452.9</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zoomScaleSheetLayoutView="100" workbookViewId="0">
      <selection activeCell="I28" sqref="I28"/>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Winnisquam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1614902</v>
      </c>
      <c r="D8" s="73">
        <f>'DOE25'!G9</f>
        <v>239660</v>
      </c>
      <c r="E8" s="73">
        <f>'DOE25'!H9</f>
        <v>107063</v>
      </c>
      <c r="F8" s="73">
        <f>'DOE25'!I9</f>
        <v>0</v>
      </c>
      <c r="G8" s="73">
        <f>'DOE25'!J9</f>
        <v>2105822</v>
      </c>
      <c r="H8" s="90">
        <f>SUM(C8:G8)</f>
        <v>4067447</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722716</v>
      </c>
      <c r="D11" s="73">
        <f>'DOE25'!G12</f>
        <v>0</v>
      </c>
      <c r="E11" s="73">
        <f>'DOE25'!H12</f>
        <v>612308</v>
      </c>
      <c r="F11" s="73">
        <f>'DOE25'!I12</f>
        <v>0</v>
      </c>
      <c r="G11" s="73">
        <f>'DOE25'!J12</f>
        <v>0</v>
      </c>
      <c r="H11" s="90">
        <f t="shared" si="0"/>
        <v>1335024</v>
      </c>
      <c r="I11" s="90"/>
    </row>
    <row r="12" spans="1:9" x14ac:dyDescent="0.2">
      <c r="A12" s="1" t="s">
        <v>143</v>
      </c>
      <c r="B12" s="6">
        <v>140</v>
      </c>
      <c r="C12" s="73">
        <f>'DOE25'!F13</f>
        <v>50406</v>
      </c>
      <c r="D12" s="73">
        <f>'DOE25'!G13</f>
        <v>239253</v>
      </c>
      <c r="E12" s="73">
        <f>'DOE25'!H13</f>
        <v>0</v>
      </c>
      <c r="F12" s="73">
        <f>'DOE25'!I13</f>
        <v>0</v>
      </c>
      <c r="G12" s="73">
        <f>'DOE25'!J13</f>
        <v>0</v>
      </c>
      <c r="H12" s="90">
        <f t="shared" si="0"/>
        <v>289659</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2388024</v>
      </c>
      <c r="D18" s="38">
        <f>SUM(D8:D17)</f>
        <v>478913</v>
      </c>
      <c r="E18" s="38">
        <f>SUM(E8:E17)</f>
        <v>719371</v>
      </c>
      <c r="F18" s="38">
        <f>SUM(F8:F17)</f>
        <v>0</v>
      </c>
      <c r="G18" s="38">
        <f>SUM(G8:G17)</f>
        <v>2105822</v>
      </c>
      <c r="H18" s="38">
        <f t="shared" si="0"/>
        <v>5692130</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612308</v>
      </c>
      <c r="F21" s="73">
        <f>'DOE25'!I22</f>
        <v>0</v>
      </c>
      <c r="G21" s="73">
        <f>'DOE25'!J22</f>
        <v>110408</v>
      </c>
      <c r="H21" s="90">
        <f t="shared" ref="H21:H31" si="1">SUM(C21:G21)</f>
        <v>722716</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30931</v>
      </c>
      <c r="D23" s="73">
        <f>'DOE25'!G24</f>
        <v>15503</v>
      </c>
      <c r="E23" s="73">
        <f>'DOE25'!H24</f>
        <v>0</v>
      </c>
      <c r="F23" s="73">
        <f>'DOE25'!I24</f>
        <v>0</v>
      </c>
      <c r="G23" s="73">
        <f>'DOE25'!J24</f>
        <v>0</v>
      </c>
      <c r="H23" s="90">
        <f t="shared" si="1"/>
        <v>46434</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27326</v>
      </c>
      <c r="D27" s="73">
        <f>'DOE25'!G28</f>
        <v>0</v>
      </c>
      <c r="E27" s="73">
        <f>'DOE25'!H28</f>
        <v>0</v>
      </c>
      <c r="F27" s="73">
        <f>'DOE25'!I28</f>
        <v>0</v>
      </c>
      <c r="G27" s="23" t="s">
        <v>288</v>
      </c>
      <c r="H27" s="90">
        <f t="shared" si="1"/>
        <v>27326</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107063</v>
      </c>
      <c r="F29" s="73">
        <f>'DOE25'!I30</f>
        <v>0</v>
      </c>
      <c r="G29" s="23" t="s">
        <v>288</v>
      </c>
      <c r="H29" s="90">
        <f t="shared" si="1"/>
        <v>107063</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58257</v>
      </c>
      <c r="D31" s="38">
        <f>SUM(D21:D30)</f>
        <v>15503</v>
      </c>
      <c r="E31" s="38">
        <f>SUM(E21:E30)</f>
        <v>719371</v>
      </c>
      <c r="F31" s="38">
        <f>SUM(F21:F30)</f>
        <v>0</v>
      </c>
      <c r="G31" s="38">
        <f>SUM(G21:G30)</f>
        <v>110408</v>
      </c>
      <c r="H31" s="38">
        <f t="shared" si="1"/>
        <v>903539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463410</v>
      </c>
      <c r="E39" s="23" t="s">
        <v>288</v>
      </c>
      <c r="F39" s="23" t="s">
        <v>288</v>
      </c>
      <c r="G39" s="23" t="s">
        <v>288</v>
      </c>
      <c r="H39" s="90">
        <f t="shared" si="2"/>
        <v>463410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500000</v>
      </c>
      <c r="D43" s="73">
        <f>'DOE25'!G44</f>
        <v>0</v>
      </c>
      <c r="E43" s="73">
        <f>'DOE25'!H44</f>
        <v>0</v>
      </c>
      <c r="F43" s="73">
        <f>'DOE25'!I44</f>
        <v>0</v>
      </c>
      <c r="G43" s="23" t="s">
        <v>288</v>
      </c>
      <c r="H43" s="90">
        <f t="shared" si="2"/>
        <v>500000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1995414</v>
      </c>
      <c r="H47" s="90">
        <f t="shared" si="2"/>
        <v>1995414</v>
      </c>
      <c r="I47" s="90"/>
    </row>
    <row r="48" spans="1:9" x14ac:dyDescent="0.2">
      <c r="A48" s="1" t="s">
        <v>882</v>
      </c>
      <c r="B48" s="6">
        <v>753</v>
      </c>
      <c r="C48" s="73">
        <f>'DOE25'!F49</f>
        <v>210000</v>
      </c>
      <c r="D48" s="73">
        <f>'DOE25'!G49</f>
        <v>0</v>
      </c>
      <c r="E48" s="73">
        <f>'DOE25'!H49</f>
        <v>0</v>
      </c>
      <c r="F48" s="73">
        <f>'DOE25'!I49</f>
        <v>0</v>
      </c>
      <c r="G48" s="73">
        <f>'DOE25'!J49</f>
        <v>0</v>
      </c>
      <c r="H48" s="90">
        <f t="shared" si="2"/>
        <v>210000</v>
      </c>
      <c r="I48" s="90"/>
    </row>
    <row r="49" spans="1:9" ht="12" thickBot="1" x14ac:dyDescent="0.25">
      <c r="A49" s="28" t="s">
        <v>883</v>
      </c>
      <c r="B49" s="56">
        <v>770</v>
      </c>
      <c r="C49" s="73">
        <f>'DOE25'!F50</f>
        <v>1619767</v>
      </c>
      <c r="D49" s="23" t="s">
        <v>288</v>
      </c>
      <c r="E49" s="23" t="s">
        <v>288</v>
      </c>
      <c r="F49" s="23" t="s">
        <v>288</v>
      </c>
      <c r="G49" s="23" t="s">
        <v>288</v>
      </c>
      <c r="H49" s="90">
        <f t="shared" si="2"/>
        <v>1619767</v>
      </c>
      <c r="I49" s="90"/>
    </row>
    <row r="50" spans="1:9" ht="12.75" thickTop="1" thickBot="1" x14ac:dyDescent="0.25">
      <c r="A50" s="35" t="s">
        <v>884</v>
      </c>
      <c r="B50" s="44"/>
      <c r="C50" s="38">
        <f>SUM(C34:C49)</f>
        <v>2329767</v>
      </c>
      <c r="D50" s="38">
        <f>SUM(D34:D49)</f>
        <v>463410</v>
      </c>
      <c r="E50" s="38">
        <f>SUM(E34:E49)</f>
        <v>0</v>
      </c>
      <c r="F50" s="38">
        <f>SUM(F34:F49)</f>
        <v>0</v>
      </c>
      <c r="G50" s="38">
        <f>SUM(G34:G49)</f>
        <v>1995414</v>
      </c>
      <c r="H50" s="38">
        <f t="shared" si="2"/>
        <v>4788591</v>
      </c>
      <c r="I50" s="90"/>
    </row>
    <row r="51" spans="1:9" ht="12" thickTop="1" x14ac:dyDescent="0.2">
      <c r="A51" s="35" t="s">
        <v>885</v>
      </c>
      <c r="B51" s="2"/>
      <c r="C51" s="38">
        <f>C50+C31</f>
        <v>2388024</v>
      </c>
      <c r="D51" s="38">
        <f>D50+D31</f>
        <v>478913</v>
      </c>
      <c r="E51" s="38">
        <f>E50+E31</f>
        <v>719371</v>
      </c>
      <c r="F51" s="38">
        <f>F50+F31</f>
        <v>0</v>
      </c>
      <c r="G51" s="38">
        <f>G50+G31</f>
        <v>2105822</v>
      </c>
      <c r="H51" s="38">
        <f t="shared" si="2"/>
        <v>5692130</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12474300</v>
      </c>
      <c r="D56" s="73">
        <f>'DOE25'!G60</f>
        <v>0</v>
      </c>
      <c r="E56" s="73">
        <f>'DOE25'!H60</f>
        <v>0</v>
      </c>
      <c r="F56" s="73">
        <f>'DOE25'!I60</f>
        <v>0</v>
      </c>
      <c r="G56" s="73">
        <f>'DOE25'!J60</f>
        <v>0</v>
      </c>
      <c r="H56" s="90">
        <f t="shared" ref="H56:H63" si="3">SUM(C56:G56)</f>
        <v>12474300</v>
      </c>
      <c r="I56"/>
    </row>
    <row r="57" spans="1:9" x14ac:dyDescent="0.2">
      <c r="A57" s="1" t="s">
        <v>164</v>
      </c>
      <c r="B57" s="6" t="s">
        <v>165</v>
      </c>
      <c r="C57" s="73">
        <f>'DOE25'!F79</f>
        <v>75928</v>
      </c>
      <c r="D57" s="23" t="s">
        <v>288</v>
      </c>
      <c r="E57" s="73">
        <f>'DOE25'!H79</f>
        <v>0</v>
      </c>
      <c r="F57" s="23" t="s">
        <v>288</v>
      </c>
      <c r="G57" s="23" t="s">
        <v>288</v>
      </c>
      <c r="H57" s="90">
        <f t="shared" si="3"/>
        <v>75928</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7818</v>
      </c>
      <c r="D59" s="73">
        <f>'DOE25'!G96</f>
        <v>0</v>
      </c>
      <c r="E59" s="73">
        <f>'DOE25'!H96</f>
        <v>0</v>
      </c>
      <c r="F59" s="73">
        <f>'DOE25'!I96</f>
        <v>0</v>
      </c>
      <c r="G59" s="73">
        <f>'DOE25'!J96</f>
        <v>3714</v>
      </c>
      <c r="H59" s="90">
        <f t="shared" si="3"/>
        <v>11532</v>
      </c>
      <c r="I59"/>
    </row>
    <row r="60" spans="1:9" x14ac:dyDescent="0.2">
      <c r="A60" s="1" t="s">
        <v>170</v>
      </c>
      <c r="B60" s="22" t="s">
        <v>171</v>
      </c>
      <c r="C60" s="23" t="s">
        <v>288</v>
      </c>
      <c r="D60" s="73">
        <f>'DOE25'!G97</f>
        <v>90505</v>
      </c>
      <c r="E60" s="23" t="s">
        <v>288</v>
      </c>
      <c r="F60" s="23" t="s">
        <v>288</v>
      </c>
      <c r="G60" s="23" t="s">
        <v>288</v>
      </c>
      <c r="H60" s="90">
        <f t="shared" si="3"/>
        <v>90505</v>
      </c>
      <c r="I60"/>
    </row>
    <row r="61" spans="1:9" ht="12" thickBot="1" x14ac:dyDescent="0.25">
      <c r="A61" s="1" t="s">
        <v>172</v>
      </c>
      <c r="B61" s="22" t="s">
        <v>173</v>
      </c>
      <c r="C61" s="73">
        <f>SUM('DOE25'!F98:F110)</f>
        <v>61568</v>
      </c>
      <c r="D61" s="73">
        <f>SUM('DOE25'!G98:G110)</f>
        <v>303</v>
      </c>
      <c r="E61" s="73">
        <f>SUM('DOE25'!H98:H110)</f>
        <v>0</v>
      </c>
      <c r="F61" s="73">
        <f>SUM('DOE25'!I98:I110)</f>
        <v>0</v>
      </c>
      <c r="G61" s="73">
        <f>SUM('DOE25'!J98:J110)</f>
        <v>0</v>
      </c>
      <c r="H61" s="90">
        <f t="shared" si="3"/>
        <v>61871</v>
      </c>
      <c r="I61"/>
    </row>
    <row r="62" spans="1:9" ht="12.75" thickTop="1" thickBot="1" x14ac:dyDescent="0.25">
      <c r="A62" s="28" t="s">
        <v>174</v>
      </c>
      <c r="B62" s="6"/>
      <c r="C62" s="93">
        <f>SUM(C57:C61)</f>
        <v>145314</v>
      </c>
      <c r="D62" s="93">
        <f>SUM(D57:D61)</f>
        <v>90808</v>
      </c>
      <c r="E62" s="93">
        <f>SUM(E57:E61)</f>
        <v>0</v>
      </c>
      <c r="F62" s="93">
        <f>SUM(F57:F61)</f>
        <v>0</v>
      </c>
      <c r="G62" s="93">
        <f>SUM(G57:G61)</f>
        <v>3714</v>
      </c>
      <c r="H62" s="90">
        <f t="shared" si="3"/>
        <v>239836</v>
      </c>
      <c r="I62"/>
    </row>
    <row r="63" spans="1:9" ht="12" thickTop="1" x14ac:dyDescent="0.2">
      <c r="A63" s="28" t="s">
        <v>175</v>
      </c>
      <c r="B63" s="6"/>
      <c r="C63" s="21">
        <f>C56+C62</f>
        <v>12619614</v>
      </c>
      <c r="D63" s="21">
        <f>D56+D62</f>
        <v>90808</v>
      </c>
      <c r="E63" s="21">
        <f>E56+E62</f>
        <v>0</v>
      </c>
      <c r="F63" s="21">
        <f>F56+F62</f>
        <v>0</v>
      </c>
      <c r="G63" s="21">
        <f>G56+G62</f>
        <v>3714</v>
      </c>
      <c r="H63" s="90">
        <f t="shared" si="3"/>
        <v>12714136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7060201</v>
      </c>
      <c r="D66" s="23" t="s">
        <v>288</v>
      </c>
      <c r="E66" s="23" t="s">
        <v>288</v>
      </c>
      <c r="F66" s="23" t="s">
        <v>288</v>
      </c>
      <c r="G66" s="23" t="s">
        <v>288</v>
      </c>
      <c r="H66" s="90">
        <f t="shared" ref="H66:H81" si="4">SUM(C66:G66)</f>
        <v>7060201</v>
      </c>
      <c r="I66"/>
    </row>
    <row r="67" spans="1:9" x14ac:dyDescent="0.2">
      <c r="A67" s="1" t="s">
        <v>770</v>
      </c>
      <c r="B67" s="6">
        <v>3112</v>
      </c>
      <c r="C67" s="73">
        <f>'DOE25'!F118</f>
        <v>2771386</v>
      </c>
      <c r="D67" s="23"/>
      <c r="E67" s="23"/>
      <c r="F67" s="23"/>
      <c r="G67" s="23"/>
      <c r="H67" s="90">
        <f t="shared" si="4"/>
        <v>2771386</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32654</v>
      </c>
      <c r="D69" s="73">
        <f>'DOE25'!G120</f>
        <v>0</v>
      </c>
      <c r="E69" s="73">
        <f>'DOE25'!H120</f>
        <v>0</v>
      </c>
      <c r="F69" s="73">
        <f>'DOE25'!I120</f>
        <v>0</v>
      </c>
      <c r="G69" s="73">
        <f>'DOE25'!J120</f>
        <v>0</v>
      </c>
      <c r="H69" s="90">
        <f t="shared" si="4"/>
        <v>32654</v>
      </c>
      <c r="I69"/>
    </row>
    <row r="70" spans="1:9" ht="12" thickTop="1" x14ac:dyDescent="0.2">
      <c r="A70" s="28" t="s">
        <v>252</v>
      </c>
      <c r="B70" s="2"/>
      <c r="C70" s="97">
        <f>SUM(C66:C69)</f>
        <v>9864241</v>
      </c>
      <c r="D70" s="97">
        <f>D69</f>
        <v>0</v>
      </c>
      <c r="E70" s="97">
        <f>E69</f>
        <v>0</v>
      </c>
      <c r="F70" s="97">
        <f>F69</f>
        <v>0</v>
      </c>
      <c r="G70" s="97">
        <f>G69</f>
        <v>0</v>
      </c>
      <c r="H70" s="90">
        <f t="shared" si="4"/>
        <v>9864241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583185</v>
      </c>
      <c r="D72" s="23" t="s">
        <v>288</v>
      </c>
      <c r="E72" s="23" t="s">
        <v>288</v>
      </c>
      <c r="F72" s="73">
        <f>'DOE25'!I123</f>
        <v>0</v>
      </c>
      <c r="G72" s="23" t="s">
        <v>288</v>
      </c>
      <c r="H72" s="90">
        <f t="shared" si="4"/>
        <v>583185</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959</v>
      </c>
      <c r="D75" s="23" t="s">
        <v>288</v>
      </c>
      <c r="E75" s="23" t="s">
        <v>288</v>
      </c>
      <c r="F75" s="23" t="s">
        <v>288</v>
      </c>
      <c r="G75" s="23" t="s">
        <v>288</v>
      </c>
      <c r="H75" s="90">
        <f t="shared" si="4"/>
        <v>959</v>
      </c>
      <c r="I75"/>
    </row>
    <row r="76" spans="1:9" x14ac:dyDescent="0.2">
      <c r="A76" s="1" t="s">
        <v>257</v>
      </c>
      <c r="B76" s="6" t="s">
        <v>179</v>
      </c>
      <c r="C76" s="73">
        <f>SUM('DOE25'!F127:F130)</f>
        <v>58742</v>
      </c>
      <c r="D76" s="23" t="s">
        <v>288</v>
      </c>
      <c r="E76" s="73">
        <f>SUM('DOE25'!H127:H130)</f>
        <v>0</v>
      </c>
      <c r="F76" s="73">
        <f>SUM('DOE25'!I127:I130)</f>
        <v>0</v>
      </c>
      <c r="G76" s="23" t="s">
        <v>288</v>
      </c>
      <c r="H76" s="90">
        <f t="shared" si="4"/>
        <v>58742</v>
      </c>
      <c r="I76"/>
    </row>
    <row r="77" spans="1:9" ht="12" thickBot="1" x14ac:dyDescent="0.25">
      <c r="A77" s="1" t="s">
        <v>258</v>
      </c>
      <c r="B77" s="6" t="s">
        <v>180</v>
      </c>
      <c r="C77" s="73">
        <f>SUM('DOE25'!F131:F135)</f>
        <v>0</v>
      </c>
      <c r="D77" s="73">
        <f>SUM('DOE25'!G131:G135)</f>
        <v>8617</v>
      </c>
      <c r="E77" s="73">
        <f>SUM('DOE25'!H131:H135)</f>
        <v>0</v>
      </c>
      <c r="F77" s="73">
        <f>SUM('DOE25'!I131:I135)</f>
        <v>0</v>
      </c>
      <c r="G77" s="73">
        <f>SUM('DOE25'!J131:J135)</f>
        <v>0</v>
      </c>
      <c r="H77" s="90">
        <f t="shared" si="4"/>
        <v>8617</v>
      </c>
      <c r="I77"/>
    </row>
    <row r="78" spans="1:9" ht="12.75" thickTop="1" thickBot="1" x14ac:dyDescent="0.25">
      <c r="A78" s="28" t="s">
        <v>259</v>
      </c>
      <c r="B78" s="6"/>
      <c r="C78" s="93">
        <f>SUM(C72:C77)</f>
        <v>642886</v>
      </c>
      <c r="D78" s="93">
        <f>SUM(D72:D77)</f>
        <v>8617</v>
      </c>
      <c r="E78" s="93">
        <f>SUM(E72:E77)</f>
        <v>0</v>
      </c>
      <c r="F78" s="93">
        <f>SUM(F72:F77)</f>
        <v>0</v>
      </c>
      <c r="G78" s="93">
        <f>SUM(G72:G77)</f>
        <v>0</v>
      </c>
      <c r="H78" s="90">
        <f t="shared" si="4"/>
        <v>651503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10507127</v>
      </c>
      <c r="D81" s="93">
        <f>SUM(D79:D80)+D78+D70</f>
        <v>8617</v>
      </c>
      <c r="E81" s="93">
        <f>SUM(E79:E80)+E78+E70</f>
        <v>0</v>
      </c>
      <c r="F81" s="93">
        <f>SUM(F79:F80)+F78+F70</f>
        <v>0</v>
      </c>
      <c r="G81" s="93">
        <f>SUM(G79:G80)+G78+G70</f>
        <v>0</v>
      </c>
      <c r="H81" s="93">
        <f t="shared" si="4"/>
        <v>10515744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371032</v>
      </c>
      <c r="D88" s="253">
        <f>SUM('DOE25'!G153:G162)</f>
        <v>917462</v>
      </c>
      <c r="E88" s="253">
        <f>SUM('DOE25'!H153:H162)</f>
        <v>2039083</v>
      </c>
      <c r="F88" s="253">
        <f>SUM('DOE25'!I153:I162)</f>
        <v>0</v>
      </c>
      <c r="G88" s="23" t="s">
        <v>288</v>
      </c>
      <c r="H88" s="90">
        <f t="shared" si="5"/>
        <v>3327577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371032</v>
      </c>
      <c r="D91" s="94">
        <f>SUM(D85:D90)</f>
        <v>917462</v>
      </c>
      <c r="E91" s="94">
        <f>SUM(E85:E90)</f>
        <v>2039083</v>
      </c>
      <c r="F91" s="94">
        <f>SUM(F85:F90)</f>
        <v>0</v>
      </c>
      <c r="G91" s="23" t="s">
        <v>288</v>
      </c>
      <c r="H91" s="90">
        <f t="shared" si="5"/>
        <v>3327577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360000</v>
      </c>
      <c r="H96" s="90">
        <f t="shared" si="5"/>
        <v>360000</v>
      </c>
    </row>
    <row r="97" spans="1:8" x14ac:dyDescent="0.2">
      <c r="A97" t="s">
        <v>754</v>
      </c>
      <c r="B97" s="31" t="s">
        <v>188</v>
      </c>
      <c r="C97" s="73">
        <f>SUM('DOE25'!F181:F182)</f>
        <v>96142.07</v>
      </c>
      <c r="D97" s="73">
        <f>SUM('DOE25'!G181:G182)</f>
        <v>0</v>
      </c>
      <c r="E97" s="73">
        <f>SUM('DOE25'!H181:H182)</f>
        <v>0</v>
      </c>
      <c r="F97" s="73">
        <f>SUM('DOE25'!I181:I182)</f>
        <v>0</v>
      </c>
      <c r="G97" s="73">
        <f>SUM('DOE25'!J181:J182)</f>
        <v>0</v>
      </c>
      <c r="H97" s="90">
        <f t="shared" si="5"/>
        <v>96142.07</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122376</v>
      </c>
      <c r="D99" s="73">
        <f>'DOE25'!G186</f>
        <v>0</v>
      </c>
      <c r="E99" s="73">
        <f>'DOE25'!H186</f>
        <v>0</v>
      </c>
      <c r="F99" s="73">
        <f>'DOE25'!I186</f>
        <v>0</v>
      </c>
      <c r="G99" s="23" t="s">
        <v>288</v>
      </c>
      <c r="H99" s="90">
        <f t="shared" si="5"/>
        <v>122376</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218518.07</v>
      </c>
      <c r="D103" s="68">
        <f>SUM(D93:D102)</f>
        <v>0</v>
      </c>
      <c r="E103" s="68">
        <f>SUM(E93:E102)</f>
        <v>0</v>
      </c>
      <c r="F103" s="68">
        <f>SUM(F93:F102)</f>
        <v>0</v>
      </c>
      <c r="G103" s="68">
        <f>SUM(G93:G102)</f>
        <v>360000</v>
      </c>
      <c r="H103" s="68">
        <f t="shared" si="5"/>
        <v>578518.07000000007</v>
      </c>
    </row>
    <row r="104" spans="1:8" ht="12.75" thickTop="1" thickBot="1" x14ac:dyDescent="0.25">
      <c r="A104" s="32" t="s">
        <v>761</v>
      </c>
      <c r="C104" s="68">
        <f>C63+C81+C91+C103</f>
        <v>23716291.07</v>
      </c>
      <c r="D104" s="68">
        <f>D63+D81+D91+D103</f>
        <v>1016887</v>
      </c>
      <c r="E104" s="68">
        <f>E63+E81+E91+E103</f>
        <v>2039083</v>
      </c>
      <c r="F104" s="68">
        <f>F63+F81+F91+F103</f>
        <v>0</v>
      </c>
      <c r="G104" s="68">
        <f>G63+G81+G103</f>
        <v>363714</v>
      </c>
      <c r="H104" s="68">
        <f t="shared" si="5"/>
        <v>27135975.07</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8246537</v>
      </c>
      <c r="D109" s="23" t="s">
        <v>288</v>
      </c>
      <c r="E109" s="73">
        <f>('DOE25'!L277)+('DOE25'!L296)+('DOE25'!L315)</f>
        <v>647378</v>
      </c>
      <c r="F109" s="23" t="s">
        <v>288</v>
      </c>
      <c r="G109" s="23" t="s">
        <v>288</v>
      </c>
      <c r="H109" s="90">
        <f t="shared" ref="H109:H115" si="6">SUM(C109:G109)</f>
        <v>8893915</v>
      </c>
    </row>
    <row r="110" spans="1:8" x14ac:dyDescent="0.2">
      <c r="A110" t="s">
        <v>198</v>
      </c>
      <c r="B110" s="31" t="s">
        <v>199</v>
      </c>
      <c r="C110" s="73">
        <f>('DOE25'!L199)+('DOE25'!L217)+('DOE25'!L235)</f>
        <v>4499324</v>
      </c>
      <c r="D110" s="23" t="s">
        <v>288</v>
      </c>
      <c r="E110" s="73">
        <f>('DOE25'!L278)+('DOE25'!L297)+('DOE25'!L316)</f>
        <v>371656</v>
      </c>
      <c r="F110" s="23" t="s">
        <v>288</v>
      </c>
      <c r="G110" s="23" t="s">
        <v>288</v>
      </c>
      <c r="H110" s="90">
        <f t="shared" si="6"/>
        <v>4870980</v>
      </c>
    </row>
    <row r="111" spans="1:8" x14ac:dyDescent="0.2">
      <c r="A111" t="s">
        <v>200</v>
      </c>
      <c r="B111" s="31" t="s">
        <v>165</v>
      </c>
      <c r="C111" s="73">
        <f>('DOE25'!L200)+('DOE25'!L218)+('DOE25'!L236)</f>
        <v>354121</v>
      </c>
      <c r="D111" s="23" t="s">
        <v>288</v>
      </c>
      <c r="E111" s="73">
        <f>('DOE25'!L279)+('DOE25'!L298)+('DOE25'!L317)</f>
        <v>35153</v>
      </c>
      <c r="F111" s="23" t="s">
        <v>288</v>
      </c>
      <c r="G111" s="23" t="s">
        <v>288</v>
      </c>
      <c r="H111" s="90">
        <f t="shared" si="6"/>
        <v>389274</v>
      </c>
    </row>
    <row r="112" spans="1:8" x14ac:dyDescent="0.2">
      <c r="A112" t="s">
        <v>201</v>
      </c>
      <c r="B112" s="31" t="s">
        <v>167</v>
      </c>
      <c r="C112" s="73">
        <f>('DOE25'!L201)+('DOE25'!L219)+('DOE25'!L237)</f>
        <v>539656</v>
      </c>
      <c r="D112" s="23" t="s">
        <v>288</v>
      </c>
      <c r="E112" s="73">
        <f>+('DOE25'!L280)+('DOE25'!L299)+('DOE25'!L318)</f>
        <v>133972</v>
      </c>
      <c r="F112" s="23" t="s">
        <v>288</v>
      </c>
      <c r="G112" s="23" t="s">
        <v>288</v>
      </c>
      <c r="H112" s="90">
        <f t="shared" si="6"/>
        <v>673628</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13639638</v>
      </c>
      <c r="D115" s="68">
        <f>SUM(D109:D114)</f>
        <v>0</v>
      </c>
      <c r="E115" s="68">
        <f>SUM(E109:E114)</f>
        <v>1188159</v>
      </c>
      <c r="F115" s="68">
        <f>SUM(F109:F114)</f>
        <v>0</v>
      </c>
      <c r="G115" s="68">
        <f>SUM(G109:G114)</f>
        <v>0</v>
      </c>
      <c r="H115" s="68">
        <f t="shared" si="6"/>
        <v>14827797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1504342.9</v>
      </c>
      <c r="D118" s="23" t="s">
        <v>288</v>
      </c>
      <c r="E118" s="73">
        <f>+('DOE25'!L282)+('DOE25'!L301)+('DOE25'!L320)</f>
        <v>624799</v>
      </c>
      <c r="F118" s="23" t="s">
        <v>288</v>
      </c>
      <c r="G118" s="23" t="s">
        <v>288</v>
      </c>
      <c r="H118" s="90">
        <f t="shared" ref="H118:H145" si="7">SUM(C118:G118)</f>
        <v>2129141.9</v>
      </c>
    </row>
    <row r="119" spans="1:8" x14ac:dyDescent="0.2">
      <c r="A119" t="s">
        <v>208</v>
      </c>
      <c r="B119" s="31" t="s">
        <v>209</v>
      </c>
      <c r="C119" s="73">
        <f>('DOE25'!L204)+('DOE25'!L222)+('DOE25'!L240)</f>
        <v>646533</v>
      </c>
      <c r="D119" s="23" t="s">
        <v>288</v>
      </c>
      <c r="E119" s="73">
        <f>+('DOE25'!L283)+('DOE25'!L302)+('DOE25'!L321)</f>
        <v>58846</v>
      </c>
      <c r="F119" s="23" t="s">
        <v>288</v>
      </c>
      <c r="G119" s="23" t="s">
        <v>288</v>
      </c>
      <c r="H119" s="90">
        <f t="shared" si="7"/>
        <v>705379</v>
      </c>
    </row>
    <row r="120" spans="1:8" x14ac:dyDescent="0.2">
      <c r="A120" t="s">
        <v>210</v>
      </c>
      <c r="B120" s="31" t="s">
        <v>211</v>
      </c>
      <c r="C120" s="73">
        <f>('DOE25'!L205)+('DOE25'!L223)+('DOE25'!L241)</f>
        <v>2302038</v>
      </c>
      <c r="D120" s="23" t="s">
        <v>288</v>
      </c>
      <c r="E120" s="73">
        <f>+('DOE25'!L284)+('DOE25'!L303)+('DOE25'!L322)</f>
        <v>60794</v>
      </c>
      <c r="F120" s="23" t="s">
        <v>288</v>
      </c>
      <c r="G120" s="23" t="s">
        <v>288</v>
      </c>
      <c r="H120" s="90">
        <f t="shared" si="7"/>
        <v>2362832</v>
      </c>
    </row>
    <row r="121" spans="1:8" x14ac:dyDescent="0.2">
      <c r="A121" t="s">
        <v>212</v>
      </c>
      <c r="B121" s="31" t="s">
        <v>213</v>
      </c>
      <c r="C121" s="73">
        <f>('DOE25'!L206)+('DOE25'!L224)+('DOE25'!L242)</f>
        <v>1628762.17</v>
      </c>
      <c r="D121" s="23" t="s">
        <v>288</v>
      </c>
      <c r="E121" s="73">
        <f>+('DOE25'!L285)+('DOE25'!L304)+('DOE25'!L323)</f>
        <v>809</v>
      </c>
      <c r="F121" s="23" t="s">
        <v>288</v>
      </c>
      <c r="G121" s="23" t="s">
        <v>288</v>
      </c>
      <c r="H121" s="90">
        <f t="shared" si="7"/>
        <v>1629571.17</v>
      </c>
    </row>
    <row r="122" spans="1:8" x14ac:dyDescent="0.2">
      <c r="A122" t="s">
        <v>214</v>
      </c>
      <c r="B122" s="31" t="s">
        <v>215</v>
      </c>
      <c r="C122" s="73">
        <f>('DOE25'!L207)+('DOE25'!L225)+('DOE25'!L243)</f>
        <v>399789</v>
      </c>
      <c r="D122" s="23" t="s">
        <v>288</v>
      </c>
      <c r="E122" s="73">
        <f>+('DOE25'!L286)+('DOE25'!L305)+('DOE25'!L324)</f>
        <v>0</v>
      </c>
      <c r="F122" s="23" t="s">
        <v>288</v>
      </c>
      <c r="G122" s="23" t="s">
        <v>288</v>
      </c>
      <c r="H122" s="90">
        <f t="shared" si="7"/>
        <v>399789</v>
      </c>
    </row>
    <row r="123" spans="1:8" x14ac:dyDescent="0.2">
      <c r="A123" t="s">
        <v>216</v>
      </c>
      <c r="B123" s="31" t="s">
        <v>217</v>
      </c>
      <c r="C123" s="73">
        <f>('DOE25'!L208)+('DOE25'!L226)+('DOE25'!L244)</f>
        <v>2225032</v>
      </c>
      <c r="D123" s="23" t="s">
        <v>288</v>
      </c>
      <c r="E123" s="73">
        <f>+('DOE25'!L287)+('DOE25'!L306)+('DOE25'!L325)</f>
        <v>5918</v>
      </c>
      <c r="F123" s="23" t="s">
        <v>288</v>
      </c>
      <c r="G123" s="23" t="s">
        <v>288</v>
      </c>
      <c r="H123" s="90">
        <f t="shared" si="7"/>
        <v>2230950</v>
      </c>
    </row>
    <row r="124" spans="1:8" x14ac:dyDescent="0.2">
      <c r="A124" t="s">
        <v>218</v>
      </c>
      <c r="B124" s="31" t="s">
        <v>219</v>
      </c>
      <c r="C124" s="73">
        <f>('DOE25'!L209)+('DOE25'!L227)+('DOE25'!L245+'DOE25'!L255)</f>
        <v>1229528</v>
      </c>
      <c r="D124" s="23" t="s">
        <v>288</v>
      </c>
      <c r="E124" s="73">
        <f>+('DOE25'!L288)+('DOE25'!L307)+('DOE25'!L326)</f>
        <v>3616</v>
      </c>
      <c r="F124" s="23" t="s">
        <v>288</v>
      </c>
      <c r="G124" s="23" t="s">
        <v>288</v>
      </c>
      <c r="H124" s="90">
        <f t="shared" si="7"/>
        <v>1233144</v>
      </c>
    </row>
    <row r="125" spans="1:8" x14ac:dyDescent="0.2">
      <c r="A125" t="s">
        <v>220</v>
      </c>
      <c r="B125" s="31" t="s">
        <v>221</v>
      </c>
      <c r="C125" s="73">
        <f>('DOE25'!L210)+('DOE25'!L228)+('DOE25'!L246)</f>
        <v>46300</v>
      </c>
      <c r="D125" s="23" t="s">
        <v>288</v>
      </c>
      <c r="E125" s="73">
        <f>+('DOE25'!L289)+('DOE25'!L308)+('DOE25'!L327)</f>
        <v>0</v>
      </c>
      <c r="F125" s="23" t="s">
        <v>288</v>
      </c>
      <c r="G125" s="23" t="s">
        <v>288</v>
      </c>
      <c r="H125" s="90">
        <f t="shared" si="7"/>
        <v>46300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687486</v>
      </c>
      <c r="E127" s="23" t="s">
        <v>288</v>
      </c>
      <c r="F127" s="23" t="s">
        <v>288</v>
      </c>
      <c r="G127" s="23" t="s">
        <v>288</v>
      </c>
      <c r="H127" s="90">
        <f t="shared" si="7"/>
        <v>687486</v>
      </c>
    </row>
    <row r="128" spans="1:8" ht="12.75" thickTop="1" thickBot="1" x14ac:dyDescent="0.25">
      <c r="A128" s="32" t="s">
        <v>226</v>
      </c>
      <c r="C128" s="68">
        <f>SUM(C118:C127)</f>
        <v>9982325.0700000003</v>
      </c>
      <c r="D128" s="68">
        <f>SUM(D118:D127)</f>
        <v>687486</v>
      </c>
      <c r="E128" s="68">
        <f>SUM(E118:E127)</f>
        <v>754782</v>
      </c>
      <c r="F128" s="68">
        <f>SUM(F118:F127)</f>
        <v>0</v>
      </c>
      <c r="G128" s="68">
        <f>SUM(G118:G127)</f>
        <v>0</v>
      </c>
      <c r="H128" s="68">
        <f t="shared" si="7"/>
        <v>11424593.07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84076</v>
      </c>
      <c r="D130" s="23" t="s">
        <v>288</v>
      </c>
      <c r="E130" s="92">
        <f>'DOE25'!L337</f>
        <v>16022</v>
      </c>
      <c r="F130" s="92">
        <f>SUM('DOE25'!L375:'DOE25'!L381)</f>
        <v>0</v>
      </c>
      <c r="G130" s="23" t="s">
        <v>288</v>
      </c>
      <c r="H130" s="90">
        <f t="shared" si="7"/>
        <v>100098</v>
      </c>
    </row>
    <row r="131" spans="1:8" x14ac:dyDescent="0.2">
      <c r="A131" t="s">
        <v>229</v>
      </c>
      <c r="B131" s="31">
        <v>5110</v>
      </c>
      <c r="C131" s="73">
        <f>'DOE25'!L261</f>
        <v>1024895</v>
      </c>
      <c r="D131" s="23" t="s">
        <v>288</v>
      </c>
      <c r="E131" s="92">
        <f>'DOE25'!L342</f>
        <v>0</v>
      </c>
      <c r="F131" s="23" t="s">
        <v>288</v>
      </c>
      <c r="G131" s="23" t="s">
        <v>288</v>
      </c>
      <c r="H131" s="90">
        <f t="shared" si="7"/>
        <v>1024895</v>
      </c>
    </row>
    <row r="132" spans="1:8" x14ac:dyDescent="0.2">
      <c r="A132" t="s">
        <v>230</v>
      </c>
      <c r="B132" s="31">
        <v>5120</v>
      </c>
      <c r="C132" s="73">
        <f>'DOE25'!L262</f>
        <v>30852</v>
      </c>
      <c r="D132" s="23" t="s">
        <v>288</v>
      </c>
      <c r="E132" s="92">
        <f>'DOE25'!L343</f>
        <v>0</v>
      </c>
      <c r="F132" s="23" t="s">
        <v>288</v>
      </c>
      <c r="G132" s="23" t="s">
        <v>288</v>
      </c>
      <c r="H132" s="90">
        <f t="shared" si="7"/>
        <v>30852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80120</v>
      </c>
      <c r="F134" s="73">
        <f>'DOE25'!K382</f>
        <v>0</v>
      </c>
      <c r="G134" s="73">
        <f>'DOE25'!K435</f>
        <v>122376</v>
      </c>
      <c r="H134" s="90">
        <f t="shared" si="7"/>
        <v>202496</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363714</v>
      </c>
      <c r="D138" s="23" t="s">
        <v>288</v>
      </c>
      <c r="E138" s="23" t="s">
        <v>288</v>
      </c>
      <c r="F138" s="23" t="s">
        <v>288</v>
      </c>
      <c r="G138" s="23" t="s">
        <v>288</v>
      </c>
      <c r="H138" s="90">
        <f t="shared" si="7"/>
        <v>363714</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-3714</v>
      </c>
      <c r="D141" s="23" t="s">
        <v>288</v>
      </c>
      <c r="E141" s="23" t="s">
        <v>288</v>
      </c>
      <c r="F141" s="23" t="s">
        <v>288</v>
      </c>
      <c r="G141" s="23" t="s">
        <v>288</v>
      </c>
      <c r="H141" s="90">
        <f t="shared" si="7"/>
        <v>-3714</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1499823</v>
      </c>
      <c r="D144" s="98">
        <f>SUM(D130:D143)</f>
        <v>0</v>
      </c>
      <c r="E144" s="98">
        <f>SUM(E130:E143)</f>
        <v>96142</v>
      </c>
      <c r="F144" s="98">
        <f>SUM(F130:F143)</f>
        <v>0</v>
      </c>
      <c r="G144" s="98">
        <f>SUM(G130:G143)</f>
        <v>122376</v>
      </c>
      <c r="H144" s="98">
        <f t="shared" si="7"/>
        <v>1718341</v>
      </c>
    </row>
    <row r="145" spans="1:9" ht="12.75" thickTop="1" thickBot="1" x14ac:dyDescent="0.25">
      <c r="A145" s="32" t="s">
        <v>244</v>
      </c>
      <c r="C145" s="68">
        <f>(C115+C128+C144)</f>
        <v>25121786.07</v>
      </c>
      <c r="D145" s="68">
        <f>(D115+D128+D144)</f>
        <v>687486</v>
      </c>
      <c r="E145" s="68">
        <f>(E115+E128+E144)</f>
        <v>2039083</v>
      </c>
      <c r="F145" s="68">
        <f>(F115+F128+F144)</f>
        <v>0</v>
      </c>
      <c r="G145" s="68">
        <f>(G115+G128+G144)</f>
        <v>122376</v>
      </c>
      <c r="H145" s="68">
        <f t="shared" si="7"/>
        <v>27970731.07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15</v>
      </c>
      <c r="D151" s="110">
        <f>'DOE25'!H491</f>
        <v>0</v>
      </c>
      <c r="E151" s="110">
        <f>'DOE25'!I491</f>
        <v>0</v>
      </c>
      <c r="F151" s="110">
        <f>'DOE25'!J491</f>
        <v>0</v>
      </c>
      <c r="G151" s="23" t="s">
        <v>288</v>
      </c>
    </row>
    <row r="152" spans="1:9" x14ac:dyDescent="0.2">
      <c r="A152" s="21" t="s">
        <v>28</v>
      </c>
      <c r="B152" s="109" t="str">
        <f>'DOE25'!F492</f>
        <v>3/11</v>
      </c>
      <c r="C152" s="109" t="str">
        <f>'DOE25'!G492</f>
        <v>11/09</v>
      </c>
      <c r="D152" s="109">
        <f>'DOE25'!H492</f>
        <v>0</v>
      </c>
      <c r="E152" s="109">
        <f>'DOE25'!I492</f>
        <v>0</v>
      </c>
      <c r="F152" s="109">
        <f>'DOE25'!J492</f>
        <v>0</v>
      </c>
      <c r="G152" s="23" t="s">
        <v>288</v>
      </c>
    </row>
    <row r="153" spans="1:9" x14ac:dyDescent="0.2">
      <c r="A153" s="21" t="s">
        <v>29</v>
      </c>
      <c r="B153" s="109" t="str">
        <f>'DOE25'!F493</f>
        <v>8/21</v>
      </c>
      <c r="C153" s="109" t="str">
        <f>'DOE25'!G493</f>
        <v>12/24</v>
      </c>
      <c r="D153" s="109">
        <f>'DOE25'!H493</f>
        <v>0</v>
      </c>
      <c r="E153" s="109">
        <f>'DOE25'!I493</f>
        <v>0</v>
      </c>
      <c r="F153" s="109">
        <f>'DOE25'!J493</f>
        <v>0</v>
      </c>
      <c r="G153" s="23" t="s">
        <v>288</v>
      </c>
    </row>
    <row r="154" spans="1:9" x14ac:dyDescent="0.2">
      <c r="A154" s="21" t="s">
        <v>30</v>
      </c>
      <c r="B154" s="19">
        <f>'DOE25'!F494</f>
        <v>8625000</v>
      </c>
      <c r="C154" s="19">
        <f>'DOE25'!G494</f>
        <v>3396240</v>
      </c>
      <c r="D154" s="19">
        <f>'DOE25'!H494</f>
        <v>0</v>
      </c>
      <c r="E154" s="19">
        <f>'DOE25'!I494</f>
        <v>0</v>
      </c>
      <c r="F154" s="19">
        <f>'DOE25'!J494</f>
        <v>0</v>
      </c>
      <c r="G154" s="23" t="s">
        <v>288</v>
      </c>
    </row>
    <row r="155" spans="1:9" x14ac:dyDescent="0.2">
      <c r="A155" s="21" t="s">
        <v>31</v>
      </c>
      <c r="B155" s="19">
        <f>'DOE25'!F495</f>
        <v>3.19</v>
      </c>
      <c r="C155" s="19">
        <f>'DOE25'!G495</f>
        <v>1.4</v>
      </c>
      <c r="D155" s="19">
        <f>'DOE25'!H495</f>
        <v>0</v>
      </c>
      <c r="E155" s="19">
        <f>'DOE25'!I495</f>
        <v>0</v>
      </c>
      <c r="F155" s="19">
        <f>'DOE25'!J495</f>
        <v>0</v>
      </c>
      <c r="G155" s="23" t="s">
        <v>288</v>
      </c>
    </row>
    <row r="156" spans="1:9" x14ac:dyDescent="0.2">
      <c r="A156" s="21" t="s">
        <v>32</v>
      </c>
      <c r="B156" s="19">
        <f>'DOE25'!F496</f>
        <v>795000</v>
      </c>
      <c r="C156" s="19">
        <f>'DOE25'!G496</f>
        <v>696189</v>
      </c>
      <c r="D156" s="19">
        <f>'DOE25'!H496</f>
        <v>0</v>
      </c>
      <c r="E156" s="19">
        <f>'DOE25'!I496</f>
        <v>0</v>
      </c>
      <c r="F156" s="19">
        <f>'DOE25'!J496</f>
        <v>0</v>
      </c>
      <c r="G156" s="96">
        <f>SUM(B156:F156)</f>
        <v>1491189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795000</v>
      </c>
      <c r="C158" s="19">
        <f>'DOE25'!G498</f>
        <v>230047</v>
      </c>
      <c r="D158" s="19">
        <f>'DOE25'!H498</f>
        <v>0</v>
      </c>
      <c r="E158" s="19">
        <f>'DOE25'!I498</f>
        <v>0</v>
      </c>
      <c r="F158" s="19">
        <f>'DOE25'!J498</f>
        <v>0</v>
      </c>
      <c r="G158" s="96">
        <f t="shared" si="8"/>
        <v>1025047</v>
      </c>
    </row>
    <row r="159" spans="1:9" x14ac:dyDescent="0.2">
      <c r="A159" s="21" t="s">
        <v>35</v>
      </c>
      <c r="B159" s="19">
        <f>'DOE25'!F499</f>
        <v>0</v>
      </c>
      <c r="C159" s="19">
        <f>'DOE25'!G499</f>
        <v>465519</v>
      </c>
      <c r="D159" s="19">
        <f>'DOE25'!H499</f>
        <v>0</v>
      </c>
      <c r="E159" s="19">
        <f>'DOE25'!I499</f>
        <v>0</v>
      </c>
      <c r="F159" s="19">
        <f>'DOE25'!J499</f>
        <v>0</v>
      </c>
      <c r="G159" s="96">
        <f t="shared" si="8"/>
        <v>465519</v>
      </c>
    </row>
    <row r="160" spans="1:9" x14ac:dyDescent="0.2">
      <c r="A160" s="21" t="s">
        <v>36</v>
      </c>
      <c r="B160" s="19">
        <f>'DOE25'!F500</f>
        <v>0</v>
      </c>
      <c r="C160" s="19">
        <f>'DOE25'!G500</f>
        <v>9782</v>
      </c>
      <c r="D160" s="19">
        <f>'DOE25'!H500</f>
        <v>0</v>
      </c>
      <c r="E160" s="19">
        <f>'DOE25'!I500</f>
        <v>0</v>
      </c>
      <c r="F160" s="19">
        <f>'DOE25'!J500</f>
        <v>0</v>
      </c>
      <c r="G160" s="96">
        <f t="shared" si="8"/>
        <v>9782</v>
      </c>
    </row>
    <row r="161" spans="1:7" x14ac:dyDescent="0.2">
      <c r="A161" s="21" t="s">
        <v>37</v>
      </c>
      <c r="B161" s="19">
        <f>'DOE25'!F501</f>
        <v>0</v>
      </c>
      <c r="C161" s="19">
        <f>'DOE25'!G501</f>
        <v>475301</v>
      </c>
      <c r="D161" s="19">
        <f>'DOE25'!H501</f>
        <v>0</v>
      </c>
      <c r="E161" s="19">
        <f>'DOE25'!I501</f>
        <v>0</v>
      </c>
      <c r="F161" s="19">
        <f>'DOE25'!J501</f>
        <v>0</v>
      </c>
      <c r="G161" s="96">
        <f t="shared" si="8"/>
        <v>475301</v>
      </c>
    </row>
    <row r="162" spans="1:7" x14ac:dyDescent="0.2">
      <c r="A162" s="21" t="s">
        <v>38</v>
      </c>
      <c r="B162" s="19">
        <f>'DOE25'!F502</f>
        <v>0</v>
      </c>
      <c r="C162" s="19">
        <f>'DOE25'!G502</f>
        <v>231138</v>
      </c>
      <c r="D162" s="19">
        <f>'DOE25'!H502</f>
        <v>0</v>
      </c>
      <c r="E162" s="19">
        <f>'DOE25'!I502</f>
        <v>0</v>
      </c>
      <c r="F162" s="19">
        <f>'DOE25'!J502</f>
        <v>0</v>
      </c>
      <c r="G162" s="96">
        <f t="shared" si="8"/>
        <v>231138</v>
      </c>
    </row>
    <row r="163" spans="1:7" x14ac:dyDescent="0.2">
      <c r="A163" s="21" t="s">
        <v>39</v>
      </c>
      <c r="B163" s="19">
        <f>'DOE25'!F503</f>
        <v>0</v>
      </c>
      <c r="C163" s="19">
        <f>'DOE25'!G503</f>
        <v>9753</v>
      </c>
      <c r="D163" s="19">
        <f>'DOE25'!H503</f>
        <v>0</v>
      </c>
      <c r="E163" s="19">
        <f>'DOE25'!I503</f>
        <v>0</v>
      </c>
      <c r="F163" s="19">
        <f>'DOE25'!J503</f>
        <v>0</v>
      </c>
      <c r="G163" s="96">
        <f t="shared" si="8"/>
        <v>9753</v>
      </c>
    </row>
    <row r="164" spans="1:7" x14ac:dyDescent="0.2">
      <c r="A164" s="21" t="s">
        <v>246</v>
      </c>
      <c r="B164" s="19">
        <f>'DOE25'!F504</f>
        <v>0</v>
      </c>
      <c r="C164" s="19">
        <f>'DOE25'!G504</f>
        <v>240891</v>
      </c>
      <c r="D164" s="19">
        <f>'DOE25'!H504</f>
        <v>0</v>
      </c>
      <c r="E164" s="19">
        <f>'DOE25'!I504</f>
        <v>0</v>
      </c>
      <c r="F164" s="19">
        <f>'DOE25'!J504</f>
        <v>0</v>
      </c>
      <c r="G164" s="96">
        <f t="shared" si="8"/>
        <v>240891</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55" zoomScale="279" zoomScaleNormal="279" workbookViewId="0">
      <selection activeCell="G17" sqref="G17"/>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12" t="s">
        <v>736</v>
      </c>
      <c r="B1" s="312"/>
      <c r="C1" s="312"/>
      <c r="D1" s="312"/>
    </row>
    <row r="2" spans="1:4" x14ac:dyDescent="0.2">
      <c r="A2" s="136" t="s">
        <v>713</v>
      </c>
      <c r="B2" s="135" t="str">
        <f>'DOE25'!A2</f>
        <v>Winnisquam Regional</v>
      </c>
    </row>
    <row r="3" spans="1:4" x14ac:dyDescent="0.2">
      <c r="B3" s="137" t="s">
        <v>1799</v>
      </c>
    </row>
    <row r="4" spans="1:4" x14ac:dyDescent="0.2">
      <c r="B4" t="s">
        <v>61</v>
      </c>
      <c r="C4" s="129">
        <f>IF('DOE25'!F666+'DOE25'!F671=0,0,ROUND('DOE25'!F673,0))</f>
        <v>19873</v>
      </c>
    </row>
    <row r="5" spans="1:4" x14ac:dyDescent="0.2">
      <c r="B5" t="s">
        <v>700</v>
      </c>
      <c r="C5" s="129">
        <f>IF('DOE25'!G666+'DOE25'!G671=0,0,ROUND('DOE25'!G673,0))</f>
        <v>18394</v>
      </c>
    </row>
    <row r="6" spans="1:4" x14ac:dyDescent="0.2">
      <c r="B6" t="s">
        <v>62</v>
      </c>
      <c r="C6" s="129">
        <f>IF('DOE25'!H666+'DOE25'!H671=0,0,ROUND('DOE25'!H673,0))</f>
        <v>18804</v>
      </c>
    </row>
    <row r="7" spans="1:4" x14ac:dyDescent="0.2">
      <c r="B7" t="s">
        <v>701</v>
      </c>
      <c r="C7" s="129">
        <f>IF('DOE25'!I666+'DOE25'!I671=0,0,ROUND('DOE25'!I673,0))</f>
        <v>19135</v>
      </c>
    </row>
    <row r="9" spans="1:4" x14ac:dyDescent="0.2">
      <c r="A9" s="136" t="s">
        <v>94</v>
      </c>
      <c r="B9" s="137" t="s">
        <v>1800</v>
      </c>
      <c r="C9" s="131" t="s">
        <v>720</v>
      </c>
      <c r="D9" s="131" t="s">
        <v>721</v>
      </c>
    </row>
    <row r="10" spans="1:4" x14ac:dyDescent="0.2">
      <c r="A10">
        <v>1100</v>
      </c>
      <c r="B10" t="s">
        <v>702</v>
      </c>
      <c r="C10" s="129">
        <f>ROUND('DOE25'!L198+'DOE25'!L216+'DOE25'!L234+'DOE25'!L277+'DOE25'!L296+'DOE25'!L315,0)</f>
        <v>8893915</v>
      </c>
      <c r="D10" s="132">
        <f>ROUND((C10/$C$28)*100,1)</f>
        <v>34</v>
      </c>
    </row>
    <row r="11" spans="1:4" x14ac:dyDescent="0.2">
      <c r="A11">
        <v>1200</v>
      </c>
      <c r="B11" t="s">
        <v>703</v>
      </c>
      <c r="C11" s="129">
        <f>ROUND('DOE25'!L199+'DOE25'!L217+'DOE25'!L235+'DOE25'!L278+'DOE25'!L297+'DOE25'!L316,0)</f>
        <v>4870980</v>
      </c>
      <c r="D11" s="132">
        <f>ROUND((C11/$C$28)*100,1)</f>
        <v>18.600000000000001</v>
      </c>
    </row>
    <row r="12" spans="1:4" x14ac:dyDescent="0.2">
      <c r="A12">
        <v>1300</v>
      </c>
      <c r="B12" t="s">
        <v>704</v>
      </c>
      <c r="C12" s="129">
        <f>ROUND('DOE25'!L200+'DOE25'!L218+'DOE25'!L236+'DOE25'!L279+'DOE25'!L298+'DOE25'!L317,0)</f>
        <v>389274</v>
      </c>
      <c r="D12" s="132">
        <f>ROUND((C12/$C$28)*100,1)</f>
        <v>1.5</v>
      </c>
    </row>
    <row r="13" spans="1:4" x14ac:dyDescent="0.2">
      <c r="A13">
        <v>1400</v>
      </c>
      <c r="B13" t="s">
        <v>705</v>
      </c>
      <c r="C13" s="129">
        <f>ROUND('DOE25'!L201+'DOE25'!L219+'DOE25'!L237+'DOE25'!L280+'DOE25'!L299+'DOE25'!L318,0)</f>
        <v>673628</v>
      </c>
      <c r="D13" s="132">
        <f>ROUND((C13/$C$28)*100,1)</f>
        <v>2.6</v>
      </c>
    </row>
    <row r="14" spans="1:4" x14ac:dyDescent="0.2">
      <c r="D14" s="132"/>
    </row>
    <row r="15" spans="1:4" x14ac:dyDescent="0.2">
      <c r="A15">
        <v>2100</v>
      </c>
      <c r="B15" t="s">
        <v>706</v>
      </c>
      <c r="C15" s="129">
        <f>ROUND('DOE25'!L203+'DOE25'!L221+'DOE25'!L239+'DOE25'!L282+'DOE25'!L301+'DOE25'!L320,0)</f>
        <v>2129142</v>
      </c>
      <c r="D15" s="132">
        <f t="shared" ref="D15:D27" si="0">ROUND((C15/$C$28)*100,1)</f>
        <v>8.1</v>
      </c>
    </row>
    <row r="16" spans="1:4" x14ac:dyDescent="0.2">
      <c r="A16">
        <v>2200</v>
      </c>
      <c r="B16" t="s">
        <v>707</v>
      </c>
      <c r="C16" s="129">
        <f>ROUND('DOE25'!L204+'DOE25'!L222+'DOE25'!L240+'DOE25'!L283+'DOE25'!L302+'DOE25'!L321,0)</f>
        <v>705379</v>
      </c>
      <c r="D16" s="132">
        <f t="shared" si="0"/>
        <v>2.7</v>
      </c>
    </row>
    <row r="17" spans="1:4" x14ac:dyDescent="0.2">
      <c r="A17" s="133" t="s">
        <v>723</v>
      </c>
      <c r="B17" t="s">
        <v>738</v>
      </c>
      <c r="C17" s="129">
        <f>ROUND('DOE25'!L205+'DOE25'!L210+'DOE25'!L223+'DOE25'!L228+'DOE25'!L241+'DOE25'!L246+'DOE25'!L284+'DOE25'!L289+'DOE25'!L303+'DOE25'!L308+'DOE25'!L322+'DOE25'!L327,0)</f>
        <v>2409132</v>
      </c>
      <c r="D17" s="132">
        <f t="shared" si="0"/>
        <v>9.1999999999999993</v>
      </c>
    </row>
    <row r="18" spans="1:4" x14ac:dyDescent="0.2">
      <c r="A18">
        <v>2400</v>
      </c>
      <c r="B18" t="s">
        <v>711</v>
      </c>
      <c r="C18" s="129">
        <f>ROUND('DOE25'!L206+'DOE25'!L224+'DOE25'!L242+'DOE25'!L285+'DOE25'!L304+'DOE25'!L323,0)</f>
        <v>1629571</v>
      </c>
      <c r="D18" s="132">
        <f t="shared" si="0"/>
        <v>6.2</v>
      </c>
    </row>
    <row r="19" spans="1:4" x14ac:dyDescent="0.2">
      <c r="A19">
        <v>2500</v>
      </c>
      <c r="B19" t="s">
        <v>708</v>
      </c>
      <c r="C19" s="129">
        <f>ROUND('DOE25'!L207+'DOE25'!L225+'DOE25'!L243+'DOE25'!L286+'DOE25'!L305+'DOE25'!L324,0)</f>
        <v>399789</v>
      </c>
      <c r="D19" s="132">
        <f t="shared" si="0"/>
        <v>1.5</v>
      </c>
    </row>
    <row r="20" spans="1:4" x14ac:dyDescent="0.2">
      <c r="A20">
        <v>2600</v>
      </c>
      <c r="B20" t="s">
        <v>709</v>
      </c>
      <c r="C20" s="129">
        <f>ROUND('DOE25'!L208+'DOE25'!L226+'DOE25'!L244+'DOE25'!L287+'DOE25'!L306+'DOE25'!L325,0)</f>
        <v>2230950</v>
      </c>
      <c r="D20" s="132">
        <f t="shared" si="0"/>
        <v>8.5</v>
      </c>
    </row>
    <row r="21" spans="1:4" x14ac:dyDescent="0.2">
      <c r="A21">
        <v>2700</v>
      </c>
      <c r="B21" t="s">
        <v>710</v>
      </c>
      <c r="C21" s="129">
        <f>ROUND('DOE25'!L209+'DOE25'!L227+'DOE25'!L245+'DOE25'!L288+'DOE25'!L307+'DOE25'!L326,0)</f>
        <v>1233144</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30852</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596678</v>
      </c>
      <c r="D27" s="132">
        <f t="shared" si="0"/>
        <v>2.2999999999999998</v>
      </c>
    </row>
    <row r="28" spans="1:4" x14ac:dyDescent="0.2">
      <c r="B28" s="136" t="s">
        <v>719</v>
      </c>
      <c r="C28" s="130">
        <f>SUM(C10:C27)</f>
        <v>26192434</v>
      </c>
      <c r="D28" s="134">
        <f>ROUND(SUM(D10:D27),0)</f>
        <v>100</v>
      </c>
    </row>
    <row r="29" spans="1:4" x14ac:dyDescent="0.2">
      <c r="A29">
        <v>4000</v>
      </c>
      <c r="B29" t="s">
        <v>724</v>
      </c>
      <c r="C29" s="129">
        <f>ROUND('DOE25'!L256+'DOE25'!L337+'DOE25'!L375+'DOE25'!L376+'DOE25'!L377+'DOE25'!L378+'DOE25'!L379+'DOE25'!L380+'DOE25'!L381,0)</f>
        <v>100098</v>
      </c>
    </row>
    <row r="30" spans="1:4" x14ac:dyDescent="0.2">
      <c r="B30" s="136" t="s">
        <v>725</v>
      </c>
      <c r="C30" s="130">
        <f>SUM(C28:C29)</f>
        <v>26292532</v>
      </c>
    </row>
    <row r="31" spans="1:4" x14ac:dyDescent="0.2">
      <c r="B31" s="32"/>
      <c r="C31" s="130"/>
    </row>
    <row r="32" spans="1:4" x14ac:dyDescent="0.2">
      <c r="A32">
        <v>5100</v>
      </c>
      <c r="B32" s="32" t="s">
        <v>726</v>
      </c>
      <c r="C32" s="130">
        <f>ROUND('DOE25'!L261+'DOE25'!L342,0)</f>
        <v>1024895</v>
      </c>
    </row>
    <row r="34" spans="1:4" x14ac:dyDescent="0.2">
      <c r="A34" s="136" t="s">
        <v>94</v>
      </c>
      <c r="B34" s="137" t="s">
        <v>1801</v>
      </c>
      <c r="C34" s="131" t="s">
        <v>720</v>
      </c>
      <c r="D34" s="131" t="s">
        <v>721</v>
      </c>
    </row>
    <row r="35" spans="1:4" x14ac:dyDescent="0.2">
      <c r="A35">
        <v>1100</v>
      </c>
      <c r="B35" s="71" t="s">
        <v>727</v>
      </c>
      <c r="C35" s="129">
        <f>ROUND('DOE25'!F60+'DOE25'!G60+'DOE25'!H60+'DOE25'!I60+'DOE25'!J60,0)</f>
        <v>12474300</v>
      </c>
      <c r="D35" s="132">
        <f t="shared" ref="D35:D40" si="1">ROUND((C35/$C$41)*100,1)</f>
        <v>47.1</v>
      </c>
    </row>
    <row r="36" spans="1:4" x14ac:dyDescent="0.2">
      <c r="B36" s="71" t="s">
        <v>739</v>
      </c>
      <c r="C36" s="129">
        <f>SUM('DOE25'!F112:J112)-SUM('DOE25'!G97:G110)+('DOE25'!F175+'DOE25'!F176+'DOE25'!I175+'DOE25'!I176)-C35</f>
        <v>149028</v>
      </c>
      <c r="D36" s="132">
        <f t="shared" si="1"/>
        <v>0.6</v>
      </c>
    </row>
    <row r="37" spans="1:4" x14ac:dyDescent="0.2">
      <c r="A37" s="133" t="s">
        <v>835</v>
      </c>
      <c r="B37" s="71" t="s">
        <v>728</v>
      </c>
      <c r="C37" s="129">
        <f>ROUND('DOE25'!F117+'DOE25'!F118,0)</f>
        <v>9831587</v>
      </c>
      <c r="D37" s="132">
        <f t="shared" si="1"/>
        <v>37.1</v>
      </c>
    </row>
    <row r="38" spans="1:4" x14ac:dyDescent="0.2">
      <c r="A38" s="133" t="s">
        <v>734</v>
      </c>
      <c r="B38" s="71" t="s">
        <v>729</v>
      </c>
      <c r="C38" s="129">
        <f>ROUND(SUM('DOE25'!F140:J140)-SUM('DOE25'!F117:F119),0)</f>
        <v>684157</v>
      </c>
      <c r="D38" s="132">
        <f t="shared" si="1"/>
        <v>2.6</v>
      </c>
    </row>
    <row r="39" spans="1:4" x14ac:dyDescent="0.2">
      <c r="A39">
        <v>4000</v>
      </c>
      <c r="B39" s="71" t="s">
        <v>730</v>
      </c>
      <c r="C39" s="129">
        <f>ROUND('DOE25'!F170+'DOE25'!G170+'DOE25'!H170+'DOE25'!I170,0)</f>
        <v>3327577</v>
      </c>
      <c r="D39" s="132">
        <f t="shared" si="1"/>
        <v>12.6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26466649</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topLeftCell="A43" zoomScaleNormal="100" workbookViewId="0">
      <selection activeCell="C4" sqref="C4:M4"/>
    </sheetView>
  </sheetViews>
  <sheetFormatPr defaultColWidth="8.6640625" defaultRowHeight="11.25" x14ac:dyDescent="0.2"/>
  <cols>
    <col min="1" max="1" width="10.16406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Winnisquam Regional</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261</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71</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96</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275</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f>IFERROR(SMALL($I$4:$I$325,ROWS($I$4:I6)),"")</f>
        <v>296</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51"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f>IF('School Level Expenditures'!$B$2='School Tables'!L74,'School Tables'!S74,"")</f>
        <v>71</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f>IF('School Level Expenditures'!$B$2='School Tables'!W99,'School Tables'!AD99,"")</f>
        <v>96</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63.75"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63.75"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f>IF('School Level Expenditures'!$B$2=A264,'School Tables'!H264,"")</f>
        <v>261</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f>IF('School Level Expenditures'!$B$2=A278,'School Tables'!H278,"")</f>
        <v>275</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f>IF('School Level Expenditures'!$B$2=A299,'School Tables'!H299,"")</f>
        <v>296</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2022-10-21T16:09:55Z</cp:lastPrinted>
  <dcterms:created xsi:type="dcterms:W3CDTF">1997-12-04T19:04:30Z</dcterms:created>
  <dcterms:modified xsi:type="dcterms:W3CDTF">2022-12-20T17:41:51Z</dcterms:modified>
</cp:coreProperties>
</file>