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CD3570FE-9576-4B4B-9E57-DEE0E5FFE90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 i="14" l="1"/>
  <c r="O7" i="14"/>
  <c r="N6" i="14"/>
  <c r="N7" i="14"/>
  <c r="M6" i="14"/>
  <c r="M7" i="14"/>
  <c r="L7" i="14"/>
  <c r="L6" i="14"/>
  <c r="K7" i="14"/>
  <c r="K6" i="14"/>
  <c r="K38" i="14"/>
  <c r="D6" i="14"/>
  <c r="D7" i="14"/>
  <c r="E6" i="14" l="1"/>
  <c r="F14" i="13" l="1"/>
  <c r="F15" i="13"/>
  <c r="F6" i="13"/>
  <c r="H544" i="1"/>
  <c r="H542" i="1"/>
  <c r="G529" i="1"/>
  <c r="H529" i="1"/>
  <c r="I529" i="1"/>
  <c r="J529" i="1"/>
  <c r="K529" i="1"/>
  <c r="G527" i="1"/>
  <c r="H527" i="1"/>
  <c r="I527" i="1"/>
  <c r="J527" i="1"/>
  <c r="K527" i="1"/>
  <c r="F529" i="1"/>
  <c r="F527" i="1"/>
  <c r="G524" i="1"/>
  <c r="H524" i="1"/>
  <c r="I524" i="1"/>
  <c r="J524" i="1"/>
  <c r="K524" i="1"/>
  <c r="G522" i="1"/>
  <c r="H522" i="1"/>
  <c r="I522" i="1"/>
  <c r="J522" i="1"/>
  <c r="K522" i="1"/>
  <c r="F524" i="1"/>
  <c r="H199" i="1"/>
  <c r="H198" i="1" l="1"/>
  <c r="F368" i="1"/>
  <c r="H596" i="1" l="1"/>
  <c r="H592" i="1"/>
  <c r="H209" i="1"/>
  <c r="J96" i="1" l="1"/>
  <c r="H161" i="1"/>
  <c r="H159" i="1"/>
  <c r="H277" i="1"/>
  <c r="I277" i="1"/>
  <c r="I285" i="1"/>
  <c r="I282" i="1" l="1"/>
  <c r="G282" i="1"/>
  <c r="F282" i="1"/>
  <c r="H278" i="1"/>
  <c r="F278" i="1"/>
  <c r="G440" i="1" l="1"/>
  <c r="H401" i="1"/>
  <c r="J469" i="1"/>
  <c r="F199" i="1" l="1"/>
  <c r="F522" i="1" s="1"/>
  <c r="H473" i="1" l="1"/>
  <c r="F473" i="1"/>
  <c r="H469" i="1"/>
  <c r="F469" i="1"/>
  <c r="F120" i="1" l="1"/>
  <c r="F9"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G652" i="1"/>
  <c r="H653" i="1"/>
  <c r="G654" i="1"/>
  <c r="H654" i="1"/>
  <c r="H655" i="1"/>
  <c r="H656" i="1"/>
  <c r="H101" i="2" l="1"/>
  <c r="H99" i="2"/>
  <c r="H79" i="2"/>
  <c r="H76" i="2"/>
  <c r="H38" i="2"/>
  <c r="H43" i="2"/>
  <c r="G409" i="1"/>
  <c r="H646" i="1" s="1"/>
  <c r="H605" i="1"/>
  <c r="H35" i="2"/>
  <c r="H9" i="2"/>
  <c r="E112" i="2"/>
  <c r="F409" i="1"/>
  <c r="H644" i="1" s="1"/>
  <c r="F85" i="2"/>
  <c r="H28" i="2"/>
  <c r="H17" i="2"/>
  <c r="H15" i="2"/>
  <c r="E111" i="2"/>
  <c r="H69" i="2"/>
  <c r="J652" i="1"/>
  <c r="C13" i="10"/>
  <c r="C32" i="10"/>
  <c r="G646" i="1"/>
  <c r="H30" i="2"/>
  <c r="H13" i="2"/>
  <c r="C112" i="2"/>
  <c r="C119" i="2"/>
  <c r="H125" i="2"/>
  <c r="C110" i="2"/>
  <c r="H102" i="2"/>
  <c r="H96" i="2"/>
  <c r="H80" i="2"/>
  <c r="H98" i="2"/>
  <c r="H73" i="2"/>
  <c r="H47" i="2"/>
  <c r="H112" i="2"/>
  <c r="H89" i="2"/>
  <c r="H59" i="2"/>
  <c r="H34" i="2"/>
  <c r="H11" i="2"/>
  <c r="H477" i="1"/>
  <c r="H625" i="1" s="1"/>
  <c r="J625" i="1" s="1"/>
  <c r="H94" i="2"/>
  <c r="H29" i="2"/>
  <c r="H27" i="2"/>
  <c r="H24" i="2"/>
  <c r="H12" i="2"/>
  <c r="H8" i="2"/>
  <c r="K2" i="14"/>
  <c r="K3" i="14" s="1"/>
  <c r="D18" i="13"/>
  <c r="C18" i="13" s="1"/>
  <c r="D15" i="13"/>
  <c r="C15" i="13" s="1"/>
  <c r="C121" i="2"/>
  <c r="C12" i="10"/>
  <c r="C120" i="2"/>
  <c r="H120" i="2" s="1"/>
  <c r="I409" i="1"/>
  <c r="H58" i="2"/>
  <c r="H113" i="2"/>
  <c r="H132" i="2"/>
  <c r="G662" i="1"/>
  <c r="H36" i="2"/>
  <c r="H44" i="2"/>
  <c r="H48" i="2"/>
  <c r="D144" i="2"/>
  <c r="H97" i="2"/>
  <c r="H93" i="2"/>
  <c r="H87" i="2"/>
  <c r="H26" i="2"/>
  <c r="E121" i="2"/>
  <c r="N2" i="14"/>
  <c r="N3" i="14" s="1"/>
  <c r="H100" i="2"/>
  <c r="H137" i="2"/>
  <c r="H131" i="2"/>
  <c r="H77" i="2"/>
  <c r="H61" i="2"/>
  <c r="H23" i="2"/>
  <c r="H22" i="2"/>
  <c r="M2" i="14"/>
  <c r="M3" i="14" s="1"/>
  <c r="D6" i="13"/>
  <c r="C6" i="13" s="1"/>
  <c r="L2" i="14"/>
  <c r="L3" i="14" s="1"/>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H606" i="1" l="1"/>
  <c r="K605" i="1"/>
  <c r="K606" i="1" s="1"/>
  <c r="G649" i="1" s="1"/>
  <c r="H114" i="2"/>
  <c r="H42" i="2"/>
  <c r="F664" i="1"/>
  <c r="I664" i="1" s="1"/>
  <c r="L572" i="1"/>
  <c r="G24" i="14"/>
  <c r="H24" i="14" s="1"/>
  <c r="I24" i="14" s="1"/>
  <c r="H121" i="2"/>
  <c r="D51" i="2"/>
  <c r="H103" i="2"/>
  <c r="H16" i="2"/>
  <c r="H134" i="2"/>
  <c r="D128" i="2"/>
  <c r="D145" i="2" s="1"/>
  <c r="H127" i="2"/>
  <c r="H21" i="2"/>
  <c r="F194" i="1"/>
  <c r="G628" i="1" s="1"/>
  <c r="J628" i="1" s="1"/>
  <c r="H50" i="2"/>
  <c r="H57" i="2"/>
  <c r="H85" i="2"/>
  <c r="H123" i="2"/>
  <c r="H91" i="2"/>
  <c r="E51" i="2"/>
  <c r="E128" i="2"/>
  <c r="H62" i="2"/>
  <c r="I662" i="1"/>
  <c r="H31" i="2"/>
  <c r="H18" i="2"/>
  <c r="H118" i="2"/>
  <c r="C81" i="2"/>
  <c r="H81" i="2" s="1"/>
  <c r="H7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C145" i="2" s="1"/>
  <c r="H141" i="2"/>
  <c r="H128" i="2"/>
  <c r="H5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<sst xmlns="http://schemas.openxmlformats.org/spreadsheetml/2006/main" count="6561" uniqueCount="1815">
  <si>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</si>
  <si>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</si>
  <si>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</si>
  <si>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</si>
  <si>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</si>
  <si>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</si>
  <si>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</si>
  <si>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</si>
  <si>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</si>
  <si>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</si>
  <si>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</si>
  <si>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</si>
  <si>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</si>
  <si>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</si>
  <si>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</si>
  <si>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</si>
  <si>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</si>
  <si>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</si>
  <si>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</si>
  <si>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</si>
  <si>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</si>
  <si>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</si>
  <si>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</si>
  <si>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</si>
  <si>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</si>
  <si>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</si>
  <si>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</si>
  <si>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</si>
  <si>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</si>
  <si>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</si>
  <si>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</si>
  <si>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</si>
  <si>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</si>
  <si>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</si>
  <si>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</si>
  <si>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</si>
  <si>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</si>
  <si>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</si>
  <si>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</si>
  <si>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</si>
  <si>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</si>
  <si>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</si>
  <si>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</si>
  <si>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</si>
  <si>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</si>
  <si>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</si>
  <si>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</si>
  <si>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</si>
  <si>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</si>
  <si>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</si>
  <si>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</si>
  <si>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</si>
  <si>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</si>
  <si>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</si>
  <si>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</si>
  <si>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</si>
  <si>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</si>
  <si>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</si>
  <si>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</si>
  <si>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</si>
  <si>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</si>
  <si>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</si>
  <si>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</si>
  <si>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</si>
  <si>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</si>
  <si>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</si>
  <si>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</si>
  <si>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</si>
  <si>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</si>
  <si>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</si>
  <si>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</si>
  <si>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</si>
  <si>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</si>
  <si>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</si>
  <si>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</si>
  <si>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</si>
  <si>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</si>
  <si>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</si>
  <si>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</si>
  <si>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</si>
  <si>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</si>
  <si>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</si>
  <si>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</si>
  <si>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</si>
  <si>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</si>
  <si>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</si>
  <si>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</si>
  <si>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</si>
  <si>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</si>
  <si>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</si>
  <si>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</si>
  <si>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</si>
  <si>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</si>
  <si>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</si>
  <si>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</si>
  <si>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</si>
  <si>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</si>
  <si>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</si>
  <si>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</si>
  <si>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</si>
  <si>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</si>
  <si>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</si>
  <si>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</si>
  <si>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</si>
  <si>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</si>
  <si>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</si>
  <si>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</si>
  <si>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</si>
  <si>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</si>
  <si>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</si>
  <si>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</si>
  <si>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</si>
  <si>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</si>
  <si>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</si>
  <si>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</si>
  <si>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</si>
  <si>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</si>
  <si>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</si>
  <si>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</si>
  <si>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</si>
  <si>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</si>
  <si>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</si>
  <si>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</si>
  <si>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</si>
  <si>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</si>
  <si>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</si>
  <si>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</si>
  <si>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</si>
  <si>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</si>
  <si>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</si>
  <si>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</si>
  <si>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</si>
  <si>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</si>
  <si>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</si>
  <si>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</si>
  <si>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</si>
  <si>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</si>
  <si>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</si>
  <si>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</si>
  <si>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</si>
  <si>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</si>
  <si>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</si>
  <si>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</si>
  <si>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</si>
  <si>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</si>
  <si>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</si>
  <si>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</si>
  <si>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</si>
  <si>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</si>
  <si>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</si>
  <si>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</si>
  <si>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</si>
  <si>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</si>
  <si>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</si>
  <si>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</si>
  <si>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</si>
  <si>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</si>
  <si>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</si>
  <si>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</si>
  <si>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</si>
  <si>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</si>
  <si>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</si>
  <si>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</si>
  <si>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</si>
  <si>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</si>
  <si>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</si>
  <si>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</si>
  <si>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</si>
  <si>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</si>
  <si>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</si>
  <si>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</si>
  <si>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</si>
  <si>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</si>
  <si>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</si>
  <si>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</si>
  <si>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</si>
  <si>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</si>
  <si>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</si>
  <si>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</si>
  <si>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</si>
  <si>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</si>
  <si>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</si>
  <si>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</si>
  <si>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</si>
  <si>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</si>
  <si>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</si>
  <si>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</si>
  <si>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</si>
  <si>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</si>
  <si>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</si>
  <si>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</si>
  <si>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</si>
  <si>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</si>
  <si>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</si>
  <si>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</si>
  <si>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</si>
  <si>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</si>
  <si>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</si>
  <si>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</si>
  <si>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</si>
  <si>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</si>
  <si>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</si>
  <si>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</si>
  <si>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</si>
  <si>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</si>
  <si>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</si>
  <si>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</si>
  <si>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</si>
  <si>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</si>
  <si>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</si>
  <si>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</si>
  <si>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</si>
  <si>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</si>
  <si>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</si>
  <si>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</si>
  <si>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</si>
  <si>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</si>
  <si>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</si>
  <si>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</si>
  <si>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</si>
  <si>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</si>
  <si>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</si>
  <si>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</si>
  <si>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</si>
  <si>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</si>
  <si>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</si>
  <si>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</si>
  <si>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</si>
  <si>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</si>
  <si>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</si>
  <si>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</si>
  <si>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</si>
  <si>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</si>
  <si>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</si>
  <si>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</si>
  <si>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</si>
  <si>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</si>
  <si>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</si>
  <si>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</si>
  <si>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</si>
  <si>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</si>
  <si>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</si>
  <si>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</si>
  <si>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</si>
  <si>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</si>
  <si>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</si>
  <si>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</si>
  <si>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</si>
  <si>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</si>
  <si>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</si>
  <si>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</si>
  <si>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</si>
  <si>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</si>
  <si>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</si>
  <si>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</si>
  <si>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</si>
  <si>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</si>
  <si>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</si>
  <si>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</si>
  <si>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</si>
  <si>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</si>
  <si>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</si>
  <si>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</si>
  <si>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</si>
  <si>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</si>
  <si>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</si>
  <si>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</si>
  <si>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</si>
  <si>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</si>
  <si>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</si>
  <si>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</si>
  <si>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</si>
  <si>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</si>
  <si>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</si>
  <si>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</si>
  <si>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</si>
  <si>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</si>
  <si>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</si>
  <si>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</si>
  <si>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</si>
  <si>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</si>
  <si>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</si>
  <si>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</si>
  <si>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</si>
  <si>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</si>
  <si>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</si>
  <si>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</si>
  <si>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</si>
  <si>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</si>
  <si>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</si>
  <si>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</si>
  <si>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</si>
  <si>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</si>
  <si>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</si>
  <si>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</si>
  <si>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</si>
  <si>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</si>
  <si>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</si>
  <si>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</si>
  <si>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</si>
  <si>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</si>
  <si>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</si>
  <si>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</si>
  <si>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</si>
  <si>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</si>
  <si>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</si>
  <si>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</si>
  <si>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</si>
  <si>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</si>
  <si>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</si>
  <si>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</si>
  <si>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</si>
  <si>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</si>
  <si>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</si>
  <si>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</si>
  <si>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</si>
  <si>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</si>
  <si>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</si>
  <si>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</si>
  <si>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</si>
  <si>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</si>
  <si>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</si>
  <si>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</si>
  <si>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</si>
  <si>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</si>
  <si>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</si>
  <si>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</si>
  <si>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</si>
  <si>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</si>
  <si>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</si>
  <si>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</si>
  <si>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</si>
  <si>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</si>
  <si>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</si>
  <si>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</si>
  <si>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</si>
  <si>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</si>
  <si>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</si>
  <si>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</si>
  <si>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</si>
  <si>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</si>
  <si>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</si>
  <si>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</si>
  <si>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</si>
  <si>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</si>
  <si>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</si>
  <si>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</si>
  <si>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</si>
  <si>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</si>
  <si>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</si>
  <si>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</si>
  <si>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</si>
  <si>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</si>
  <si>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</si>
  <si>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</si>
  <si>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</si>
  <si>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</si>
  <si>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</si>
  <si>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</si>
  <si>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</si>
  <si>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</si>
  <si>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</si>
  <si>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</si>
  <si>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</si>
  <si>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</si>
  <si>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</si>
  <si>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</si>
  <si>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</si>
  <si>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</si>
  <si>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</si>
  <si>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</si>
  <si>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</si>
  <si>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</si>
  <si>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</si>
  <si>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</si>
  <si>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</si>
  <si>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</si>
  <si>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</si>
  <si>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</si>
  <si>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</si>
  <si>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</si>
  <si>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</si>
  <si>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</si>
  <si>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</si>
  <si>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</si>
  <si>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</si>
  <si>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</si>
  <si>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</si>
  <si>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</si>
  <si>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</si>
  <si>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</si>
  <si>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</si>
  <si>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</si>
  <si>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</si>
  <si>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</si>
  <si>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</si>
  <si>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</si>
  <si>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</si>
  <si>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</si>
  <si>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</si>
  <si>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</si>
  <si>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</si>
  <si>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</si>
  <si>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</si>
  <si>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</si>
  <si>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</si>
  <si>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</si>
  <si>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</si>
  <si>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</si>
  <si>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</si>
  <si>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</si>
  <si>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</si>
  <si>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</si>
  <si>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</si>
  <si>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</si>
  <si>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</si>
  <si>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</si>
  <si>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</si>
  <si>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</si>
  <si>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</si>
  <si>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</si>
  <si>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</si>
  <si>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</si>
  <si>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</si>
  <si>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</si>
  <si>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</si>
  <si>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</si>
  <si>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</si>
  <si>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</si>
  <si>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</si>
  <si>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</si>
  <si>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</si>
  <si>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</si>
  <si>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</si>
  <si>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</si>
  <si>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</si>
  <si>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</si>
  <si>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</si>
  <si>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</si>
  <si>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</si>
  <si>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</si>
  <si>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</si>
  <si>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</si>
  <si>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</si>
  <si>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</si>
  <si>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</si>
  <si>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</si>
  <si>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</si>
  <si>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</si>
  <si>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</si>
  <si>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</si>
  <si>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</si>
  <si>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</si>
  <si>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</si>
  <si>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</si>
  <si>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</si>
  <si>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</si>
  <si>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</si>
  <si>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</si>
  <si>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</si>
  <si>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</si>
  <si>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</si>
  <si>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</si>
  <si>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</si>
  <si>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</si>
  <si>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</si>
  <si>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</si>
  <si>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</si>
  <si>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</si>
  <si>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</si>
  <si>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</si>
  <si>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</si>
  <si>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</si>
  <si>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</si>
  <si>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</si>
  <si>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</si>
  <si>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</si>
  <si>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</si>
  <si>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</si>
  <si>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</si>
  <si>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</si>
  <si>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</si>
  <si>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</si>
  <si>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</si>
  <si>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</si>
  <si>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</si>
  <si>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</si>
  <si>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</si>
  <si>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</si>
  <si>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</si>
  <si>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</si>
  <si>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</si>
  <si>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</si>
  <si>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</si>
  <si>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</si>
  <si>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</si>
  <si>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</si>
  <si>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</si>
  <si>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</si>
  <si>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</si>
  <si>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</si>
  <si>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</si>
  <si>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</si>
  <si>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</si>
  <si>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</si>
  <si>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</si>
  <si>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</si>
  <si>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</si>
  <si>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</si>
  <si>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</si>
  <si>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</si>
  <si>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</si>
  <si>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</si>
  <si>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</si>
  <si>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</si>
  <si>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</si>
  <si>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</si>
  <si>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</si>
  <si>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</si>
  <si>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</si>
  <si>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</si>
  <si>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</si>
  <si>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</si>
  <si>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</si>
  <si>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</si>
  <si>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</si>
  <si>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</si>
  <si>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</si>
  <si>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</si>
  <si>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</si>
  <si>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</si>
  <si>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</si>
  <si>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</si>
  <si>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</si>
  <si>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</si>
  <si>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</si>
  <si>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</si>
  <si>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</si>
  <si>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</si>
  <si>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</si>
  <si>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</si>
  <si>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</si>
  <si>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</si>
  <si>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</si>
  <si>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</si>
  <si>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</si>
  <si>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</si>
  <si>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</si>
  <si>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</si>
  <si>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</si>
  <si>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</si>
  <si>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</si>
  <si>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</si>
  <si>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</si>
  <si>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</si>
  <si>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</si>
  <si>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</si>
  <si>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</si>
  <si>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</si>
  <si>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</si>
  <si>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</si>
  <si>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</si>
  <si>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</si>
  <si>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</si>
  <si>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</si>
  <si>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</si>
  <si>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</si>
  <si>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</si>
  <si>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</si>
  <si>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</si>
  <si>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</si>
  <si>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</si>
  <si>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</si>
  <si>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</si>
  <si>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</si>
  <si>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</si>
  <si>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</si>
  <si>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</si>
  <si>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</si>
  <si>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</si>
  <si>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</si>
  <si>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</si>
  <si>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</si>
  <si>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</si>
  <si>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</si>
  <si>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</si>
  <si>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</si>
  <si>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</si>
  <si>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</si>
  <si>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</si>
  <si>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</si>
  <si>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</si>
  <si>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</si>
  <si>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</si>
  <si>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</si>
  <si>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</si>
  <si>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</si>
  <si>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</si>
  <si>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</si>
  <si>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</si>
  <si>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</si>
  <si>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</si>
  <si>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</si>
  <si>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</si>
  <si>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</si>
  <si>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</si>
  <si>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</si>
  <si>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</si>
  <si>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</si>
  <si>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</si>
  <si>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</si>
  <si>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</si>
  <si>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</si>
  <si>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</si>
  <si>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</si>
  <si>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</si>
  <si>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</si>
  <si>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</si>
  <si>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</si>
  <si>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</si>
  <si>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</si>
  <si>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</si>
  <si>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</si>
  <si>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</si>
  <si>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</si>
  <si>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</si>
  <si>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</si>
  <si>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</si>
  <si>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</si>
  <si>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</si>
  <si>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</si>
  <si>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</si>
  <si>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</si>
  <si>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</si>
  <si>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</si>
  <si>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</si>
  <si>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</si>
  <si>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</si>
  <si>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</si>
  <si>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</si>
  <si>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</si>
  <si>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</si>
  <si>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</si>
  <si>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</si>
  <si>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</si>
  <si>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</si>
  <si>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</si>
  <si>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</si>
  <si>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</si>
  <si>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</si>
  <si>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</si>
  <si>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</si>
  <si>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</si>
  <si>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</si>
  <si>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</si>
  <si>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</si>
  <si>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</si>
  <si>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</si>
  <si>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</si>
  <si>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</si>
  <si>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</si>
  <si>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</si>
  <si>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</si>
  <si>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</si>
  <si>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</si>
  <si>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</si>
  <si>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</si>
  <si>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</si>
  <si>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</si>
  <si>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</si>
  <si>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</si>
  <si>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</si>
  <si>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</si>
  <si>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</si>
  <si>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</si>
  <si>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</si>
  <si>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</si>
  <si>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</si>
  <si>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</si>
  <si>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</si>
  <si>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</si>
  <si>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</si>
  <si>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</si>
  <si>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</si>
  <si>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</si>
  <si>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</si>
  <si>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</si>
  <si>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</si>
  <si>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</si>
  <si>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</si>
  <si>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</si>
  <si>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</si>
  <si>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</si>
  <si>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</si>
  <si>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</si>
  <si>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</si>
  <si>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</si>
  <si>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</si>
  <si>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</si>
  <si>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</si>
  <si>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</si>
  <si>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</si>
  <si>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</si>
  <si>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</si>
  <si>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</si>
  <si>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</si>
  <si>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</si>
  <si>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</si>
  <si>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</si>
  <si>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</si>
  <si>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</si>
  <si>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</si>
  <si>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</si>
  <si>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</si>
  <si>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</si>
  <si>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</si>
  <si>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</si>
  <si>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</si>
  <si>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</si>
  <si>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</si>
  <si>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</si>
  <si>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</si>
  <si>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</si>
  <si>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</si>
  <si>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</si>
  <si>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</si>
  <si>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</si>
  <si>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</si>
  <si>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</si>
  <si>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</si>
  <si>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</si>
  <si>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</si>
  <si>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</si>
  <si>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</si>
  <si>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</si>
  <si>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</si>
  <si>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</si>
  <si>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</si>
  <si>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</si>
  <si>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</si>
  <si>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</si>
  <si>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</si>
  <si>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</si>
  <si>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</si>
  <si>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</si>
  <si>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</si>
  <si>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</si>
  <si>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</si>
  <si>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</si>
  <si>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</si>
  <si>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</si>
  <si>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</si>
  <si>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</si>
  <si>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</si>
  <si>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</si>
  <si>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</si>
  <si>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</si>
  <si>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</si>
  <si>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</si>
  <si>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</si>
  <si>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</si>
  <si>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</si>
  <si>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</si>
  <si>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</si>
  <si>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</si>
  <si>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</si>
  <si>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</si>
  <si>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</si>
  <si>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</si>
  <si>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</si>
  <si>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</si>
  <si>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</si>
  <si>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</si>
  <si>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</si>
  <si>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</si>
  <si>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</si>
  <si>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</si>
  <si>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</si>
  <si>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</si>
  <si>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</si>
  <si>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</si>
  <si>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</si>
  <si>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</si>
  <si>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</si>
  <si>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</si>
  <si>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</si>
  <si>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</si>
  <si>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</si>
  <si>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</si>
  <si>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</si>
  <si>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</si>
  <si>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</si>
  <si>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</si>
  <si>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</si>
  <si>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</si>
  <si>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</si>
  <si>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</si>
  <si>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</si>
  <si>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</si>
  <si>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</si>
  <si>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</si>
  <si>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</si>
  <si>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</si>
  <si>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</si>
  <si>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</si>
  <si>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</si>
  <si>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</si>
  <si>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</si>
  <si>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</si>
  <si>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</si>
  <si>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</si>
  <si>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</si>
  <si>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</si>
  <si>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</si>
  <si>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</si>
  <si>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</si>
  <si>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</si>
  <si>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</si>
  <si>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</si>
  <si>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</si>
  <si>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</si>
  <si>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</si>
  <si>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</si>
  <si>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</si>
  <si>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</si>
  <si>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</si>
  <si>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</si>
  <si>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</si>
  <si>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</si>
  <si>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</si>
  <si>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</si>
  <si>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</si>
  <si>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</si>
  <si>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</si>
  <si>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</si>
  <si>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</si>
  <si>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</si>
  <si>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</si>
  <si>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</si>
  <si>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</si>
  <si>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</si>
  <si>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</si>
  <si>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</si>
  <si>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</si>
  <si>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</si>
  <si>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</si>
  <si>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</si>
  <si>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</si>
  <si>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</si>
  <si>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</si>
  <si>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</si>
  <si>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</si>
  <si>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</si>
  <si>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</si>
  <si>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</si>
  <si>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</si>
  <si>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</si>
  <si>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</si>
  <si>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</si>
  <si>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</si>
  <si>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</si>
  <si>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</si>
  <si>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</si>
  <si>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</si>
  <si>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</si>
  <si>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</si>
  <si>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</si>
  <si>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</si>
  <si>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</si>
  <si>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</si>
  <si>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</si>
  <si>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</si>
  <si>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</si>
  <si>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</si>
  <si>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</si>
  <si>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</si>
  <si>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</si>
  <si>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</si>
  <si>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</si>
  <si>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</si>
  <si>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</si>
  <si>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</si>
  <si>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</si>
  <si>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</si>
  <si>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</si>
  <si>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</si>
  <si>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</si>
  <si>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</si>
  <si>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</si>
  <si>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</si>
  <si>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</si>
  <si>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</si>
  <si>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</si>
  <si>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</si>
  <si>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</si>
  <si>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</si>
  <si>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</si>
  <si>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</si>
  <si>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</si>
  <si>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</si>
  <si>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</si>
  <si>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</si>
  <si>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</si>
  <si>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</si>
  <si>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</si>
  <si>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</si>
  <si>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</si>
  <si>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</si>
  <si>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</si>
  <si>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</si>
  <si>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</si>
  <si>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</si>
  <si>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</si>
  <si>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</si>
  <si>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</si>
  <si>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</si>
  <si>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</si>
  <si>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</si>
  <si>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</si>
  <si>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</si>
  <si>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</si>
  <si>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</si>
  <si>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</si>
  <si>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</si>
  <si>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</si>
  <si>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</si>
  <si>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</si>
  <si>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</si>
  <si>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</si>
  <si>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</si>
  <si>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</si>
  <si>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</si>
  <si>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</si>
  <si>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</si>
  <si>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</si>
  <si>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</si>
  <si>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</si>
  <si>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</si>
  <si>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</si>
  <si>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</si>
  <si>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</si>
  <si>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</si>
  <si>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</si>
  <si>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</si>
  <si>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</si>
  <si>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</si>
  <si>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</si>
  <si>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</si>
  <si>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</si>
  <si>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</si>
  <si>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</si>
  <si>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</si>
  <si>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</si>
  <si>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</si>
  <si>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</si>
  <si>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</si>
  <si>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</si>
  <si>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</si>
  <si>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</si>
  <si>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</si>
  <si>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</si>
  <si>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</si>
  <si>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</si>
  <si>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</si>
  <si>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</si>
  <si>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</si>
  <si>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</si>
  <si>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</si>
  <si>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</si>
  <si>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</si>
  <si>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</si>
  <si>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</si>
  <si>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</si>
  <si>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</si>
  <si>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</si>
  <si>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</si>
  <si>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</si>
  <si>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</si>
  <si>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</si>
  <si>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</si>
  <si>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</si>
  <si>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</si>
  <si>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</si>
  <si>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</si>
  <si>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</si>
  <si>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</si>
  <si>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</si>
  <si>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</si>
  <si>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</si>
  <si>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</si>
  <si>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</si>
  <si>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</si>
  <si>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</si>
  <si>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</si>
  <si>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</si>
  <si>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</si>
  <si>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</si>
  <si>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</si>
  <si>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</si>
  <si>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</si>
  <si>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</si>
  <si>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</si>
  <si>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</si>
  <si>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</si>
  <si>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</si>
  <si>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</si>
  <si>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</si>
  <si>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</si>
  <si>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</si>
  <si>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</si>
  <si>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</si>
  <si>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</si>
  <si>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</si>
  <si>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</si>
  <si>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</si>
  <si>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</si>
  <si>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</si>
  <si>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</si>
  <si>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</si>
  <si>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</si>
  <si>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</si>
  <si>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</si>
  <si>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</si>
  <si>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</si>
  <si>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</si>
  <si>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</si>
  <si>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</si>
  <si>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</si>
  <si>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</si>
  <si>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</si>
  <si>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</si>
  <si>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</si>
  <si>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</si>
  <si>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</si>
  <si>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</si>
  <si>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</si>
  <si>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</si>
  <si>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</si>
  <si>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</si>
  <si>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</si>
  <si>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</si>
  <si>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</si>
  <si>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</si>
  <si>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</si>
  <si>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</si>
  <si>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</si>
  <si>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</si>
  <si>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</si>
  <si>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</si>
  <si>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</si>
  <si>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</si>
  <si>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</si>
  <si>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</si>
  <si>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</si>
  <si>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</si>
  <si>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</si>
  <si>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</si>
  <si>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</si>
  <si>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</si>
  <si>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</si>
  <si>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</si>
  <si>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</si>
  <si>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</si>
  <si>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</si>
  <si>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</si>
  <si>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</si>
  <si>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</si>
  <si>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</si>
  <si>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</si>
  <si>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</si>
  <si>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</si>
  <si>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</si>
  <si>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</si>
  <si>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</si>
  <si>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</si>
  <si>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</si>
  <si>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</si>
  <si>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</si>
  <si>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</si>
  <si>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</si>
  <si>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</si>
  <si>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</si>
  <si>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</si>
  <si>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</si>
  <si>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</si>
  <si>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</si>
  <si>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</si>
  <si>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</si>
  <si>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</si>
  <si>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</si>
  <si>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</si>
  <si>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</si>
  <si>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</si>
  <si>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</si>
  <si>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</si>
  <si>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</si>
  <si>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</si>
  <si>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</si>
  <si>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</si>
  <si>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</si>
  <si>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</si>
  <si>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</si>
  <si>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</si>
  <si>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</si>
  <si>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</si>
  <si>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</si>
  <si>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</si>
  <si>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</si>
  <si>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</si>
  <si>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</si>
  <si>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</si>
  <si>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</si>
  <si>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</si>
  <si>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</si>
  <si>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</si>
  <si>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</si>
  <si>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</si>
  <si>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</si>
  <si>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</si>
  <si>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</si>
  <si>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</si>
  <si>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</si>
  <si>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</si>
  <si>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</si>
  <si>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</si>
  <si>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</si>
  <si>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</si>
  <si>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</si>
  <si>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</si>
  <si>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</si>
  <si>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</si>
  <si>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</si>
  <si>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</si>
  <si>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</si>
  <si>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</si>
  <si>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</si>
  <si>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</si>
  <si>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</si>
  <si>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</si>
  <si>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</si>
  <si>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</si>
  <si>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</si>
  <si>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</si>
  <si>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</si>
  <si>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</si>
  <si>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</si>
  <si>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</si>
  <si>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</si>
  <si>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</si>
  <si>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</si>
  <si>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</si>
  <si>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</si>
  <si>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</si>
  <si>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</si>
  <si>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</si>
  <si>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</si>
  <si>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</si>
  <si>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</si>
  <si>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</si>
  <si>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</si>
  <si>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</si>
  <si>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</si>
  <si>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</si>
  <si>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</si>
  <si>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</si>
  <si>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</si>
  <si>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</si>
  <si>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</si>
  <si>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</si>
  <si>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</si>
  <si>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</si>
  <si>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</si>
  <si>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</si>
  <si>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</si>
  <si>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</si>
  <si>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</si>
  <si>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</si>
  <si>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</si>
  <si>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</si>
  <si>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</si>
  <si>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</si>
  <si>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</si>
  <si>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</si>
  <si>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</si>
  <si>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</si>
  <si>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</si>
  <si>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</si>
  <si>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</si>
  <si>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</si>
  <si>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</si>
  <si>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</si>
  <si>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</si>
  <si>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</si>
  <si>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</si>
  <si>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</si>
  <si>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</si>
  <si>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</si>
  <si>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</si>
  <si>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</si>
  <si>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</si>
  <si>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</si>
  <si>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</si>
  <si>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</si>
  <si>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</si>
  <si>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</si>
  <si>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</si>
  <si>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</si>
  <si>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</si>
  <si>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</si>
  <si>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</si>
  <si>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</si>
  <si>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</si>
  <si>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</si>
  <si>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</si>
  <si>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</si>
  <si>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</si>
  <si>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</si>
  <si>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</si>
  <si>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</si>
  <si>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</si>
  <si>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</si>
  <si>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</si>
  <si>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</si>
  <si>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</si>
  <si>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</si>
  <si>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</si>
  <si>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</si>
  <si>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</si>
  <si>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</si>
  <si>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</si>
  <si>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</si>
  <si>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</si>
  <si>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</si>
  <si>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</si>
  <si>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</si>
  <si>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</si>
  <si>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</si>
  <si>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</si>
  <si>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</si>
  <si>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</si>
  <si>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</si>
  <si>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</si>
  <si>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</si>
  <si>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</si>
  <si>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</si>
  <si>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</si>
  <si>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</si>
  <si>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</si>
  <si>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</si>
  <si>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</si>
  <si>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</si>
  <si>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</si>
  <si>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</si>
  <si>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</si>
  <si>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</si>
  <si>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</si>
  <si>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</si>
  <si>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</si>
  <si>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</si>
  <si>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</si>
  <si>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</si>
  <si>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</si>
  <si>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</si>
  <si>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</si>
  <si>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</si>
  <si>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</si>
  <si>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</si>
  <si>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</si>
  <si>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</si>
  <si>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</si>
  <si>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</si>
  <si>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</si>
  <si>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</si>
  <si>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</si>
  <si>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</si>
  <si>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</si>
  <si>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</si>
  <si>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</si>
  <si>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</si>
  <si>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</si>
  <si>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</si>
  <si>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</si>
  <si>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</si>
  <si>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</si>
  <si>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</si>
  <si>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</si>
  <si>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</si>
  <si>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</si>
  <si>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</si>
  <si>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</si>
  <si>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</si>
  <si>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</si>
  <si>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</si>
  <si>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</si>
  <si>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</si>
  <si>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</si>
  <si>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</si>
  <si>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</si>
  <si>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</si>
  <si>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</si>
  <si>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</si>
  <si>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</si>
  <si>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</si>
  <si>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</si>
  <si>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</si>
  <si>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</si>
  <si>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</si>
  <si>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</si>
  <si>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</si>
  <si>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</si>
  <si>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</si>
  <si>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</si>
  <si>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</si>
  <si>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</si>
  <si>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</si>
  <si>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</si>
  <si>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</si>
  <si>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</si>
  <si>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</si>
  <si>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</si>
  <si>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</si>
  <si>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</si>
  <si>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</si>
  <si>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</si>
  <si>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</si>
  <si>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</si>
  <si>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</si>
  <si>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</si>
  <si>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</si>
  <si>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</si>
  <si>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</si>
  <si>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</si>
  <si>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</si>
  <si>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</si>
  <si>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</si>
  <si>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</si>
  <si>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</si>
  <si>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</si>
  <si>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</si>
  <si>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</si>
  <si>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</si>
  <si>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</si>
  <si>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</si>
  <si>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</si>
  <si>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</si>
  <si>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</si>
  <si>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</si>
  <si>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</si>
  <si>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</si>
  <si>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</si>
  <si>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</si>
  <si>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</si>
  <si>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</si>
  <si>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</si>
  <si>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</si>
  <si>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</si>
  <si>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</si>
  <si>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</si>
  <si>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</si>
  <si>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</si>
  <si>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</si>
  <si>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</si>
  <si>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</si>
  <si>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</si>
  <si>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</si>
  <si>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</si>
  <si>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</si>
  <si>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</si>
  <si>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</si>
  <si>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</si>
  <si>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</si>
  <si>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</si>
  <si>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</si>
  <si>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</si>
  <si>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</si>
  <si>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</si>
  <si>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</si>
  <si>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</si>
  <si>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</si>
  <si>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</si>
  <si>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</si>
  <si>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</si>
  <si>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</si>
  <si>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</si>
  <si>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</si>
  <si>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</si>
  <si>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</si>
  <si>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</si>
  <si>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</si>
  <si>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</si>
  <si>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</si>
  <si>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</si>
  <si>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</si>
  <si>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</si>
  <si>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</si>
  <si>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</si>
  <si>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</si>
  <si>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</si>
  <si>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</si>
  <si>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</si>
  <si>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</si>
  <si>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</si>
  <si>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</si>
  <si>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</si>
  <si>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</si>
  <si>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</si>
  <si>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</si>
  <si>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</si>
  <si>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</si>
  <si>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</si>
  <si>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</si>
  <si>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</si>
  <si>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</si>
  <si>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</si>
  <si>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</si>
  <si>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</si>
  <si>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</si>
  <si>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</si>
  <si>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</si>
  <si>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</si>
  <si>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</si>
  <si>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</si>
  <si>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</si>
  <si>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</si>
  <si>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</si>
  <si>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</si>
  <si>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</si>
  <si>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</si>
  <si>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</si>
  <si>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</si>
  <si>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</si>
  <si>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</si>
  <si>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</si>
  <si>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</si>
  <si>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</si>
  <si>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</si>
  <si>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</si>
  <si>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</si>
  <si>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</si>
  <si>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</si>
  <si>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</si>
  <si>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</si>
  <si>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</si>
  <si>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</si>
  <si>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</si>
  <si>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</si>
  <si>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</si>
  <si>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</si>
  <si>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</si>
  <si>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</si>
  <si>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</si>
  <si>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</si>
  <si>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</si>
  <si>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</si>
  <si>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</si>
  <si>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</si>
  <si>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</si>
  <si>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</si>
  <si>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</si>
  <si>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</si>
  <si>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</si>
  <si>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</si>
  <si>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</si>
  <si>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</si>
  <si>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</si>
  <si>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</si>
  <si>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</si>
  <si>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</si>
  <si>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</si>
  <si>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</si>
  <si>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</si>
  <si>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</si>
  <si>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</si>
  <si>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</si>
  <si>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</si>
  <si>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</si>
  <si>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</si>
  <si>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</si>
  <si>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</si>
  <si>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</si>
  <si>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</si>
  <si>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</si>
  <si>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</si>
  <si>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</si>
  <si>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</si>
  <si>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</si>
  <si>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</si>
  <si>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</si>
  <si>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</si>
  <si>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</si>
  <si>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</si>
  <si>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</si>
  <si>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</si>
  <si>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</si>
  <si>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</si>
  <si>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</si>
  <si>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</si>
  <si>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</si>
  <si>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</si>
  <si>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</si>
  <si>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</si>
  <si>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</si>
  <si>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</si>
  <si>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</si>
  <si>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</si>
  <si>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</si>
  <si>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</si>
  <si>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</si>
  <si>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</si>
  <si>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</si>
  <si>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</si>
  <si>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</si>
  <si>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</si>
  <si>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</si>
  <si>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</si>
  <si>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</si>
  <si>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</si>
  <si>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</si>
  <si>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</si>
  <si>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</si>
  <si>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</si>
  <si>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</si>
  <si>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</si>
  <si>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</si>
  <si>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</si>
  <si>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</si>
  <si>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</si>
  <si>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</si>
  <si>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</si>
  <si>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</si>
  <si>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</si>
  <si>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</si>
  <si>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</si>
  <si>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</si>
  <si>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</si>
  <si>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</si>
  <si>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</si>
  <si>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</si>
  <si>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</si>
  <si>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</si>
  <si>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</si>
  <si>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</si>
  <si>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</si>
  <si>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</si>
  <si>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</si>
  <si>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</si>
  <si>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</si>
  <si>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</si>
  <si>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</si>
  <si>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</si>
  <si>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</si>
  <si>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</si>
  <si>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</si>
  <si>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</si>
  <si>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</si>
  <si>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</si>
  <si>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</si>
  <si>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</si>
  <si>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</si>
  <si>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</si>
  <si>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</si>
  <si>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</si>
  <si>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</si>
  <si>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</si>
  <si>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</si>
  <si>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</si>
  <si>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</si>
  <si>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</si>
  <si>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</si>
  <si>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</si>
  <si>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</si>
  <si>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</si>
  <si>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</si>
  <si>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</si>
  <si>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</si>
  <si>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</si>
  <si>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</si>
  <si>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</si>
  <si>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</si>
  <si>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</si>
  <si>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</si>
  <si>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</si>
  <si>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</si>
  <si>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</si>
  <si>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</si>
  <si>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</si>
  <si>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</si>
  <si>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</si>
  <si>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</si>
  <si>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</si>
  <si>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</si>
  <si>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</si>
  <si>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</si>
  <si>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</si>
  <si>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</si>
  <si>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</si>
  <si>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</si>
  <si>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</si>
  <si>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</si>
  <si>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</si>
  <si>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</si>
  <si>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</si>
  <si>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</si>
  <si>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</si>
  <si>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</si>
  <si>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</si>
  <si>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</si>
  <si>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</si>
  <si>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</si>
  <si>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</si>
  <si>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</si>
  <si>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</si>
  <si>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</si>
  <si>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</si>
  <si>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</si>
  <si>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</si>
  <si>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</si>
  <si>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</si>
  <si>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</si>
  <si>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</si>
  <si>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</si>
  <si>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</si>
  <si>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</si>
  <si>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</si>
  <si>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</si>
  <si>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</si>
  <si>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</si>
  <si>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</si>
  <si>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</si>
  <si>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</si>
  <si>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</si>
  <si>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</si>
  <si>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</si>
  <si>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</si>
  <si>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</si>
  <si>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</si>
  <si>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</si>
  <si>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</si>
  <si>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</si>
  <si>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</si>
  <si>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</si>
  <si>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</si>
  <si>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</si>
  <si>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</si>
  <si>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</si>
  <si>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</si>
  <si>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</si>
  <si>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</si>
  <si>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</si>
  <si>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</si>
  <si>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</si>
  <si>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</si>
  <si>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</si>
  <si>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</si>
  <si>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</si>
  <si>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</si>
  <si>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</si>
  <si>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</si>
  <si>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</si>
  <si>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</si>
  <si>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</si>
  <si>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</si>
  <si>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</si>
  <si>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</si>
  <si>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</si>
  <si>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</si>
  <si>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</si>
  <si>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</si>
  <si>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</si>
  <si>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</si>
  <si>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</si>
  <si>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</si>
  <si>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</si>
  <si>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</si>
  <si>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</si>
  <si>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</si>
  <si>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</si>
  <si>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</si>
  <si>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</si>
  <si>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</si>
  <si>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</si>
  <si>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</si>
  <si>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</si>
  <si>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</si>
  <si>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</si>
  <si>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</si>
  <si>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</si>
  <si>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</si>
  <si>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</si>
  <si>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</si>
  <si>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</si>
  <si>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</si>
  <si>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</si>
  <si>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</si>
  <si>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</si>
  <si>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</si>
  <si>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</si>
  <si>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</si>
  <si>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</si>
  <si>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</si>
  <si>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</si>
  <si>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</si>
  <si>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</si>
  <si>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</si>
  <si>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</si>
  <si>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</si>
  <si>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</si>
  <si>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</si>
  <si>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</si>
  <si>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</si>
  <si>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</si>
  <si>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</si>
  <si>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</si>
  <si>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</si>
  <si>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</si>
  <si>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</si>
  <si>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</si>
  <si>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</si>
  <si>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</si>
  <si>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</si>
  <si>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</si>
  <si>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</si>
  <si>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</si>
  <si>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</si>
  <si>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</si>
  <si>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</si>
  <si>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</si>
  <si>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</si>
  <si>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</si>
  <si>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</si>
  <si>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</si>
  <si>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</si>
  <si>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</si>
  <si>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</si>
  <si>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</si>
  <si>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</si>
  <si>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</si>
  <si>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</si>
  <si>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</si>
  <si>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</si>
  <si>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</si>
  <si>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</si>
  <si>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</si>
  <si>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</si>
  <si>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</si>
  <si>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</si>
  <si>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</si>
  <si>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</si>
  <si>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</si>
  <si>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</si>
  <si>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</si>
  <si>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</si>
  <si>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</si>
  <si>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</si>
  <si>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</si>
  <si>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</si>
  <si>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</si>
  <si>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</si>
  <si>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</si>
  <si>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</si>
  <si>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</si>
  <si>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</si>
  <si>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</si>
  <si>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</si>
  <si>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</si>
  <si>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</si>
  <si>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</si>
  <si>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</si>
  <si>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</si>
  <si>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</si>
  <si>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</si>
  <si>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</si>
  <si>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</si>
  <si>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</si>
  <si>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</si>
  <si>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</si>
  <si>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</si>
  <si>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</si>
  <si>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</si>
  <si>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</si>
  <si>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</si>
  <si>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</si>
  <si>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</si>
  <si>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</si>
  <si>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</si>
  <si>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</si>
  <si>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</si>
  <si>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</si>
  <si>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</si>
  <si>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</si>
  <si>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</si>
  <si>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</si>
  <si>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</si>
  <si>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</si>
  <si>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</si>
  <si>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</si>
  <si>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</si>
  <si>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</si>
  <si>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</si>
  <si>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</si>
  <si>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</si>
  <si>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</si>
  <si>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</si>
  <si>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</si>
  <si>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</si>
  <si>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</si>
  <si>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</si>
  <si>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</si>
  <si>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</si>
  <si>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</si>
  <si>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</si>
  <si>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</si>
  <si>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Previous years IDEA was booked in our system under fund 1 and fund 10 on the Ms25</t>
  </si>
  <si>
    <t>An adjustment has been made for prior year audit adjustments</t>
  </si>
  <si>
    <t>An adjustment Trustee report did not report same beginning balances as their 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</si>
</sst>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902</v>
      </c>
      <c r="B2">
        <f>INDEX('School Tables'!$AH$3:$AH$209,MATCH('DOE25'!A2,'School Tables'!$AJ$3:$AJ$209,0))</f>
        <v>9</v>
      </c>
      <c r="C2">
        <f>INDEX('School Tables'!$AI$3:$AI$209,MATCH('DOE25'!A2,'School Tables'!$AJ$3:$AJ$209,0))</f>
        <v>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1480695.82+350</f>
        <v>1481045.82</v>
      </c>
      <c r="G9" s="18"/>
      <c r="H9" s="18"/>
      <c r="I9" s="18">
        <v>11850096.51</v>
      </c>
      <c r="J9" s="13">
        <f>SUM(I440)</f>
        <v>680678.55</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87973.14</v>
      </c>
      <c r="G13" s="18">
        <v>0</v>
      </c>
      <c r="H13" s="18">
        <v>0</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59978.68</v>
      </c>
      <c r="G14" s="18">
        <v>71493.899999999994</v>
      </c>
      <c r="H14" s="18">
        <v>96543.41</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9070.11</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5844</v>
      </c>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1634841.64</v>
      </c>
      <c r="G19" s="38">
        <f>SUM(G9:G18)</f>
        <v>80564.009999999995</v>
      </c>
      <c r="H19" s="38">
        <f>SUM(H9:H18)</f>
        <v>96543.41</v>
      </c>
      <c r="I19" s="38">
        <f>SUM(I9:I18)</f>
        <v>11850096.51</v>
      </c>
      <c r="J19" s="38">
        <f>SUM(J9:J18)</f>
        <v>680678.55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-27086.87</v>
      </c>
      <c r="H22" s="18">
        <v>73247.98</v>
      </c>
      <c r="I22" s="18">
        <v>-119.27</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600668.1</v>
      </c>
      <c r="G23" s="18">
        <v>9425.85</v>
      </c>
      <c r="H23" s="18">
        <v>1745.61</v>
      </c>
      <c r="I23" s="18">
        <v>2547036</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170266.88</v>
      </c>
      <c r="G24" s="18">
        <v>1181.76</v>
      </c>
      <c r="H24" s="18">
        <v>0</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v>-1637.9</v>
      </c>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770934.98</v>
      </c>
      <c r="G32" s="38">
        <f>SUM(G22:G31)</f>
        <v>-16479.259999999998</v>
      </c>
      <c r="H32" s="38">
        <f>SUM(H22:H31)</f>
        <v>73355.69</v>
      </c>
      <c r="I32" s="38">
        <f>SUM(I22:I31)</f>
        <v>2546916.73</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9303179.7799999993</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97043.27</v>
      </c>
      <c r="H48" s="18">
        <v>23187.72</v>
      </c>
      <c r="I48" s="18">
        <v>0</v>
      </c>
      <c r="J48" s="13">
        <f>SUM(I460)</f>
        <v>680678.55</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663906.66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863906.66</v>
      </c>
      <c r="G51" s="38">
        <f>SUM(G35:G50)</f>
        <v>97043.27</v>
      </c>
      <c r="H51" s="38">
        <f>SUM(H35:H50)</f>
        <v>23187.72</v>
      </c>
      <c r="I51" s="38">
        <f>SUM(I35:I50)</f>
        <v>9303179.7799999993</v>
      </c>
      <c r="J51" s="38">
        <f>SUM(J35:J50)</f>
        <v>680678.55</v>
      </c>
      <c r="K51" s="42" t="s">
        <v>288</v>
      </c>
      <c r="L51" s="42" t="s">
        <v>288</v>
      </c>
      <c r="N51" s="131"/>
    </row>
    <row r="52" spans="1:14" s="3" customFormat="1" ht="12.2" customHeight="1" thickTop="1" x14ac:dyDescent="0.15">
      <c r="A52" s="35" t="s">
        <v>455</v>
      </c>
      <c r="B52" s="36" t="s">
        <v>289</v>
      </c>
      <c r="C52" s="6">
        <v>37</v>
      </c>
      <c r="D52" s="36" t="s">
        <v>653</v>
      </c>
      <c r="E52" s="36"/>
      <c r="F52" s="38">
        <f>F51+F32</f>
        <v>1634841.6400000001</v>
      </c>
      <c r="G52" s="38">
        <f>G51+G32</f>
        <v>80564.010000000009</v>
      </c>
      <c r="H52" s="38">
        <f>H51+H32</f>
        <v>96543.41</v>
      </c>
      <c r="I52" s="38">
        <f>I51+I32</f>
        <v>11850096.51</v>
      </c>
      <c r="J52" s="38">
        <f>J51+J32</f>
        <v>680678.55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5450842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5450842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45295.28</v>
      </c>
      <c r="G96" s="18"/>
      <c r="H96" s="18"/>
      <c r="I96" s="18">
        <v>259268.76</v>
      </c>
      <c r="J96" s="18">
        <f>21562.38</f>
        <v>21562.38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66908.09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1818.61</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37852.239999999998</v>
      </c>
      <c r="G110" s="18">
        <v>0</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83147.51999999999</v>
      </c>
      <c r="G111" s="38">
        <f>SUM(G96:G110)</f>
        <v>66908.09</v>
      </c>
      <c r="H111" s="38">
        <f>SUM(H96:H110)</f>
        <v>1818.61</v>
      </c>
      <c r="I111" s="38">
        <f>SUM(I96:I110)</f>
        <v>259268.76</v>
      </c>
      <c r="J111" s="38">
        <f>SUM(J96:J110)</f>
        <v>21562.38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5533989.5199999996</v>
      </c>
      <c r="G112" s="38">
        <f>G60+G111</f>
        <v>66908.09</v>
      </c>
      <c r="H112" s="38">
        <f>H60+H79+H94+H111</f>
        <v>1818.61</v>
      </c>
      <c r="I112" s="38">
        <f>I60+I111</f>
        <v>259268.76</v>
      </c>
      <c r="J112" s="38">
        <f>J60+J111</f>
        <v>21562.38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4399655.66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446852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12112.66+55610.12</f>
        <v>67722.78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4914230.4400000004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v>15599788.800000001</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194456.81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5037.03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194456.81</v>
      </c>
      <c r="G136" s="38">
        <f>SUM(G123:G135)</f>
        <v>5037.03</v>
      </c>
      <c r="H136" s="38">
        <f>SUM(H123:H135)</f>
        <v>0</v>
      </c>
      <c r="I136" s="38">
        <f>SUM(I123:I135)</f>
        <v>15599788.800000001</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5108687.25</v>
      </c>
      <c r="G140" s="38">
        <f>G121+SUM(G136:G137)</f>
        <v>5037.03</v>
      </c>
      <c r="H140" s="38">
        <f>H121+SUM(H136:H139)</f>
        <v>0</v>
      </c>
      <c r="I140" s="38">
        <f>I121+I136</f>
        <v>15599788.800000001</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168732.79999999999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33277.599999999999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134265.29999999999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166810.5+2456.69</f>
        <v>169267.19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107908.61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21223.759999999998</v>
      </c>
      <c r="H161" s="18">
        <f>6415.43</f>
        <v>6415.43</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566462.57999999996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107908.61</v>
      </c>
      <c r="G163" s="38">
        <f>SUM(G150:G162)</f>
        <v>155489.06</v>
      </c>
      <c r="H163" s="38">
        <f>SUM(H150:H162)</f>
        <v>944155.59999999986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107908.61</v>
      </c>
      <c r="G170" s="38">
        <f>G147+G163+SUM(G164:G169)</f>
        <v>155489.06</v>
      </c>
      <c r="H170" s="38">
        <f>H147+H163+SUM(H164:H169)</f>
        <v>944155.59999999986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10750585.379999999</v>
      </c>
      <c r="G194" s="38">
        <f>G112+G140+G170+G193</f>
        <v>227434.18</v>
      </c>
      <c r="H194" s="38">
        <f>H112+H140+H170+H193</f>
        <v>945974.20999999985</v>
      </c>
      <c r="I194" s="38">
        <f>I112+I140+I170+I193</f>
        <v>15859057.560000001</v>
      </c>
      <c r="J194" s="38">
        <f>J112+J140+J193</f>
        <v>71562.38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1617165.16</v>
      </c>
      <c r="G198" s="18">
        <v>898590.42</v>
      </c>
      <c r="H198" s="18">
        <f>135475.14-5472.14</f>
        <v>130003.00000000001</v>
      </c>
      <c r="I198" s="18">
        <v>56931.19</v>
      </c>
      <c r="J198" s="18">
        <v>37052.92</v>
      </c>
      <c r="K198" s="18">
        <v>0</v>
      </c>
      <c r="L198" s="13">
        <f>SUM(F198:K198)</f>
        <v>2739742.69</v>
      </c>
      <c r="M198" s="8"/>
      <c r="N198" s="165"/>
    </row>
    <row r="199" spans="1:14" s="3" customFormat="1" ht="12.2" customHeight="1" x14ac:dyDescent="0.15">
      <c r="A199" s="1" t="s">
        <v>439</v>
      </c>
      <c r="B199" s="2" t="s">
        <v>341</v>
      </c>
      <c r="C199" s="2" t="s">
        <v>291</v>
      </c>
      <c r="D199" s="2" t="s">
        <v>431</v>
      </c>
      <c r="E199" s="6">
        <v>1200</v>
      </c>
      <c r="F199" s="18">
        <f>860881.06-166810.5</f>
        <v>694070.56</v>
      </c>
      <c r="G199" s="18">
        <v>478355.27</v>
      </c>
      <c r="H199" s="18">
        <f>470241.89+220.24</f>
        <v>470462.13</v>
      </c>
      <c r="I199" s="18">
        <v>7231.94</v>
      </c>
      <c r="J199" s="18">
        <v>4205.09</v>
      </c>
      <c r="K199" s="18">
        <v>555</v>
      </c>
      <c r="L199" s="13">
        <f>SUM(F199:K199)</f>
        <v>1654879.99</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21263.32</v>
      </c>
      <c r="G201" s="18">
        <v>11815.13</v>
      </c>
      <c r="H201" s="18">
        <v>2170</v>
      </c>
      <c r="I201" s="18">
        <v>1189.26</v>
      </c>
      <c r="J201" s="18">
        <v>0</v>
      </c>
      <c r="K201" s="18">
        <v>723.03</v>
      </c>
      <c r="L201" s="13">
        <f>SUM(F201:K201)</f>
        <v>37160.74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237816.66</v>
      </c>
      <c r="G203" s="18">
        <v>132144.68</v>
      </c>
      <c r="H203" s="18">
        <v>837055.06</v>
      </c>
      <c r="I203" s="18">
        <v>4800</v>
      </c>
      <c r="J203" s="18">
        <v>0</v>
      </c>
      <c r="K203" s="18">
        <v>5511.74</v>
      </c>
      <c r="L203" s="13">
        <f t="shared" ref="L203:L209" si="0">SUM(F203:K203)</f>
        <v>1217328.1399999999</v>
      </c>
      <c r="M203" s="8"/>
      <c r="N203" s="165"/>
    </row>
    <row r="204" spans="1:14" s="3" customFormat="1" ht="12.2" customHeight="1" x14ac:dyDescent="0.15">
      <c r="A204" s="1" t="s">
        <v>443</v>
      </c>
      <c r="B204" s="2" t="s">
        <v>341</v>
      </c>
      <c r="C204" s="2" t="s">
        <v>295</v>
      </c>
      <c r="D204" s="2" t="s">
        <v>431</v>
      </c>
      <c r="E204" s="6">
        <v>2200</v>
      </c>
      <c r="F204" s="18">
        <v>61893.53</v>
      </c>
      <c r="G204" s="18">
        <v>34391.620000000003</v>
      </c>
      <c r="H204" s="18">
        <v>2969.6</v>
      </c>
      <c r="I204" s="18">
        <v>5657.26</v>
      </c>
      <c r="J204" s="18">
        <v>0</v>
      </c>
      <c r="K204" s="18">
        <v>129</v>
      </c>
      <c r="L204" s="13">
        <f t="shared" si="0"/>
        <v>105041.01</v>
      </c>
      <c r="M204" s="8"/>
      <c r="N204" s="165"/>
    </row>
    <row r="205" spans="1:14" s="3" customFormat="1" ht="12.2" customHeight="1" x14ac:dyDescent="0.15">
      <c r="A205" s="1" t="s">
        <v>444</v>
      </c>
      <c r="B205" s="2" t="s">
        <v>341</v>
      </c>
      <c r="C205" s="2" t="s">
        <v>296</v>
      </c>
      <c r="D205" s="2" t="s">
        <v>431</v>
      </c>
      <c r="E205" s="6">
        <v>2300</v>
      </c>
      <c r="F205" s="18">
        <v>10500</v>
      </c>
      <c r="G205" s="18">
        <v>5834.41</v>
      </c>
      <c r="H205" s="18">
        <v>264661.64</v>
      </c>
      <c r="I205" s="18">
        <v>1354.23</v>
      </c>
      <c r="J205" s="18">
        <v>0</v>
      </c>
      <c r="K205" s="18">
        <v>3969.98</v>
      </c>
      <c r="L205" s="13">
        <f t="shared" si="0"/>
        <v>286320.25999999995</v>
      </c>
      <c r="M205" s="8"/>
      <c r="N205" s="165"/>
    </row>
    <row r="206" spans="1:14" s="3" customFormat="1" ht="12.2" customHeight="1" x14ac:dyDescent="0.15">
      <c r="A206" s="1" t="s">
        <v>445</v>
      </c>
      <c r="B206" s="2" t="s">
        <v>341</v>
      </c>
      <c r="C206" s="2" t="s">
        <v>297</v>
      </c>
      <c r="D206" s="2" t="s">
        <v>431</v>
      </c>
      <c r="E206" s="6">
        <v>2400</v>
      </c>
      <c r="F206" s="18">
        <v>370922.09</v>
      </c>
      <c r="G206" s="18">
        <v>206105.75</v>
      </c>
      <c r="H206" s="18">
        <v>44014.95</v>
      </c>
      <c r="I206" s="18">
        <v>1476.5</v>
      </c>
      <c r="J206" s="18">
        <v>419.26</v>
      </c>
      <c r="K206" s="18">
        <v>3496.24</v>
      </c>
      <c r="L206" s="13">
        <f t="shared" si="0"/>
        <v>626434.79</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183915.67</v>
      </c>
      <c r="G208" s="18">
        <v>102194.18</v>
      </c>
      <c r="H208" s="18">
        <v>309152.31</v>
      </c>
      <c r="I208" s="18">
        <v>102158.42</v>
      </c>
      <c r="J208" s="18">
        <v>231739.23</v>
      </c>
      <c r="K208" s="18">
        <v>0</v>
      </c>
      <c r="L208" s="13">
        <f t="shared" si="0"/>
        <v>929159.80999999994</v>
      </c>
      <c r="M208" s="8"/>
      <c r="N208" s="165"/>
    </row>
    <row r="209" spans="1:14" s="3" customFormat="1" ht="12.2" customHeight="1" x14ac:dyDescent="0.15">
      <c r="A209" s="1" t="s">
        <v>448</v>
      </c>
      <c r="B209" s="2" t="s">
        <v>341</v>
      </c>
      <c r="C209" s="2" t="s">
        <v>300</v>
      </c>
      <c r="D209" s="2" t="s">
        <v>431</v>
      </c>
      <c r="E209" s="6">
        <v>2700</v>
      </c>
      <c r="F209" s="18">
        <v>0</v>
      </c>
      <c r="G209" s="18">
        <v>0</v>
      </c>
      <c r="H209" s="18">
        <f>594369.64-162035.55</f>
        <v>432334.09</v>
      </c>
      <c r="I209" s="18">
        <v>0</v>
      </c>
      <c r="J209" s="18">
        <v>0</v>
      </c>
      <c r="K209" s="18">
        <v>0</v>
      </c>
      <c r="L209" s="13">
        <f t="shared" si="0"/>
        <v>432334.09</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3197546.9899999993</v>
      </c>
      <c r="G212" s="38">
        <f t="shared" si="1"/>
        <v>1869431.4599999997</v>
      </c>
      <c r="H212" s="38">
        <f t="shared" si="1"/>
        <v>2492822.7800000003</v>
      </c>
      <c r="I212" s="38">
        <f t="shared" si="1"/>
        <v>180798.8</v>
      </c>
      <c r="J212" s="38">
        <f t="shared" si="1"/>
        <v>273416.5</v>
      </c>
      <c r="K212" s="38">
        <f t="shared" si="1"/>
        <v>14384.99</v>
      </c>
      <c r="L212" s="38">
        <f t="shared" si="1"/>
        <v>8028401.5199999986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1982781.82</v>
      </c>
      <c r="I234" s="18">
        <v>0</v>
      </c>
      <c r="J234" s="18">
        <v>0</v>
      </c>
      <c r="K234" s="18">
        <v>0</v>
      </c>
      <c r="L234" s="13">
        <f>SUM(F234:K234)</f>
        <v>1982781.82</v>
      </c>
      <c r="M234" s="8"/>
      <c r="N234" s="165"/>
    </row>
    <row r="235" spans="1:14" s="3" customFormat="1" ht="12.2" customHeight="1" x14ac:dyDescent="0.15">
      <c r="A235" s="1" t="s">
        <v>439</v>
      </c>
      <c r="B235" s="2" t="s">
        <v>350</v>
      </c>
      <c r="C235" s="2" t="s">
        <v>291</v>
      </c>
      <c r="D235" s="2" t="s">
        <v>431</v>
      </c>
      <c r="E235" s="6">
        <v>1200</v>
      </c>
      <c r="F235" s="18">
        <v>0</v>
      </c>
      <c r="G235" s="18">
        <v>0</v>
      </c>
      <c r="H235" s="18">
        <v>326258.56</v>
      </c>
      <c r="I235" s="18">
        <v>0</v>
      </c>
      <c r="J235" s="18">
        <v>0</v>
      </c>
      <c r="K235" s="18">
        <v>0</v>
      </c>
      <c r="L235" s="13">
        <f>SUM(F235:K235)</f>
        <v>326258.56</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62390.64</v>
      </c>
      <c r="I239" s="18">
        <v>0</v>
      </c>
      <c r="J239" s="18">
        <v>0</v>
      </c>
      <c r="K239" s="18">
        <v>0</v>
      </c>
      <c r="L239" s="13">
        <f t="shared" ref="L239:L245" si="4">SUM(F239:K239)</f>
        <v>62390.64</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162035.54999999999</v>
      </c>
      <c r="I245" s="18">
        <v>0</v>
      </c>
      <c r="J245" s="18">
        <v>0</v>
      </c>
      <c r="K245" s="18">
        <v>0</v>
      </c>
      <c r="L245" s="13">
        <f t="shared" si="4"/>
        <v>162035.54999999999</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2533466.5699999998</v>
      </c>
      <c r="I248" s="38">
        <f t="shared" si="5"/>
        <v>0</v>
      </c>
      <c r="J248" s="38">
        <f t="shared" si="5"/>
        <v>0</v>
      </c>
      <c r="K248" s="38">
        <f t="shared" si="5"/>
        <v>0</v>
      </c>
      <c r="L248" s="38">
        <f t="shared" si="5"/>
        <v>2533466.5699999998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v>0</v>
      </c>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0</v>
      </c>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3197546.9899999993</v>
      </c>
      <c r="G258" s="38">
        <f t="shared" si="8"/>
        <v>1869431.4599999997</v>
      </c>
      <c r="H258" s="38">
        <f t="shared" si="8"/>
        <v>5026289.3499999996</v>
      </c>
      <c r="I258" s="38">
        <f t="shared" si="8"/>
        <v>180798.8</v>
      </c>
      <c r="J258" s="38">
        <f t="shared" si="8"/>
        <v>273416.5</v>
      </c>
      <c r="K258" s="38">
        <f t="shared" si="8"/>
        <v>14384.99</v>
      </c>
      <c r="L258" s="38">
        <f t="shared" si="8"/>
        <v>10561868.089999998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267008</v>
      </c>
      <c r="L261" s="13">
        <f>SUM(F261:K261)</f>
        <v>267008</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219802</v>
      </c>
      <c r="L262" s="13">
        <f>SUM(F262:K262)</f>
        <v>219802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536810</v>
      </c>
      <c r="L271" s="38">
        <f t="shared" si="9"/>
        <v>536810</v>
      </c>
      <c r="M271" s="8"/>
      <c r="N271" s="165"/>
    </row>
    <row r="272" spans="1:14" s="33" customFormat="1" ht="12.2" customHeight="1" thickTop="1" x14ac:dyDescent="0.2">
      <c r="A272" s="40" t="s">
        <v>464</v>
      </c>
      <c r="B272" s="37">
        <v>10</v>
      </c>
      <c r="C272" s="37">
        <v>18</v>
      </c>
      <c r="D272" s="36" t="s">
        <v>431</v>
      </c>
      <c r="E272" s="37"/>
      <c r="F272" s="39">
        <f t="shared" ref="F272:L272" si="11">F258+F271</f>
        <v>3197546.9899999993</v>
      </c>
      <c r="G272" s="39">
        <f t="shared" si="11"/>
        <v>1869431.4599999997</v>
      </c>
      <c r="H272" s="39">
        <f t="shared" si="11"/>
        <v>5026289.3499999996</v>
      </c>
      <c r="I272" s="39">
        <f t="shared" si="11"/>
        <v>180798.8</v>
      </c>
      <c r="J272" s="39">
        <f t="shared" si="11"/>
        <v>273416.5</v>
      </c>
      <c r="K272" s="39">
        <f t="shared" si="11"/>
        <v>551194.99</v>
      </c>
      <c r="L272" s="39">
        <f t="shared" si="11"/>
        <v>11098678.089999998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229293.11</v>
      </c>
      <c r="G277" s="18">
        <v>39570.699999999997</v>
      </c>
      <c r="H277" s="18">
        <f>456.65+2131.63</f>
        <v>2588.2800000000002</v>
      </c>
      <c r="I277" s="18">
        <f>99805.61+56.66+121.84</f>
        <v>99984.11</v>
      </c>
      <c r="J277" s="18">
        <v>4527.76</v>
      </c>
      <c r="K277" s="18">
        <v>960</v>
      </c>
      <c r="L277" s="13">
        <f>SUM(F277:K277)</f>
        <v>376923.96</v>
      </c>
      <c r="M277" s="8"/>
      <c r="N277" s="165"/>
    </row>
    <row r="278" spans="1:14" s="3" customFormat="1" ht="12.2" customHeight="1" x14ac:dyDescent="0.15">
      <c r="A278" s="1" t="s">
        <v>439</v>
      </c>
      <c r="B278" s="2" t="s">
        <v>357</v>
      </c>
      <c r="C278" s="2" t="s">
        <v>291</v>
      </c>
      <c r="D278" s="2" t="s">
        <v>431</v>
      </c>
      <c r="E278" s="6">
        <v>1200</v>
      </c>
      <c r="F278" s="18">
        <f>166810.5+1800-4528.91</f>
        <v>164081.59</v>
      </c>
      <c r="G278" s="18">
        <v>0</v>
      </c>
      <c r="H278" s="18">
        <f>610.37+4528.91</f>
        <v>5139.28</v>
      </c>
      <c r="I278" s="18">
        <v>46.32</v>
      </c>
      <c r="J278" s="18">
        <v>0</v>
      </c>
      <c r="K278" s="18">
        <v>0</v>
      </c>
      <c r="L278" s="13">
        <f>SUM(F278:K278)</f>
        <v>169267.19</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2257.25</v>
      </c>
      <c r="G280" s="18">
        <v>185.8</v>
      </c>
      <c r="H280" s="18">
        <v>3048</v>
      </c>
      <c r="I280" s="18">
        <v>4599.4799999999996</v>
      </c>
      <c r="J280" s="18">
        <v>0</v>
      </c>
      <c r="K280" s="18">
        <v>0</v>
      </c>
      <c r="L280" s="13">
        <f>SUM(F280:K280)</f>
        <v>10090.529999999999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14377.58+60304</f>
        <v>74681.58</v>
      </c>
      <c r="G282" s="18">
        <f>1171.17+25679.84</f>
        <v>26851.010000000002</v>
      </c>
      <c r="H282" s="18">
        <v>119690</v>
      </c>
      <c r="I282" s="18">
        <f>10+1518.04</f>
        <v>1528.04</v>
      </c>
      <c r="J282" s="18">
        <v>0</v>
      </c>
      <c r="K282" s="18">
        <v>0</v>
      </c>
      <c r="L282" s="13">
        <f t="shared" ref="L282:L288" si="12">SUM(F282:K282)</f>
        <v>222750.63</v>
      </c>
      <c r="M282" s="8"/>
      <c r="N282" s="165"/>
    </row>
    <row r="283" spans="1:14" s="3" customFormat="1" ht="12.2" customHeight="1" x14ac:dyDescent="0.15">
      <c r="A283" s="1" t="s">
        <v>443</v>
      </c>
      <c r="B283" s="2" t="s">
        <v>357</v>
      </c>
      <c r="C283" s="2" t="s">
        <v>295</v>
      </c>
      <c r="D283" s="2" t="s">
        <v>431</v>
      </c>
      <c r="E283" s="6">
        <v>2200</v>
      </c>
      <c r="F283" s="18">
        <v>13480</v>
      </c>
      <c r="G283" s="18">
        <v>11702.92</v>
      </c>
      <c r="H283" s="18">
        <v>53685.36</v>
      </c>
      <c r="I283" s="18">
        <v>1827.56</v>
      </c>
      <c r="J283" s="18">
        <v>0</v>
      </c>
      <c r="K283" s="18">
        <v>0</v>
      </c>
      <c r="L283" s="13">
        <f t="shared" si="12"/>
        <v>80695.839999999997</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13789.75</v>
      </c>
      <c r="L284" s="13">
        <f t="shared" si="12"/>
        <v>13789.75</v>
      </c>
      <c r="M284" s="8"/>
      <c r="N284" s="165"/>
    </row>
    <row r="285" spans="1:14" s="3" customFormat="1" ht="12.2" customHeight="1" x14ac:dyDescent="0.15">
      <c r="A285" s="1" t="s">
        <v>445</v>
      </c>
      <c r="B285" s="2" t="s">
        <v>357</v>
      </c>
      <c r="C285" s="2" t="s">
        <v>297</v>
      </c>
      <c r="D285" s="2" t="s">
        <v>431</v>
      </c>
      <c r="E285" s="6">
        <v>2400</v>
      </c>
      <c r="F285" s="18">
        <v>0</v>
      </c>
      <c r="G285" s="18">
        <v>0</v>
      </c>
      <c r="H285" s="18">
        <v>0</v>
      </c>
      <c r="I285" s="18">
        <f>1497.15</f>
        <v>1497.15</v>
      </c>
      <c r="J285" s="18">
        <v>0</v>
      </c>
      <c r="K285" s="18">
        <v>0</v>
      </c>
      <c r="L285" s="13">
        <f t="shared" si="12"/>
        <v>1497.15</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56998.94</v>
      </c>
      <c r="K287" s="18">
        <v>0</v>
      </c>
      <c r="L287" s="13">
        <f t="shared" si="12"/>
        <v>56998.94</v>
      </c>
      <c r="M287" s="8"/>
      <c r="N287" s="165"/>
    </row>
    <row r="288" spans="1:14" s="3" customFormat="1" ht="12.2" customHeight="1" x14ac:dyDescent="0.15">
      <c r="A288" s="1" t="s">
        <v>448</v>
      </c>
      <c r="B288" s="2" t="s">
        <v>357</v>
      </c>
      <c r="C288" s="2" t="s">
        <v>300</v>
      </c>
      <c r="D288" s="2" t="s">
        <v>431</v>
      </c>
      <c r="E288" s="6">
        <v>2700</v>
      </c>
      <c r="F288" s="18">
        <v>0</v>
      </c>
      <c r="G288" s="18">
        <v>0</v>
      </c>
      <c r="H288" s="18">
        <v>15948.89</v>
      </c>
      <c r="I288" s="18">
        <v>0</v>
      </c>
      <c r="J288" s="18">
        <v>0</v>
      </c>
      <c r="K288" s="18">
        <v>0</v>
      </c>
      <c r="L288" s="13">
        <f t="shared" si="12"/>
        <v>15948.89</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483793.52999999997</v>
      </c>
      <c r="G291" s="39">
        <f t="shared" si="13"/>
        <v>78310.430000000008</v>
      </c>
      <c r="H291" s="39">
        <f t="shared" si="13"/>
        <v>200099.81</v>
      </c>
      <c r="I291" s="39">
        <f t="shared" si="13"/>
        <v>109482.65999999999</v>
      </c>
      <c r="J291" s="39">
        <f t="shared" si="13"/>
        <v>61526.700000000004</v>
      </c>
      <c r="K291" s="39">
        <f t="shared" si="13"/>
        <v>14749.75</v>
      </c>
      <c r="L291" s="38">
        <f t="shared" si="13"/>
        <v>947962.88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483793.52999999997</v>
      </c>
      <c r="G339" s="38">
        <f t="shared" si="20"/>
        <v>78310.430000000008</v>
      </c>
      <c r="H339" s="38">
        <f t="shared" si="20"/>
        <v>200099.81</v>
      </c>
      <c r="I339" s="38">
        <f t="shared" si="20"/>
        <v>109482.65999999999</v>
      </c>
      <c r="J339" s="38">
        <f t="shared" si="20"/>
        <v>61526.700000000004</v>
      </c>
      <c r="K339" s="38">
        <f t="shared" si="20"/>
        <v>14749.75</v>
      </c>
      <c r="L339" s="38">
        <f t="shared" si="20"/>
        <v>947962.88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483793.52999999997</v>
      </c>
      <c r="G353" s="38">
        <f>G339</f>
        <v>78310.430000000008</v>
      </c>
      <c r="H353" s="38">
        <f>H339</f>
        <v>200099.81</v>
      </c>
      <c r="I353" s="38">
        <f>I339</f>
        <v>109482.65999999999</v>
      </c>
      <c r="J353" s="38">
        <f>J339</f>
        <v>61526.700000000004</v>
      </c>
      <c r="K353" s="38">
        <f>K339+K352</f>
        <v>14749.75</v>
      </c>
      <c r="L353" s="38">
        <f>L339+L352</f>
        <v>947962.88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86009.46</v>
      </c>
      <c r="G359" s="18">
        <v>7981.02</v>
      </c>
      <c r="H359" s="18">
        <v>6358.38</v>
      </c>
      <c r="I359" s="18">
        <v>90738.68</v>
      </c>
      <c r="J359" s="18">
        <v>500</v>
      </c>
      <c r="K359" s="18">
        <v>1765.07</v>
      </c>
      <c r="L359" s="13">
        <f>SUM(F359:K359)</f>
        <v>193352.61000000002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86009.46</v>
      </c>
      <c r="G363" s="38">
        <f t="shared" si="22"/>
        <v>7981.02</v>
      </c>
      <c r="H363" s="38">
        <f t="shared" si="22"/>
        <v>6358.38</v>
      </c>
      <c r="I363" s="38">
        <f t="shared" si="22"/>
        <v>90738.68</v>
      </c>
      <c r="J363" s="38">
        <f t="shared" si="22"/>
        <v>500</v>
      </c>
      <c r="K363" s="38">
        <f t="shared" si="22"/>
        <v>1765.07</v>
      </c>
      <c r="L363" s="38">
        <f t="shared" si="22"/>
        <v>193352.61000000002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62102.32+9593.99+13308.77+389.09</f>
        <v>85394.17</v>
      </c>
      <c r="G368" s="18"/>
      <c r="H368" s="18"/>
      <c r="I368" s="13">
        <f>SUM(F368:H368)</f>
        <v>85394.17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5344.51</v>
      </c>
      <c r="G369" s="53"/>
      <c r="H369" s="53"/>
      <c r="I369" s="13">
        <f>SUM(F369:H369)</f>
        <v>5344.51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90738.68</v>
      </c>
      <c r="G370" s="38">
        <f>SUM(G368:G369)</f>
        <v>0</v>
      </c>
      <c r="H370" s="38">
        <f>SUM(H368:H369)</f>
        <v>0</v>
      </c>
      <c r="I370" s="38">
        <f>SUM(I368:I369)</f>
        <v>90738.68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v>16863299.329999998</v>
      </c>
      <c r="I376" s="18"/>
      <c r="J376" s="18"/>
      <c r="K376" s="18"/>
      <c r="L376" s="13">
        <f t="shared" ref="L376:L382" si="23">SUM(F376:K376)</f>
        <v>16863299.329999998</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16863299.329999998</v>
      </c>
      <c r="I383" s="38">
        <f t="shared" si="24"/>
        <v>0</v>
      </c>
      <c r="J383" s="38">
        <f t="shared" si="24"/>
        <v>0</v>
      </c>
      <c r="K383" s="38">
        <f t="shared" si="24"/>
        <v>0</v>
      </c>
      <c r="L383" s="38">
        <f t="shared" si="24"/>
        <v>16863299.329999998</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v>5414.94</v>
      </c>
      <c r="I390" s="18"/>
      <c r="J390" s="23" t="s">
        <v>288</v>
      </c>
      <c r="K390" s="23" t="s">
        <v>288</v>
      </c>
      <c r="L390" s="13">
        <f t="shared" si="25"/>
        <v>5414.94</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5414.94</v>
      </c>
      <c r="I394" s="54">
        <f>SUM(I388:I393)</f>
        <v>0</v>
      </c>
      <c r="J394" s="42" t="s">
        <v>288</v>
      </c>
      <c r="K394" s="42" t="s">
        <v>288</v>
      </c>
      <c r="L394" s="38">
        <f>SUM(L388:L393)</f>
        <v>5414.94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6595.56</v>
      </c>
      <c r="I397" s="18"/>
      <c r="J397" s="23" t="s">
        <v>288</v>
      </c>
      <c r="K397" s="23" t="s">
        <v>288</v>
      </c>
      <c r="L397" s="13">
        <f t="shared" si="26"/>
        <v>6595.56</v>
      </c>
      <c r="M397" s="8"/>
      <c r="N397" s="165"/>
    </row>
    <row r="398" spans="1:14" s="3" customFormat="1" ht="12.2" customHeight="1" x14ac:dyDescent="0.15">
      <c r="A398" s="62" t="s">
        <v>515</v>
      </c>
      <c r="B398" s="2" t="s">
        <v>381</v>
      </c>
      <c r="C398" s="6">
        <v>10</v>
      </c>
      <c r="D398" s="2" t="s">
        <v>432</v>
      </c>
      <c r="E398" s="6"/>
      <c r="F398" s="18"/>
      <c r="G398" s="18">
        <v>50000</v>
      </c>
      <c r="H398" s="18">
        <v>7321.95</v>
      </c>
      <c r="I398" s="18"/>
      <c r="J398" s="23" t="s">
        <v>288</v>
      </c>
      <c r="K398" s="23" t="s">
        <v>288</v>
      </c>
      <c r="L398" s="13">
        <f t="shared" si="26"/>
        <v>57321.95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f>2164.7+65.23</f>
        <v>2229.9299999999998</v>
      </c>
      <c r="I401" s="18"/>
      <c r="J401" s="23" t="s">
        <v>288</v>
      </c>
      <c r="K401" s="23" t="s">
        <v>288</v>
      </c>
      <c r="L401" s="13">
        <f t="shared" si="26"/>
        <v>2229.9299999999998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16147.44</v>
      </c>
      <c r="I402" s="38">
        <f>SUM(I396:I401)</f>
        <v>0</v>
      </c>
      <c r="J402" s="42" t="s">
        <v>288</v>
      </c>
      <c r="K402" s="42" t="s">
        <v>288</v>
      </c>
      <c r="L402" s="38">
        <f>SUM(L396:L401)</f>
        <v>66147.439999999988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21562.38</v>
      </c>
      <c r="I409" s="38">
        <f>I394+I402+I408</f>
        <v>0</v>
      </c>
      <c r="J409" s="23" t="s">
        <v>288</v>
      </c>
      <c r="K409" s="23" t="s">
        <v>288</v>
      </c>
      <c r="L409" s="38">
        <f>L394+L402+L408</f>
        <v>71562.37999999999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132601.5</v>
      </c>
      <c r="G440" s="18">
        <f>680678.55-132601.5</f>
        <v>548077.05000000005</v>
      </c>
      <c r="H440" s="18"/>
      <c r="I440" s="13">
        <f t="shared" ref="I440:I446" si="33">SUM(F440:H440)</f>
        <v>680678.55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132601.5</v>
      </c>
      <c r="G447" s="13">
        <f>SUM(G440:G446)</f>
        <v>548077.05000000005</v>
      </c>
      <c r="H447" s="13">
        <f>SUM(H440:H446)</f>
        <v>0</v>
      </c>
      <c r="I447" s="13">
        <f>SUM(I440:I446)</f>
        <v>680678.55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132601.5</v>
      </c>
      <c r="G460" s="18">
        <v>548077.05000000005</v>
      </c>
      <c r="H460" s="18"/>
      <c r="I460" s="13">
        <f t="shared" si="34"/>
        <v>680678.55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132601.5</v>
      </c>
      <c r="G461" s="65">
        <f>SUM(G455:G460)</f>
        <v>548077.05000000005</v>
      </c>
      <c r="H461" s="65">
        <f>SUM(H455:H460)</f>
        <v>0</v>
      </c>
      <c r="I461" s="65">
        <f>SUM(I455:I460)</f>
        <v>680678.55</v>
      </c>
      <c r="J461" s="23" t="s">
        <v>288</v>
      </c>
      <c r="K461" s="23" t="s">
        <v>288</v>
      </c>
      <c r="L461" s="23" t="s">
        <v>288</v>
      </c>
      <c r="N461" s="131"/>
    </row>
    <row r="462" spans="1:86" ht="12.2" customHeight="1" thickTop="1" x14ac:dyDescent="0.2">
      <c r="A462" s="40" t="s">
        <v>424</v>
      </c>
      <c r="B462" s="41">
        <v>18</v>
      </c>
      <c r="C462" s="64">
        <v>21</v>
      </c>
      <c r="D462" s="114" t="s">
        <v>432</v>
      </c>
      <c r="E462" s="64"/>
      <c r="F462" s="39">
        <f>F453+F461</f>
        <v>132601.5</v>
      </c>
      <c r="G462" s="39">
        <f>G453+G461</f>
        <v>548077.05000000005</v>
      </c>
      <c r="H462" s="39">
        <f>H453+H461</f>
        <v>0</v>
      </c>
      <c r="I462" s="39">
        <f>I453+I461</f>
        <v>680678.55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1038322.75</v>
      </c>
      <c r="G466" s="18">
        <v>63592.89</v>
      </c>
      <c r="H466" s="18">
        <v>34264.959999999999</v>
      </c>
      <c r="I466" s="18">
        <v>10307421.550000001</v>
      </c>
      <c r="J466" s="18">
        <v>626884.68999999994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10917395.88-166810.5</f>
        <v>10750585.380000001</v>
      </c>
      <c r="G469" s="18">
        <v>227434.18</v>
      </c>
      <c r="H469" s="18">
        <f>779163.71+166810.5</f>
        <v>945974.21</v>
      </c>
      <c r="I469" s="18">
        <v>15859057.560000001</v>
      </c>
      <c r="J469" s="18">
        <f>50000+21562.38</f>
        <v>71562.38</v>
      </c>
      <c r="K469" s="23" t="s">
        <v>288</v>
      </c>
      <c r="L469" s="23" t="s">
        <v>288</v>
      </c>
      <c r="N469" s="131"/>
    </row>
    <row r="470" spans="1:14" ht="12.2" customHeight="1" x14ac:dyDescent="0.2">
      <c r="A470" s="71" t="s">
        <v>611</v>
      </c>
      <c r="B470" s="22">
        <v>19</v>
      </c>
      <c r="C470" s="31">
        <v>3</v>
      </c>
      <c r="D470" s="2" t="s">
        <v>432</v>
      </c>
      <c r="E470" s="31"/>
      <c r="F470" s="18">
        <v>173676.62</v>
      </c>
      <c r="G470" s="18">
        <v>0</v>
      </c>
      <c r="H470" s="18"/>
      <c r="I470" s="18"/>
      <c r="J470" s="18">
        <v>-17768.52</v>
      </c>
      <c r="K470" s="23" t="s">
        <v>288</v>
      </c>
      <c r="L470" s="23" t="s">
        <v>288</v>
      </c>
      <c r="N470" s="131"/>
    </row>
    <row r="471" spans="1:14" ht="12.2" customHeight="1" x14ac:dyDescent="0.2">
      <c r="A471" s="32" t="s">
        <v>425</v>
      </c>
      <c r="B471" s="22">
        <v>19</v>
      </c>
      <c r="C471" s="31">
        <v>4</v>
      </c>
      <c r="D471" s="2" t="s">
        <v>432</v>
      </c>
      <c r="E471" s="31"/>
      <c r="F471" s="19">
        <f>SUM(F469:F470)</f>
        <v>10924262</v>
      </c>
      <c r="G471" s="19">
        <f>SUM(G469:G470)</f>
        <v>227434.18</v>
      </c>
      <c r="H471" s="19">
        <f>SUM(H469:H470)</f>
        <v>945974.21</v>
      </c>
      <c r="I471" s="19">
        <f>SUM(I469:I470)</f>
        <v>15859057.560000001</v>
      </c>
      <c r="J471" s="19">
        <f>SUM(J469:J470)</f>
        <v>53793.86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11265488.59-166810.5</f>
        <v>11098678.09</v>
      </c>
      <c r="G473" s="18">
        <v>193352.61</v>
      </c>
      <c r="H473" s="18">
        <f>781152.38+166810.5</f>
        <v>947962.88</v>
      </c>
      <c r="I473" s="18">
        <v>16863299.329999998</v>
      </c>
      <c r="J473" s="18"/>
      <c r="K473" s="23" t="s">
        <v>288</v>
      </c>
      <c r="L473" s="23" t="s">
        <v>288</v>
      </c>
      <c r="N473" s="131"/>
    </row>
    <row r="474" spans="1:14" ht="12.2" customHeight="1" x14ac:dyDescent="0.2">
      <c r="A474" s="71" t="s">
        <v>613</v>
      </c>
      <c r="B474" s="22">
        <v>19</v>
      </c>
      <c r="C474" s="31">
        <v>6</v>
      </c>
      <c r="D474" s="2" t="s">
        <v>432</v>
      </c>
      <c r="E474" s="31"/>
      <c r="F474" s="18"/>
      <c r="G474" s="18">
        <v>631.19000000000005</v>
      </c>
      <c r="H474" s="18">
        <v>9088.57</v>
      </c>
      <c r="I474" s="18"/>
      <c r="J474" s="18"/>
      <c r="K474" s="23" t="s">
        <v>288</v>
      </c>
      <c r="L474" s="23" t="s">
        <v>288</v>
      </c>
      <c r="N474" s="131"/>
    </row>
    <row r="475" spans="1:14" ht="12.2" customHeight="1" x14ac:dyDescent="0.2">
      <c r="A475" s="32" t="s">
        <v>426</v>
      </c>
      <c r="B475" s="22">
        <v>19</v>
      </c>
      <c r="C475" s="31">
        <v>7</v>
      </c>
      <c r="D475" s="2" t="s">
        <v>432</v>
      </c>
      <c r="E475" s="31"/>
      <c r="F475" s="19">
        <f>SUM(F473:F474)</f>
        <v>11098678.09</v>
      </c>
      <c r="G475" s="19">
        <f>SUM(G473:G474)</f>
        <v>193983.8</v>
      </c>
      <c r="H475" s="19">
        <f>SUM(H473:H474)</f>
        <v>957051.45</v>
      </c>
      <c r="I475" s="19">
        <f>SUM(I473:I474)</f>
        <v>16863299.329999998</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863906.66000000015</v>
      </c>
      <c r="G477" s="19">
        <f>(G466+G471)- G475</f>
        <v>97043.270000000019</v>
      </c>
      <c r="H477" s="19">
        <f>(H466+H471)- H475</f>
        <v>23187.719999999972</v>
      </c>
      <c r="I477" s="19">
        <f>(I466+I471)- I475</f>
        <v>9303179.7800000012</v>
      </c>
      <c r="J477" s="19">
        <f>(J466+J471)- J475</f>
        <v>680678.54999999993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
        <v>694070.56</v>
      </c>
      <c r="G522" s="18">
        <f t="shared" ref="G522:K522" si="36">G199</f>
        <v>478355.27</v>
      </c>
      <c r="H522" s="18">
        <f t="shared" si="36"/>
        <v>470462.13</v>
      </c>
      <c r="I522" s="18">
        <f t="shared" si="36"/>
        <v>7231.94</v>
      </c>
      <c r="J522" s="18">
        <f t="shared" si="36"/>
        <v>4205.09</v>
      </c>
      <c r="K522" s="18">
        <f t="shared" si="36"/>
        <v>555</v>
      </c>
      <c r="L522" s="69">
        <f>SUM(F522:K522)</f>
        <v>1654879.99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F235</f>
        <v>0</v>
      </c>
      <c r="G524" s="18">
        <f t="shared" ref="G524:K524" si="37">G235</f>
        <v>0</v>
      </c>
      <c r="H524" s="18">
        <f t="shared" si="37"/>
        <v>326258.56</v>
      </c>
      <c r="I524" s="18">
        <f t="shared" si="37"/>
        <v>0</v>
      </c>
      <c r="J524" s="18">
        <f t="shared" si="37"/>
        <v>0</v>
      </c>
      <c r="K524" s="18">
        <f t="shared" si="37"/>
        <v>0</v>
      </c>
      <c r="L524" s="69">
        <f>SUM(F524:K524)</f>
        <v>326258.56</v>
      </c>
      <c r="N524" s="131"/>
    </row>
    <row r="525" spans="1:14" ht="12.2" customHeight="1" thickTop="1" x14ac:dyDescent="0.2">
      <c r="A525" s="97" t="s">
        <v>63</v>
      </c>
      <c r="B525" s="41">
        <v>21</v>
      </c>
      <c r="C525" s="41">
        <v>4</v>
      </c>
      <c r="D525" s="115" t="s">
        <v>432</v>
      </c>
      <c r="E525" s="41"/>
      <c r="F525" s="81">
        <f>SUM(F522:F524)</f>
        <v>694070.56</v>
      </c>
      <c r="G525" s="81">
        <f t="shared" ref="G525:L525" si="38">SUM(G522:G524)</f>
        <v>478355.27</v>
      </c>
      <c r="H525" s="81">
        <f t="shared" si="38"/>
        <v>796720.69</v>
      </c>
      <c r="I525" s="81">
        <f t="shared" si="38"/>
        <v>7231.94</v>
      </c>
      <c r="J525" s="81">
        <f t="shared" si="38"/>
        <v>4205.09</v>
      </c>
      <c r="K525" s="81">
        <f t="shared" si="38"/>
        <v>555</v>
      </c>
      <c r="L525" s="70">
        <f t="shared" si="38"/>
        <v>1981138.55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F203</f>
        <v>237816.66</v>
      </c>
      <c r="G527" s="18">
        <f t="shared" ref="G527:K527" si="39">G203</f>
        <v>132144.68</v>
      </c>
      <c r="H527" s="18">
        <f t="shared" si="39"/>
        <v>837055.06</v>
      </c>
      <c r="I527" s="18">
        <f t="shared" si="39"/>
        <v>4800</v>
      </c>
      <c r="J527" s="18">
        <f t="shared" si="39"/>
        <v>0</v>
      </c>
      <c r="K527" s="18">
        <f t="shared" si="39"/>
        <v>5511.74</v>
      </c>
      <c r="L527" s="69">
        <f>SUM(F527:K527)</f>
        <v>1217328.1399999999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f>F239</f>
        <v>0</v>
      </c>
      <c r="G529" s="18">
        <f t="shared" ref="G529:K529" si="40">G239</f>
        <v>0</v>
      </c>
      <c r="H529" s="18">
        <f t="shared" si="40"/>
        <v>62390.64</v>
      </c>
      <c r="I529" s="18">
        <f t="shared" si="40"/>
        <v>0</v>
      </c>
      <c r="J529" s="18">
        <f t="shared" si="40"/>
        <v>0</v>
      </c>
      <c r="K529" s="18">
        <f t="shared" si="40"/>
        <v>0</v>
      </c>
      <c r="L529" s="69">
        <f>SUM(F529:K529)</f>
        <v>62390.64</v>
      </c>
      <c r="M529" s="8"/>
      <c r="N529" s="165"/>
    </row>
    <row r="530" spans="1:14" s="3" customFormat="1" ht="12.2" customHeight="1" thickTop="1" x14ac:dyDescent="0.15">
      <c r="A530" s="97" t="s">
        <v>65</v>
      </c>
      <c r="B530" s="41">
        <v>21</v>
      </c>
      <c r="C530" s="41">
        <v>8</v>
      </c>
      <c r="D530" s="115" t="s">
        <v>432</v>
      </c>
      <c r="E530" s="41"/>
      <c r="F530" s="70">
        <f>SUM(F527:F529)</f>
        <v>237816.66</v>
      </c>
      <c r="G530" s="70">
        <f t="shared" ref="G530:L530" si="41">SUM(G527:G529)</f>
        <v>132144.68</v>
      </c>
      <c r="H530" s="70">
        <f t="shared" si="41"/>
        <v>899445.70000000007</v>
      </c>
      <c r="I530" s="70">
        <f t="shared" si="41"/>
        <v>4800</v>
      </c>
      <c r="J530" s="70">
        <f t="shared" si="41"/>
        <v>0</v>
      </c>
      <c r="K530" s="70">
        <f t="shared" si="41"/>
        <v>5511.74</v>
      </c>
      <c r="L530" s="70">
        <f t="shared" si="41"/>
        <v>1279718.7799999998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13066.08</v>
      </c>
      <c r="G532" s="18">
        <v>6193.08</v>
      </c>
      <c r="H532" s="18"/>
      <c r="I532" s="18"/>
      <c r="J532" s="18"/>
      <c r="K532" s="18"/>
      <c r="L532" s="69">
        <f>SUM(F532:K532)</f>
        <v>19259.16</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3266.52</v>
      </c>
      <c r="G534" s="18">
        <v>1521.52</v>
      </c>
      <c r="H534" s="18"/>
      <c r="I534" s="18"/>
      <c r="J534" s="18"/>
      <c r="K534" s="18"/>
      <c r="L534" s="69">
        <f>SUM(F534:K534)</f>
        <v>4788.04</v>
      </c>
      <c r="M534" s="8"/>
      <c r="N534" s="165"/>
    </row>
    <row r="535" spans="1:14" s="3" customFormat="1" ht="12.2" customHeight="1" thickTop="1" x14ac:dyDescent="0.15">
      <c r="A535" s="97" t="s">
        <v>67</v>
      </c>
      <c r="B535" s="41">
        <v>21</v>
      </c>
      <c r="C535" s="41">
        <v>12</v>
      </c>
      <c r="D535" s="115" t="s">
        <v>432</v>
      </c>
      <c r="E535" s="41"/>
      <c r="F535" s="70">
        <f>SUM(F532:F534)</f>
        <v>16332.6</v>
      </c>
      <c r="G535" s="70">
        <f t="shared" ref="G535:L535" si="42">SUM(G532:G534)</f>
        <v>7714.6</v>
      </c>
      <c r="H535" s="70">
        <f t="shared" si="42"/>
        <v>0</v>
      </c>
      <c r="I535" s="70">
        <f t="shared" si="42"/>
        <v>0</v>
      </c>
      <c r="J535" s="70">
        <f t="shared" si="42"/>
        <v>0</v>
      </c>
      <c r="K535" s="70">
        <f t="shared" si="42"/>
        <v>0</v>
      </c>
      <c r="L535" s="70">
        <f t="shared" si="42"/>
        <v>24047.200000000001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3">SUM(G537:G539)</f>
        <v>0</v>
      </c>
      <c r="H540" s="70">
        <f t="shared" si="43"/>
        <v>0</v>
      </c>
      <c r="I540" s="70">
        <f t="shared" si="43"/>
        <v>0</v>
      </c>
      <c r="J540" s="70">
        <f t="shared" si="43"/>
        <v>0</v>
      </c>
      <c r="K540" s="70">
        <f t="shared" si="43"/>
        <v>0</v>
      </c>
      <c r="L540" s="70">
        <f t="shared" si="43"/>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H593</f>
        <v>153519.98000000001</v>
      </c>
      <c r="I542" s="18"/>
      <c r="J542" s="18"/>
      <c r="K542" s="18"/>
      <c r="L542" s="69">
        <f>SUM(F542:K542)</f>
        <v>153519.98000000001</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f>J593</f>
        <v>162035.54999999999</v>
      </c>
      <c r="I544" s="18"/>
      <c r="J544" s="18"/>
      <c r="K544" s="18"/>
      <c r="L544" s="69">
        <f>SUM(F544:K544)</f>
        <v>162035.54999999999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4">SUM(G542:G544)</f>
        <v>0</v>
      </c>
      <c r="H545" s="141">
        <f t="shared" si="44"/>
        <v>315555.53000000003</v>
      </c>
      <c r="I545" s="141">
        <f t="shared" si="44"/>
        <v>0</v>
      </c>
      <c r="J545" s="141">
        <f t="shared" si="44"/>
        <v>0</v>
      </c>
      <c r="K545" s="141">
        <f t="shared" si="44"/>
        <v>0</v>
      </c>
      <c r="L545" s="141">
        <f t="shared" si="44"/>
        <v>315555.53000000003</v>
      </c>
      <c r="M545" s="8"/>
      <c r="N545" s="165"/>
    </row>
    <row r="546" spans="1:14" s="3" customFormat="1" ht="12.2" customHeight="1" thickTop="1" x14ac:dyDescent="0.15">
      <c r="A546" s="75" t="s">
        <v>72</v>
      </c>
      <c r="B546" s="41">
        <v>21</v>
      </c>
      <c r="C546" s="41">
        <v>21</v>
      </c>
      <c r="D546" s="115" t="s">
        <v>432</v>
      </c>
      <c r="E546" s="41"/>
      <c r="F546" s="70">
        <f>F525+F530+F535+F540+F545</f>
        <v>948219.82000000007</v>
      </c>
      <c r="G546" s="70">
        <f t="shared" ref="G546:L546" si="45">G525+G530+G535+G540+G545</f>
        <v>618214.54999999993</v>
      </c>
      <c r="H546" s="70">
        <f t="shared" si="45"/>
        <v>2011721.9200000002</v>
      </c>
      <c r="I546" s="70">
        <f t="shared" si="45"/>
        <v>12031.939999999999</v>
      </c>
      <c r="J546" s="70">
        <f t="shared" si="45"/>
        <v>4205.09</v>
      </c>
      <c r="K546" s="70">
        <f t="shared" si="45"/>
        <v>6066.74</v>
      </c>
      <c r="L546" s="70">
        <f t="shared" si="45"/>
        <v>3600460.0600000005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1654879.99</v>
      </c>
      <c r="G550" s="69">
        <f>L527</f>
        <v>1217328.1399999999</v>
      </c>
      <c r="H550" s="69">
        <f>L532</f>
        <v>19259.16</v>
      </c>
      <c r="I550" s="69">
        <f>L537</f>
        <v>0</v>
      </c>
      <c r="J550" s="69">
        <f>L542</f>
        <v>153519.98000000001</v>
      </c>
      <c r="K550" s="69">
        <f>SUM(F550:J550)</f>
        <v>3044987.27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326258.56</v>
      </c>
      <c r="G552" s="69">
        <f>L529</f>
        <v>62390.64</v>
      </c>
      <c r="H552" s="69">
        <f>L534</f>
        <v>4788.04</v>
      </c>
      <c r="I552" s="69">
        <f>L539</f>
        <v>0</v>
      </c>
      <c r="J552" s="69">
        <f>L544</f>
        <v>162035.54999999999</v>
      </c>
      <c r="K552" s="69">
        <f>SUM(F552:J552)</f>
        <v>555472.79</v>
      </c>
      <c r="L552" s="23" t="s">
        <v>288</v>
      </c>
      <c r="M552" s="8"/>
      <c r="N552" s="165"/>
    </row>
    <row r="553" spans="1:14" s="3" customFormat="1" ht="12.2" customHeight="1" thickTop="1" x14ac:dyDescent="0.15">
      <c r="A553" s="126" t="s">
        <v>340</v>
      </c>
      <c r="B553" s="41">
        <v>21</v>
      </c>
      <c r="C553" s="41">
        <v>25</v>
      </c>
      <c r="D553" s="36" t="s">
        <v>432</v>
      </c>
      <c r="E553" s="41"/>
      <c r="F553" s="70">
        <f t="shared" ref="F553:K553" si="46">SUM(F550:F552)</f>
        <v>1981138.55</v>
      </c>
      <c r="G553" s="70">
        <f t="shared" si="46"/>
        <v>1279718.7799999998</v>
      </c>
      <c r="H553" s="70">
        <f t="shared" si="46"/>
        <v>24047.200000000001</v>
      </c>
      <c r="I553" s="70">
        <f t="shared" si="46"/>
        <v>0</v>
      </c>
      <c r="J553" s="70">
        <f t="shared" si="46"/>
        <v>315555.53000000003</v>
      </c>
      <c r="K553" s="70">
        <f t="shared" si="46"/>
        <v>3600460.06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7">SUM(F558:F560)</f>
        <v>0</v>
      </c>
      <c r="G561" s="81">
        <f t="shared" si="47"/>
        <v>0</v>
      </c>
      <c r="H561" s="81">
        <f t="shared" si="47"/>
        <v>0</v>
      </c>
      <c r="I561" s="81">
        <f t="shared" si="47"/>
        <v>0</v>
      </c>
      <c r="J561" s="81">
        <f t="shared" si="47"/>
        <v>0</v>
      </c>
      <c r="K561" s="81">
        <f t="shared" si="47"/>
        <v>0</v>
      </c>
      <c r="L561" s="70">
        <f t="shared" si="47"/>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8">SUM(F563:F565)</f>
        <v>0</v>
      </c>
      <c r="G566" s="70">
        <f t="shared" si="48"/>
        <v>0</v>
      </c>
      <c r="H566" s="70">
        <f t="shared" si="48"/>
        <v>0</v>
      </c>
      <c r="I566" s="70">
        <f t="shared" si="48"/>
        <v>0</v>
      </c>
      <c r="J566" s="70">
        <f t="shared" si="48"/>
        <v>0</v>
      </c>
      <c r="K566" s="70">
        <f t="shared" si="48"/>
        <v>0</v>
      </c>
      <c r="L566" s="70">
        <f t="shared" si="48"/>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9">SUM(G568:G570)</f>
        <v>0</v>
      </c>
      <c r="H571" s="141">
        <f t="shared" si="49"/>
        <v>0</v>
      </c>
      <c r="I571" s="141">
        <f t="shared" si="49"/>
        <v>0</v>
      </c>
      <c r="J571" s="141">
        <f t="shared" si="49"/>
        <v>0</v>
      </c>
      <c r="K571" s="141">
        <f t="shared" si="49"/>
        <v>0</v>
      </c>
      <c r="L571" s="141">
        <f t="shared" si="49"/>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50">G561+G566+G571</f>
        <v>0</v>
      </c>
      <c r="H572" s="70">
        <f t="shared" si="50"/>
        <v>0</v>
      </c>
      <c r="I572" s="70">
        <f t="shared" si="50"/>
        <v>0</v>
      </c>
      <c r="J572" s="70">
        <f t="shared" si="50"/>
        <v>0</v>
      </c>
      <c r="K572" s="70">
        <f t="shared" si="50"/>
        <v>0</v>
      </c>
      <c r="L572" s="70">
        <f t="shared" si="50"/>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1982781.82</v>
      </c>
      <c r="I576" s="69">
        <f>SUM(F576:H576)</f>
        <v>1982781.82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51">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51"/>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51"/>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291331.12</v>
      </c>
      <c r="G580" s="18"/>
      <c r="H580" s="18">
        <v>260942.15</v>
      </c>
      <c r="I580" s="69">
        <f t="shared" si="51"/>
        <v>552273.27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51"/>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51"/>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73246.320000000007</v>
      </c>
      <c r="G583" s="18"/>
      <c r="H583" s="18">
        <v>64394.8</v>
      </c>
      <c r="I583" s="69">
        <f t="shared" si="51"/>
        <v>137641.12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104231.11</v>
      </c>
      <c r="G584" s="18"/>
      <c r="H584" s="18"/>
      <c r="I584" s="69">
        <f t="shared" si="51"/>
        <v>104231.11</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51"/>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51"/>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51"/>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51"/>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107573.4+158046.42</f>
        <v>265619.82</v>
      </c>
      <c r="I592" s="18"/>
      <c r="J592" s="18">
        <v>0</v>
      </c>
      <c r="K592" s="80">
        <f t="shared" ref="K592:K598" si="52">SUM(H592:J592)</f>
        <v>265619.82</v>
      </c>
      <c r="L592" s="23" t="s">
        <v>288</v>
      </c>
      <c r="M592" s="8"/>
      <c r="N592" s="165"/>
    </row>
    <row r="593" spans="1:14" s="3" customFormat="1" ht="12.2" customHeight="1" x14ac:dyDescent="0.15">
      <c r="A593" s="3" t="s">
        <v>638</v>
      </c>
      <c r="B593" s="22">
        <v>23</v>
      </c>
      <c r="C593" s="22">
        <v>2</v>
      </c>
      <c r="D593" s="2" t="s">
        <v>432</v>
      </c>
      <c r="E593" s="22"/>
      <c r="F593" s="78">
        <v>2722</v>
      </c>
      <c r="G593" s="79" t="s">
        <v>97</v>
      </c>
      <c r="H593" s="18">
        <v>153519.98000000001</v>
      </c>
      <c r="I593" s="18"/>
      <c r="J593" s="18">
        <v>162035.54999999999</v>
      </c>
      <c r="K593" s="80">
        <f t="shared" si="52"/>
        <v>315555.53000000003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52"/>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2186.75</v>
      </c>
      <c r="I595" s="18"/>
      <c r="J595" s="18"/>
      <c r="K595" s="80">
        <f t="shared" si="52"/>
        <v>2186.75</v>
      </c>
      <c r="L595" s="23" t="s">
        <v>288</v>
      </c>
      <c r="M595" s="8"/>
      <c r="N595" s="165"/>
    </row>
    <row r="596" spans="1:14" s="3" customFormat="1" ht="12.2" customHeight="1" x14ac:dyDescent="0.15">
      <c r="A596" s="103" t="s">
        <v>652</v>
      </c>
      <c r="B596" s="22">
        <v>23</v>
      </c>
      <c r="C596" s="22">
        <v>5</v>
      </c>
      <c r="D596" s="2" t="s">
        <v>432</v>
      </c>
      <c r="E596" s="22"/>
      <c r="F596" s="78">
        <v>2725</v>
      </c>
      <c r="G596" s="79" t="s">
        <v>97</v>
      </c>
      <c r="H596" s="18">
        <f>979.78+10027.76</f>
        <v>11007.54</v>
      </c>
      <c r="I596" s="18"/>
      <c r="J596" s="18"/>
      <c r="K596" s="80">
        <f t="shared" si="52"/>
        <v>11007.54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2"/>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2"/>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432334.09</v>
      </c>
      <c r="I599" s="81">
        <f>SUM(I592:I598)</f>
        <v>0</v>
      </c>
      <c r="J599" s="81">
        <f>SUM(J592:J598)</f>
        <v>162035.54999999999</v>
      </c>
      <c r="K599" s="81">
        <f>SUM(K592:K598)</f>
        <v>594369.64000000013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J212+J353</f>
        <v>334943.2</v>
      </c>
      <c r="I605" s="18"/>
      <c r="J605" s="18"/>
      <c r="K605" s="80">
        <f>SUM(H605:J605)</f>
        <v>334943.2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334943.2</v>
      </c>
      <c r="I606" s="81">
        <f>SUM(I603:I605)</f>
        <v>0</v>
      </c>
      <c r="J606" s="81">
        <f>SUM(J603:J605)</f>
        <v>0</v>
      </c>
      <c r="K606" s="81">
        <f>SUM(K603:K605)</f>
        <v>334943.2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3">SUM(F612:F614)</f>
        <v>0</v>
      </c>
      <c r="G615" s="81">
        <f t="shared" si="53"/>
        <v>0</v>
      </c>
      <c r="H615" s="81">
        <f t="shared" si="53"/>
        <v>0</v>
      </c>
      <c r="I615" s="81">
        <f t="shared" si="53"/>
        <v>0</v>
      </c>
      <c r="J615" s="81">
        <f t="shared" si="53"/>
        <v>0</v>
      </c>
      <c r="K615" s="81">
        <f t="shared" si="53"/>
        <v>0</v>
      </c>
      <c r="L615" s="70">
        <f t="shared" si="53"/>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1634841.64</v>
      </c>
      <c r="H618" s="80">
        <f>SUM(F52)</f>
        <v>1634841.6400000001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80564.009999999995</v>
      </c>
      <c r="H619" s="80">
        <f>SUM(G52)</f>
        <v>80564.010000000009</v>
      </c>
      <c r="I619" s="87" t="s">
        <v>875</v>
      </c>
      <c r="J619" s="80">
        <f>G619-H619</f>
        <v>0</v>
      </c>
      <c r="K619" s="80"/>
      <c r="L619" s="80"/>
      <c r="M619" s="8"/>
    </row>
    <row r="620" spans="1:14" s="3" customFormat="1" ht="12.2" customHeight="1" x14ac:dyDescent="0.15">
      <c r="A620" s="74"/>
      <c r="B620" s="22"/>
      <c r="C620" s="22"/>
      <c r="D620" s="22"/>
      <c r="E620" s="22"/>
      <c r="F620" s="87" t="s">
        <v>685</v>
      </c>
      <c r="G620" s="80">
        <f>SUM(H19)</f>
        <v>96543.41</v>
      </c>
      <c r="H620" s="80">
        <f>SUM(H52)</f>
        <v>96543.41</v>
      </c>
      <c r="I620" s="87" t="s">
        <v>876</v>
      </c>
      <c r="J620" s="80">
        <f>G620-H620</f>
        <v>0</v>
      </c>
      <c r="K620" s="80"/>
      <c r="L620" s="80"/>
      <c r="M620" s="8"/>
    </row>
    <row r="621" spans="1:14" s="3" customFormat="1" ht="12.2" customHeight="1" x14ac:dyDescent="0.15">
      <c r="A621" s="74"/>
      <c r="B621" s="22"/>
      <c r="C621" s="22"/>
      <c r="D621" s="22"/>
      <c r="E621" s="22"/>
      <c r="F621" s="87" t="s">
        <v>686</v>
      </c>
      <c r="G621" s="80">
        <f>SUM(I19)</f>
        <v>11850096.51</v>
      </c>
      <c r="H621" s="80">
        <f>SUM(I52)</f>
        <v>11850096.51</v>
      </c>
      <c r="I621" s="87" t="s">
        <v>877</v>
      </c>
      <c r="J621" s="80">
        <f>G621-H621</f>
        <v>0</v>
      </c>
      <c r="K621" s="80"/>
      <c r="L621" s="80"/>
      <c r="M621" s="8"/>
    </row>
    <row r="622" spans="1:14" s="3" customFormat="1" ht="12.2" customHeight="1" x14ac:dyDescent="0.15">
      <c r="A622" s="74"/>
      <c r="B622" s="22"/>
      <c r="C622" s="22"/>
      <c r="D622" s="22"/>
      <c r="E622" s="22"/>
      <c r="F622" s="87" t="s">
        <v>687</v>
      </c>
      <c r="G622" s="80">
        <f>SUM(J19)</f>
        <v>680678.55</v>
      </c>
      <c r="H622" s="80">
        <f>SUM(J52)</f>
        <v>680678.55</v>
      </c>
      <c r="I622" s="87" t="s">
        <v>878</v>
      </c>
      <c r="J622" s="80">
        <f>G622-H622</f>
        <v>0</v>
      </c>
      <c r="K622" s="80"/>
      <c r="L622" s="80"/>
      <c r="M622" s="8"/>
    </row>
    <row r="623" spans="1:14" s="3" customFormat="1" ht="12.2" customHeight="1" x14ac:dyDescent="0.15">
      <c r="A623" s="74"/>
      <c r="B623" s="22"/>
      <c r="C623" s="22"/>
      <c r="D623" s="22"/>
      <c r="E623" s="22"/>
      <c r="F623" s="87" t="s">
        <v>864</v>
      </c>
      <c r="G623" s="80">
        <f>F51</f>
        <v>863906.66</v>
      </c>
      <c r="H623" s="80">
        <f>F477</f>
        <v>863906.66000000015</v>
      </c>
      <c r="I623" s="87" t="s">
        <v>101</v>
      </c>
      <c r="J623" s="80">
        <f t="shared" ref="J623:J656" si="54">G623-H623</f>
        <v>0</v>
      </c>
      <c r="K623" s="80"/>
      <c r="L623" s="80"/>
      <c r="M623" s="8"/>
    </row>
    <row r="624" spans="1:14" s="3" customFormat="1" ht="12.2" customHeight="1" x14ac:dyDescent="0.15">
      <c r="A624" s="74"/>
      <c r="B624" s="22"/>
      <c r="C624" s="85"/>
      <c r="D624" s="85"/>
      <c r="E624" s="85"/>
      <c r="F624" s="85" t="s">
        <v>865</v>
      </c>
      <c r="G624" s="80">
        <f>G51</f>
        <v>97043.27</v>
      </c>
      <c r="H624" s="80">
        <f>G477</f>
        <v>97043.270000000019</v>
      </c>
      <c r="I624" s="87" t="s">
        <v>102</v>
      </c>
      <c r="J624" s="80">
        <f t="shared" si="54"/>
        <v>0</v>
      </c>
      <c r="K624" s="80"/>
      <c r="L624" s="80"/>
      <c r="M624" s="8"/>
    </row>
    <row r="625" spans="1:13" s="3" customFormat="1" ht="12.2" customHeight="1" x14ac:dyDescent="0.15">
      <c r="A625" s="74"/>
      <c r="B625" s="22"/>
      <c r="C625" s="22"/>
      <c r="D625" s="22"/>
      <c r="E625" s="22"/>
      <c r="F625" s="86" t="s">
        <v>866</v>
      </c>
      <c r="G625" s="80">
        <f>H51</f>
        <v>23187.72</v>
      </c>
      <c r="H625" s="80">
        <f>H477</f>
        <v>23187.719999999972</v>
      </c>
      <c r="I625" s="87" t="s">
        <v>103</v>
      </c>
      <c r="J625" s="80">
        <f t="shared" si="54"/>
        <v>2.9103830456733704E-11</v>
      </c>
      <c r="K625" s="80"/>
      <c r="L625" s="80"/>
      <c r="M625" s="8"/>
    </row>
    <row r="626" spans="1:13" s="3" customFormat="1" ht="12.2" customHeight="1" x14ac:dyDescent="0.15">
      <c r="A626" s="74"/>
      <c r="B626" s="22"/>
      <c r="C626" s="22"/>
      <c r="D626" s="22"/>
      <c r="E626" s="22"/>
      <c r="F626" s="86" t="s">
        <v>867</v>
      </c>
      <c r="G626" s="80">
        <f>I51</f>
        <v>9303179.7799999993</v>
      </c>
      <c r="H626" s="80">
        <f>I477</f>
        <v>9303179.7800000012</v>
      </c>
      <c r="I626" s="87" t="s">
        <v>104</v>
      </c>
      <c r="J626" s="80">
        <f t="shared" si="54"/>
        <v>0</v>
      </c>
      <c r="K626" s="80"/>
      <c r="L626" s="80"/>
      <c r="M626" s="8"/>
    </row>
    <row r="627" spans="1:13" s="3" customFormat="1" ht="12.2" customHeight="1" x14ac:dyDescent="0.15">
      <c r="A627" s="21"/>
      <c r="B627" s="22"/>
      <c r="C627" s="22"/>
      <c r="D627" s="22"/>
      <c r="E627" s="22"/>
      <c r="F627" s="86" t="s">
        <v>868</v>
      </c>
      <c r="G627" s="80">
        <f>J51</f>
        <v>680678.55</v>
      </c>
      <c r="H627" s="80">
        <f>J477</f>
        <v>680678.54999999993</v>
      </c>
      <c r="I627" s="87" t="s">
        <v>105</v>
      </c>
      <c r="J627" s="80">
        <f t="shared" si="54"/>
        <v>0</v>
      </c>
      <c r="K627" s="67"/>
      <c r="L627" s="69"/>
      <c r="M627" s="8"/>
    </row>
    <row r="628" spans="1:13" s="3" customFormat="1" ht="12.2" customHeight="1" x14ac:dyDescent="0.15">
      <c r="A628" s="21"/>
      <c r="B628" s="22"/>
      <c r="C628" s="22"/>
      <c r="D628" s="22"/>
      <c r="E628" s="22"/>
      <c r="F628" s="86" t="s">
        <v>658</v>
      </c>
      <c r="G628" s="80">
        <f>F194</f>
        <v>10750585.379999999</v>
      </c>
      <c r="H628" s="80">
        <f>SUM(F469)</f>
        <v>10750585.380000001</v>
      </c>
      <c r="I628" s="87" t="s">
        <v>106</v>
      </c>
      <c r="J628" s="80">
        <f>G628-H628</f>
        <v>0</v>
      </c>
      <c r="K628" s="67"/>
      <c r="L628" s="69"/>
      <c r="M628" s="8"/>
    </row>
    <row r="629" spans="1:13" s="3" customFormat="1" ht="12.2" customHeight="1" x14ac:dyDescent="0.15">
      <c r="A629" s="21"/>
      <c r="B629" s="22"/>
      <c r="C629" s="22"/>
      <c r="D629" s="22"/>
      <c r="E629" s="22"/>
      <c r="F629" s="86" t="s">
        <v>659</v>
      </c>
      <c r="G629" s="80">
        <f>G194</f>
        <v>227434.18</v>
      </c>
      <c r="H629" s="80">
        <f>SUM(G469)</f>
        <v>227434.18</v>
      </c>
      <c r="I629" s="87" t="s">
        <v>107</v>
      </c>
      <c r="J629" s="80">
        <f>G629-H629</f>
        <v>0</v>
      </c>
      <c r="K629" s="67"/>
      <c r="L629" s="69"/>
      <c r="M629" s="8"/>
    </row>
    <row r="630" spans="1:13" s="3" customFormat="1" ht="12.2" customHeight="1" x14ac:dyDescent="0.15">
      <c r="A630" s="21"/>
      <c r="B630" s="22"/>
      <c r="C630" s="22"/>
      <c r="D630" s="22"/>
      <c r="E630" s="22"/>
      <c r="F630" s="86" t="s">
        <v>660</v>
      </c>
      <c r="G630" s="80">
        <f>H194</f>
        <v>945974.20999999985</v>
      </c>
      <c r="H630" s="80">
        <f>SUM(H469)</f>
        <v>945974.21</v>
      </c>
      <c r="I630" s="87" t="s">
        <v>108</v>
      </c>
      <c r="J630" s="80">
        <f>G630-H630</f>
        <v>0</v>
      </c>
      <c r="K630" s="67"/>
      <c r="L630" s="69"/>
      <c r="M630" s="8"/>
    </row>
    <row r="631" spans="1:13" s="3" customFormat="1" ht="12.2" customHeight="1" x14ac:dyDescent="0.15">
      <c r="A631" s="21"/>
      <c r="B631" s="22"/>
      <c r="C631" s="22"/>
      <c r="D631" s="22"/>
      <c r="E631" s="22"/>
      <c r="F631" s="86" t="s">
        <v>661</v>
      </c>
      <c r="G631" s="80">
        <f>I194</f>
        <v>15859057.560000001</v>
      </c>
      <c r="H631" s="80">
        <f>SUM(I469)</f>
        <v>15859057.560000001</v>
      </c>
      <c r="I631" s="87" t="s">
        <v>109</v>
      </c>
      <c r="J631" s="80">
        <f>G631-H631</f>
        <v>0</v>
      </c>
      <c r="K631" s="67"/>
      <c r="L631" s="69"/>
      <c r="M631" s="8"/>
    </row>
    <row r="632" spans="1:13" s="3" customFormat="1" ht="12.2" customHeight="1" x14ac:dyDescent="0.15">
      <c r="A632" s="21"/>
      <c r="B632" s="22"/>
      <c r="C632" s="22"/>
      <c r="D632" s="22"/>
      <c r="E632" s="22"/>
      <c r="F632" s="86" t="s">
        <v>662</v>
      </c>
      <c r="G632" s="80">
        <f>J194</f>
        <v>71562.38</v>
      </c>
      <c r="H632" s="80">
        <f>SUM(J469)</f>
        <v>71562.38</v>
      </c>
      <c r="I632" s="87" t="s">
        <v>110</v>
      </c>
      <c r="J632" s="80">
        <f>G632-H632</f>
        <v>0</v>
      </c>
      <c r="K632" s="67"/>
      <c r="L632" s="69"/>
      <c r="M632" s="8"/>
    </row>
    <row r="633" spans="1:13" s="3" customFormat="1" ht="12.2" customHeight="1" x14ac:dyDescent="0.15">
      <c r="A633" s="21"/>
      <c r="B633" s="22"/>
      <c r="C633" s="22"/>
      <c r="D633" s="22"/>
      <c r="E633" s="22"/>
      <c r="F633" s="86" t="s">
        <v>394</v>
      </c>
      <c r="G633" s="80">
        <f>SUM(L272)</f>
        <v>11098678.089999998</v>
      </c>
      <c r="H633" s="80">
        <f>SUM(F473)</f>
        <v>11098678.09</v>
      </c>
      <c r="I633" s="87" t="s">
        <v>111</v>
      </c>
      <c r="J633" s="80">
        <f t="shared" si="54"/>
        <v>0</v>
      </c>
      <c r="K633" s="67"/>
      <c r="L633" s="69"/>
      <c r="M633" s="8"/>
    </row>
    <row r="634" spans="1:13" s="3" customFormat="1" ht="12.2" customHeight="1" x14ac:dyDescent="0.15">
      <c r="A634" s="21"/>
      <c r="B634" s="22"/>
      <c r="C634" s="22"/>
      <c r="D634" s="22"/>
      <c r="E634" s="22"/>
      <c r="F634" s="86" t="s">
        <v>395</v>
      </c>
      <c r="G634" s="80">
        <f>SUM(L353)</f>
        <v>947962.88</v>
      </c>
      <c r="H634" s="80">
        <f>SUM(H473)</f>
        <v>947962.88</v>
      </c>
      <c r="I634" s="87" t="s">
        <v>112</v>
      </c>
      <c r="J634" s="80">
        <f>G634-H634</f>
        <v>0</v>
      </c>
      <c r="K634" s="67"/>
      <c r="L634" s="69"/>
      <c r="M634" s="8"/>
    </row>
    <row r="635" spans="1:13" s="124" customFormat="1" ht="12.2" customHeight="1" x14ac:dyDescent="0.15">
      <c r="A635" s="21"/>
      <c r="B635" s="22"/>
      <c r="C635" s="22"/>
      <c r="D635" s="22"/>
      <c r="E635" s="22"/>
      <c r="F635" s="99" t="s">
        <v>247</v>
      </c>
      <c r="G635" s="80">
        <f>I363</f>
        <v>90738.68</v>
      </c>
      <c r="H635" s="80">
        <f>I370</f>
        <v>90738.68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193352.61000000002</v>
      </c>
      <c r="H636" s="80">
        <f>SUM(G473)</f>
        <v>193352.61</v>
      </c>
      <c r="I636" s="87" t="s">
        <v>114</v>
      </c>
      <c r="J636" s="80">
        <f t="shared" si="54"/>
        <v>0</v>
      </c>
      <c r="K636" s="67"/>
      <c r="L636" s="69"/>
      <c r="M636" s="123"/>
    </row>
    <row r="637" spans="1:13" s="3" customFormat="1" ht="12.2" customHeight="1" x14ac:dyDescent="0.15">
      <c r="A637" s="21"/>
      <c r="B637" s="22"/>
      <c r="C637" s="22"/>
      <c r="D637" s="22"/>
      <c r="E637" s="22"/>
      <c r="F637" s="86" t="s">
        <v>115</v>
      </c>
      <c r="G637" s="80">
        <f>SUM(L383)</f>
        <v>16863299.329999998</v>
      </c>
      <c r="H637" s="80">
        <f>SUM(I473)</f>
        <v>16863299.329999998</v>
      </c>
      <c r="I637" s="87" t="s">
        <v>116</v>
      </c>
      <c r="J637" s="80">
        <f t="shared" si="54"/>
        <v>0</v>
      </c>
      <c r="K637" s="67"/>
      <c r="L637" s="69"/>
      <c r="M637" s="8"/>
    </row>
    <row r="638" spans="1:13" s="3" customFormat="1" ht="12.2" customHeight="1" x14ac:dyDescent="0.15">
      <c r="A638" s="117"/>
      <c r="B638" s="118"/>
      <c r="C638" s="118"/>
      <c r="D638" s="118"/>
      <c r="E638" s="118"/>
      <c r="F638" s="119" t="s">
        <v>477</v>
      </c>
      <c r="G638" s="108">
        <f>SUM(L409)</f>
        <v>71562.37999999999</v>
      </c>
      <c r="H638" s="108">
        <f>SUM(J469)</f>
        <v>71562.38</v>
      </c>
      <c r="I638" s="120" t="s">
        <v>110</v>
      </c>
      <c r="J638" s="108">
        <f t="shared" si="54"/>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4"/>
        <v>0</v>
      </c>
      <c r="K639" s="121"/>
      <c r="L639" s="122"/>
      <c r="M639" s="8"/>
    </row>
    <row r="640" spans="1:13" s="3" customFormat="1" ht="12.2" customHeight="1" x14ac:dyDescent="0.15">
      <c r="A640" s="21"/>
      <c r="B640" s="22"/>
      <c r="C640" s="22"/>
      <c r="D640" s="22"/>
      <c r="E640" s="22"/>
      <c r="F640" s="86" t="s">
        <v>118</v>
      </c>
      <c r="G640" s="80">
        <f>SUM(F447)</f>
        <v>132601.5</v>
      </c>
      <c r="H640" s="80">
        <f>SUM(F462)</f>
        <v>132601.5</v>
      </c>
      <c r="I640" s="87" t="s">
        <v>840</v>
      </c>
      <c r="J640" s="80">
        <f t="shared" si="54"/>
        <v>0</v>
      </c>
      <c r="K640" s="67"/>
      <c r="L640" s="69"/>
      <c r="M640" s="8"/>
    </row>
    <row r="641" spans="1:13" s="3" customFormat="1" ht="12.2" customHeight="1" x14ac:dyDescent="0.15">
      <c r="A641" s="21"/>
      <c r="B641" s="22"/>
      <c r="C641" s="22"/>
      <c r="D641" s="22"/>
      <c r="E641" s="22"/>
      <c r="F641" s="86" t="s">
        <v>119</v>
      </c>
      <c r="G641" s="80">
        <f>SUM(G447)</f>
        <v>548077.05000000005</v>
      </c>
      <c r="H641" s="80">
        <f>SUM(G462)</f>
        <v>548077.05000000005</v>
      </c>
      <c r="I641" s="87" t="s">
        <v>841</v>
      </c>
      <c r="J641" s="80">
        <f t="shared" si="54"/>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4"/>
        <v>0</v>
      </c>
      <c r="K642" s="67"/>
      <c r="L642" s="69"/>
      <c r="M642" s="8"/>
    </row>
    <row r="643" spans="1:13" s="3" customFormat="1" ht="12.2" customHeight="1" x14ac:dyDescent="0.15">
      <c r="A643" s="21"/>
      <c r="B643" s="22"/>
      <c r="C643" s="22"/>
      <c r="D643" s="22"/>
      <c r="E643" s="22"/>
      <c r="F643" s="86" t="s">
        <v>121</v>
      </c>
      <c r="G643" s="80">
        <f>SUM(I447)</f>
        <v>680678.55</v>
      </c>
      <c r="H643" s="80">
        <f>SUM(I462)</f>
        <v>680678.55</v>
      </c>
      <c r="I643" s="87" t="s">
        <v>843</v>
      </c>
      <c r="J643" s="80">
        <f t="shared" si="54"/>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4"/>
        <v>0</v>
      </c>
      <c r="K644" s="67"/>
      <c r="L644" s="69"/>
      <c r="M644" s="8"/>
    </row>
    <row r="645" spans="1:13" s="3" customFormat="1" ht="12.2" customHeight="1" x14ac:dyDescent="0.15">
      <c r="A645" s="21"/>
      <c r="B645" s="22"/>
      <c r="C645" s="22"/>
      <c r="D645" s="22"/>
      <c r="E645" s="22"/>
      <c r="F645" s="86" t="s">
        <v>663</v>
      </c>
      <c r="G645" s="80">
        <f>J96</f>
        <v>21562.38</v>
      </c>
      <c r="H645" s="80">
        <f>H409</f>
        <v>21562.38</v>
      </c>
      <c r="I645" s="87" t="s">
        <v>480</v>
      </c>
      <c r="J645" s="80">
        <f t="shared" si="54"/>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4"/>
        <v>0</v>
      </c>
      <c r="K646" s="67"/>
      <c r="L646" s="69"/>
      <c r="M646" s="8"/>
    </row>
    <row r="647" spans="1:13" s="3" customFormat="1" ht="12.2" customHeight="1" x14ac:dyDescent="0.15">
      <c r="A647" s="21"/>
      <c r="B647" s="22"/>
      <c r="C647" s="22"/>
      <c r="D647" s="22"/>
      <c r="E647" s="22"/>
      <c r="F647" s="86" t="s">
        <v>662</v>
      </c>
      <c r="G647" s="80">
        <f>J194</f>
        <v>71562.38</v>
      </c>
      <c r="H647" s="80">
        <f>L409</f>
        <v>71562.37999999999</v>
      </c>
      <c r="I647" s="87" t="s">
        <v>477</v>
      </c>
      <c r="J647" s="80">
        <f t="shared" si="54"/>
        <v>0</v>
      </c>
      <c r="K647" s="67"/>
      <c r="L647" s="69"/>
      <c r="M647" s="8"/>
    </row>
    <row r="648" spans="1:13" s="3" customFormat="1" ht="12.2" customHeight="1" x14ac:dyDescent="0.15">
      <c r="A648" s="21"/>
      <c r="B648" s="22"/>
      <c r="C648" s="22"/>
      <c r="D648" s="22"/>
      <c r="E648" s="22"/>
      <c r="F648" s="86" t="s">
        <v>51</v>
      </c>
      <c r="G648" s="80">
        <f>K599</f>
        <v>594369.64000000013</v>
      </c>
      <c r="H648" s="80">
        <f>L209+L227+L245</f>
        <v>594369.64</v>
      </c>
      <c r="I648" s="87" t="s">
        <v>396</v>
      </c>
      <c r="J648" s="80">
        <f t="shared" si="54"/>
        <v>0</v>
      </c>
      <c r="K648" s="67"/>
      <c r="L648" s="69"/>
      <c r="M648" s="8"/>
    </row>
    <row r="649" spans="1:13" s="3" customFormat="1" ht="12.2" customHeight="1" x14ac:dyDescent="0.15">
      <c r="A649" s="21"/>
      <c r="B649" s="22"/>
      <c r="C649" s="22"/>
      <c r="D649" s="22"/>
      <c r="E649" s="22"/>
      <c r="F649" s="86" t="s">
        <v>52</v>
      </c>
      <c r="G649" s="80">
        <f>K606</f>
        <v>334943.2</v>
      </c>
      <c r="H649" s="80">
        <f>(J258+J339)-(J256+J337)</f>
        <v>334943.2</v>
      </c>
      <c r="I649" s="87" t="s">
        <v>699</v>
      </c>
      <c r="J649" s="80">
        <f t="shared" si="54"/>
        <v>0</v>
      </c>
      <c r="K649" s="67"/>
      <c r="L649" s="69"/>
      <c r="M649" s="8"/>
    </row>
    <row r="650" spans="1:13" s="3" customFormat="1" ht="12.2" customHeight="1" x14ac:dyDescent="0.15">
      <c r="A650" s="21"/>
      <c r="B650" s="22"/>
      <c r="C650" s="22"/>
      <c r="D650" s="22"/>
      <c r="E650" s="22"/>
      <c r="F650" s="86" t="s">
        <v>387</v>
      </c>
      <c r="G650" s="80">
        <f>L209</f>
        <v>432334.09</v>
      </c>
      <c r="H650" s="80">
        <f>H599</f>
        <v>432334.09</v>
      </c>
      <c r="I650" s="87" t="s">
        <v>388</v>
      </c>
      <c r="J650" s="80">
        <f t="shared" si="54"/>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4"/>
        <v>0</v>
      </c>
      <c r="K651" s="67"/>
      <c r="L651" s="69"/>
      <c r="M651" s="8"/>
    </row>
    <row r="652" spans="1:13" s="3" customFormat="1" ht="12.2" customHeight="1" x14ac:dyDescent="0.15">
      <c r="A652" s="21"/>
      <c r="B652" s="22"/>
      <c r="C652" s="22"/>
      <c r="D652" s="22"/>
      <c r="E652" s="22"/>
      <c r="F652" s="86" t="s">
        <v>393</v>
      </c>
      <c r="G652" s="80">
        <f>L245</f>
        <v>162035.54999999999</v>
      </c>
      <c r="H652" s="80">
        <f>J599</f>
        <v>162035.54999999999</v>
      </c>
      <c r="I652" s="87" t="s">
        <v>390</v>
      </c>
      <c r="J652" s="80">
        <f t="shared" si="54"/>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4"/>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4"/>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4"/>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4"/>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9169717.0099999979</v>
      </c>
      <c r="G661" s="13">
        <f>(L230+L310+L360)</f>
        <v>0</v>
      </c>
      <c r="H661" s="13">
        <f>(L248+L329+L361)</f>
        <v>2533466.5699999998</v>
      </c>
      <c r="I661" s="13">
        <f>SUM(F661:H661)</f>
        <v>11703183.579999998</v>
      </c>
      <c r="J661" s="13"/>
      <c r="K661" s="13"/>
      <c r="L661" s="13"/>
      <c r="M661" s="9"/>
    </row>
    <row r="662" spans="1:13" s="3" customFormat="1" ht="12.2" customHeight="1" x14ac:dyDescent="0.2">
      <c r="A662" s="1" t="s">
        <v>127</v>
      </c>
      <c r="F662" s="13">
        <f>(L359/IF(SUM(L359:L361)=0,1,SUM(L359:L361))*(SUM(G97:G110)))</f>
        <v>66908.09</v>
      </c>
      <c r="G662" s="13">
        <f>(L360/IF(SUM(L359:L361)=0,1,SUM(L359:L361))*(SUM(G97:G110)))</f>
        <v>0</v>
      </c>
      <c r="H662" s="13">
        <f>(L361/IF(SUM(L359:L361)=0,1,SUM(L359:L361))*(SUM(G97:G110)))</f>
        <v>0</v>
      </c>
      <c r="I662" s="13">
        <f>SUM(F662:H662)</f>
        <v>66908.09</v>
      </c>
      <c r="J662"/>
      <c r="K662" s="13"/>
      <c r="L662" s="13"/>
      <c r="M662" s="8"/>
    </row>
    <row r="663" spans="1:13" s="3" customFormat="1" ht="12.2" customHeight="1" x14ac:dyDescent="0.2">
      <c r="A663" s="1" t="s">
        <v>128</v>
      </c>
      <c r="F663" s="13">
        <f>(L209+L288)-(J209+J288)</f>
        <v>448282.98000000004</v>
      </c>
      <c r="G663" s="13">
        <f>(L227+L307)-(J227+J307)</f>
        <v>0</v>
      </c>
      <c r="H663" s="13">
        <f>(L245+L326)-(J245+J326)</f>
        <v>162035.54999999999</v>
      </c>
      <c r="I663" s="13">
        <f>SUM(F663:H663)</f>
        <v>610318.53</v>
      </c>
      <c r="J663"/>
      <c r="K663" s="13"/>
      <c r="L663" s="13"/>
      <c r="M663" s="9"/>
    </row>
    <row r="664" spans="1:13" s="3" customFormat="1" ht="12.2" customHeight="1" x14ac:dyDescent="0.15">
      <c r="A664" s="142" t="s">
        <v>129</v>
      </c>
      <c r="B664" s="124"/>
      <c r="C664" s="124"/>
      <c r="D664" s="124"/>
      <c r="E664" s="124"/>
      <c r="F664" s="143">
        <f>SUM(F576:F588)+SUM(H603:H605)+SUM(L612)</f>
        <v>803751.75</v>
      </c>
      <c r="G664" s="143">
        <f>SUM(G576:G588)+SUM(I603:I605)+L613</f>
        <v>0</v>
      </c>
      <c r="H664" s="143">
        <f>SUM(H576:H588)+SUM(J603:J605)+L614</f>
        <v>2308118.77</v>
      </c>
      <c r="I664" s="13">
        <f>SUM(F664:H664)</f>
        <v>3111870.52</v>
      </c>
      <c r="J664" s="13"/>
      <c r="K664" s="13"/>
      <c r="L664" s="13"/>
      <c r="M664" s="9"/>
    </row>
    <row r="665" spans="1:13" s="3" customFormat="1" ht="12.2" customHeight="1" x14ac:dyDescent="0.15">
      <c r="A665" s="1" t="s">
        <v>130</v>
      </c>
      <c r="F665" s="13">
        <f>F661-SUM(F662:F664)</f>
        <v>7850774.1899999976</v>
      </c>
      <c r="G665" s="13">
        <f>G661-SUM(G662:G664)</f>
        <v>0</v>
      </c>
      <c r="H665" s="13">
        <f>H661-SUM(H662:H664)</f>
        <v>63312.25</v>
      </c>
      <c r="I665" s="13">
        <f>I661-SUM(I662:I664)</f>
        <v>7914086.4399999976</v>
      </c>
      <c r="J665" s="13"/>
      <c r="K665" s="13"/>
      <c r="L665" s="13"/>
      <c r="M665" s="8"/>
    </row>
    <row r="666" spans="1:13" s="3" customFormat="1" ht="12.2" customHeight="1" x14ac:dyDescent="0.2">
      <c r="A666" s="1" t="s">
        <v>131</v>
      </c>
      <c r="F666" s="183">
        <v>336.86</v>
      </c>
      <c r="G666" s="184"/>
      <c r="H666" s="184"/>
      <c r="I666" s="13">
        <f>SUM(F666:H666)</f>
        <v>336.86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23305.75</v>
      </c>
      <c r="G668" s="13" t="e">
        <f>ROUND(G665/G666,2)</f>
        <v>#DIV/0!</v>
      </c>
      <c r="H668" s="13" t="e">
        <f>ROUND(H665/H666,2)</f>
        <v>#DIV/0!</v>
      </c>
      <c r="I668" s="13">
        <f>ROUND(I665/I666,2)</f>
        <v>23493.7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5">IF(AND(F666=0,F665&gt;0),F665*-1,"")</f>
        <v/>
      </c>
      <c r="G670" s="73" t="str">
        <f t="shared" si="55"/>
        <v/>
      </c>
      <c r="H670" s="73">
        <f t="shared" si="55"/>
        <v>-63312.25</v>
      </c>
      <c r="I670" s="13">
        <f>SUM(F670:H670)</f>
        <v>-63312.25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23305.75</v>
      </c>
      <c r="G673" s="13" t="e">
        <f>ROUND((G665+G670)/(G666+G671),2)</f>
        <v>#DIV/0!</v>
      </c>
      <c r="H673" s="13" t="e">
        <f>ROUND((H665+H670)/(H666+H671),2)</f>
        <v>#DIV/0!</v>
      </c>
      <c r="I673" s="13">
        <f>ROUND((I665+I670)/(I666+I671),2)</f>
        <v>23305.75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6" sqref="C16"/>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33277.599999999999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21667.53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11610.07</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8"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Allenstown</v>
      </c>
      <c r="C5" s="317"/>
      <c r="D5" s="317"/>
      <c r="E5" s="317"/>
      <c r="F5" s="317"/>
    </row>
    <row r="8" spans="1:9" ht="18" x14ac:dyDescent="0.25">
      <c r="A8" s="240" t="s">
        <v>1560</v>
      </c>
      <c r="F8" s="247" t="s">
        <v>1578</v>
      </c>
    </row>
    <row r="9" spans="1:9" ht="15" x14ac:dyDescent="0.2">
      <c r="A9" s="238" t="s">
        <v>1561</v>
      </c>
      <c r="B9" s="241">
        <f>'DOE25'!G97</f>
        <v>66908.09</v>
      </c>
      <c r="F9" s="238" t="s">
        <v>1574</v>
      </c>
    </row>
    <row r="10" spans="1:9" ht="15" x14ac:dyDescent="0.2">
      <c r="A10" s="238" t="s">
        <v>1562</v>
      </c>
      <c r="B10" s="241">
        <f>'DOE25'!G112-'DOE25'!G97</f>
        <v>0</v>
      </c>
      <c r="F10" s="238" t="s">
        <v>1575</v>
      </c>
    </row>
    <row r="11" spans="1:9" ht="15" x14ac:dyDescent="0.2">
      <c r="A11" s="238" t="s">
        <v>1563</v>
      </c>
      <c r="B11" s="241">
        <f>'DOE25'!G140</f>
        <v>5037.03</v>
      </c>
      <c r="F11" s="238" t="s">
        <v>1576</v>
      </c>
    </row>
    <row r="12" spans="1:9" ht="15" x14ac:dyDescent="0.2">
      <c r="A12" s="238" t="s">
        <v>1564</v>
      </c>
      <c r="B12" s="241">
        <f>'DOE25'!G170</f>
        <v>155489.06</v>
      </c>
      <c r="F12" s="238" t="s">
        <v>1577</v>
      </c>
    </row>
    <row r="13" spans="1:9" ht="15" x14ac:dyDescent="0.2">
      <c r="A13" s="238" t="s">
        <v>1565</v>
      </c>
      <c r="B13" s="241">
        <f>'DOE25'!G193-'DOE25'!G180</f>
        <v>0</v>
      </c>
      <c r="F13" s="238" t="s">
        <v>1587</v>
      </c>
    </row>
    <row r="14" spans="1:9" ht="18" x14ac:dyDescent="0.25">
      <c r="A14" s="240" t="s">
        <v>732</v>
      </c>
      <c r="B14" s="242">
        <f>SUM(B9:B13)</f>
        <v>227434.18</v>
      </c>
    </row>
    <row r="16" spans="1:9" ht="18" x14ac:dyDescent="0.25">
      <c r="A16" s="240" t="s">
        <v>786</v>
      </c>
      <c r="F16" s="247" t="s">
        <v>1579</v>
      </c>
    </row>
    <row r="17" spans="1:6" ht="15" x14ac:dyDescent="0.2">
      <c r="A17" s="238" t="s">
        <v>1566</v>
      </c>
      <c r="B17" s="241">
        <f>'DOE25'!L363-'DOE25'!L362</f>
        <v>193352.61000000002</v>
      </c>
      <c r="F17" s="238" t="s">
        <v>1580</v>
      </c>
    </row>
    <row r="18" spans="1:6" ht="15" x14ac:dyDescent="0.2">
      <c r="A18" s="238" t="s">
        <v>1567</v>
      </c>
      <c r="B18" s="251">
        <v>0</v>
      </c>
      <c r="F18" s="247" t="s">
        <v>1604</v>
      </c>
    </row>
    <row r="19" spans="1:6" ht="18" x14ac:dyDescent="0.25">
      <c r="A19" s="240" t="s">
        <v>725</v>
      </c>
      <c r="B19" s="242">
        <f>SUM(B17:B18)</f>
        <v>193352.61000000002</v>
      </c>
    </row>
    <row r="21" spans="1:6" ht="18.75" thickBot="1" x14ac:dyDescent="0.3">
      <c r="A21" s="240" t="s">
        <v>1568</v>
      </c>
    </row>
    <row r="22" spans="1:6" ht="18.75" thickTop="1" x14ac:dyDescent="0.25">
      <c r="A22" s="240" t="s">
        <v>1569</v>
      </c>
      <c r="B22" s="246">
        <f>B14-B19</f>
        <v>34081.569999999978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63592.89</v>
      </c>
      <c r="F31" s="238" t="s">
        <v>1584</v>
      </c>
    </row>
    <row r="33" spans="1:6" ht="15" x14ac:dyDescent="0.2">
      <c r="A33" s="238" t="s">
        <v>1798</v>
      </c>
      <c r="B33" s="241">
        <f>'DOE25'!G477</f>
        <v>97043.270000000019</v>
      </c>
      <c r="F33" s="238" t="s">
        <v>1585</v>
      </c>
    </row>
    <row r="36" spans="1:6" ht="15" x14ac:dyDescent="0.2">
      <c r="A36" s="238" t="s">
        <v>1571</v>
      </c>
      <c r="B36" s="252">
        <v>6790.48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8" sqref="F1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Allenstown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1846458.27</v>
      </c>
      <c r="C9" s="167">
        <f>'DOE25'!G198+'DOE25'!G216+'DOE25'!G234+'DOE25'!G277+'DOE25'!G296+'DOE25'!G315</f>
        <v>938161.12</v>
      </c>
    </row>
    <row r="10" spans="1:3" x14ac:dyDescent="0.2">
      <c r="A10" t="s">
        <v>775</v>
      </c>
      <c r="B10" s="177">
        <v>1796684.9</v>
      </c>
      <c r="C10" s="177">
        <v>912871.93</v>
      </c>
    </row>
    <row r="11" spans="1:3" x14ac:dyDescent="0.2">
      <c r="A11" t="s">
        <v>776</v>
      </c>
      <c r="B11" s="177">
        <v>12653.37</v>
      </c>
      <c r="C11" s="177">
        <v>6429.01</v>
      </c>
    </row>
    <row r="12" spans="1:3" x14ac:dyDescent="0.2">
      <c r="A12" t="s">
        <v>777</v>
      </c>
      <c r="B12" s="177">
        <v>37120</v>
      </c>
      <c r="C12" s="177">
        <v>18860.18</v>
      </c>
    </row>
    <row r="13" spans="1:3" x14ac:dyDescent="0.2">
      <c r="A13" t="str">
        <f>IF(B9=B13,IF(C9=C13,"Check Total OK","Check Total Error"),"Check Total Error")</f>
        <v>Check Total OK</v>
      </c>
      <c r="B13" s="169">
        <f>SUM(B10:B12)</f>
        <v>1846458.27</v>
      </c>
      <c r="C13" s="169">
        <f>SUM(C10:C12)</f>
        <v>938161.12000000011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858152.15</v>
      </c>
      <c r="C18" s="167">
        <f>'DOE25'!G199+'DOE25'!G217+'DOE25'!G235+'DOE25'!G278+'DOE25'!G297+'DOE25'!G316</f>
        <v>478355.27</v>
      </c>
    </row>
    <row r="19" spans="1:3" x14ac:dyDescent="0.2">
      <c r="A19" t="s">
        <v>775</v>
      </c>
      <c r="B19" s="177">
        <v>398765.09</v>
      </c>
      <c r="C19" s="177">
        <v>222281.54</v>
      </c>
    </row>
    <row r="20" spans="1:3" x14ac:dyDescent="0.2">
      <c r="A20" t="s">
        <v>776</v>
      </c>
      <c r="B20" s="177">
        <v>324115.65999999997</v>
      </c>
      <c r="C20" s="177">
        <v>180670.1</v>
      </c>
    </row>
    <row r="21" spans="1:3" x14ac:dyDescent="0.2">
      <c r="A21" t="s">
        <v>777</v>
      </c>
      <c r="B21" s="177">
        <v>135271.4</v>
      </c>
      <c r="C21" s="177">
        <v>75403.63</v>
      </c>
    </row>
    <row r="22" spans="1:3" x14ac:dyDescent="0.2">
      <c r="A22" t="str">
        <f>IF(B18=B22,IF(C18=C22,"Check Total OK","Check Total Error"),"Check Total Error")</f>
        <v>Check Total OK</v>
      </c>
      <c r="B22" s="169">
        <f>SUM(B19:B21)</f>
        <v>858152.15</v>
      </c>
      <c r="C22" s="169">
        <f>SUM(C19:C21)</f>
        <v>478355.27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23520.57</v>
      </c>
      <c r="C36" s="173">
        <f>'DOE25'!G201+'DOE25'!G219+'DOE25'!G237+'DOE25'!G280+'DOE25'!G299+'DOE25'!G318</f>
        <v>12000.929999999998</v>
      </c>
    </row>
    <row r="37" spans="1:3" x14ac:dyDescent="0.2">
      <c r="A37" t="s">
        <v>775</v>
      </c>
      <c r="B37" s="177">
        <v>23520.57</v>
      </c>
      <c r="C37" s="177">
        <v>12000.93</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23520.57</v>
      </c>
      <c r="C40" s="169">
        <f>SUM(C37:C39)</f>
        <v>12000.93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39" sqref="D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Allenstown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6740823.7999999998</v>
      </c>
      <c r="D5" s="19">
        <f>SUM('DOE25'!L198:L201)+SUM('DOE25'!L216:L219)+SUM('DOE25'!L234:L237)-F5-G5-H5</f>
        <v>6698287.7599999998</v>
      </c>
      <c r="E5" s="180"/>
      <c r="F5" s="181"/>
      <c r="G5" s="19">
        <f>SUM('DOE25'!J198:J201)+SUM('DOE25'!J216:J219)+SUM('DOE25'!J234:J237)</f>
        <v>41258.009999999995</v>
      </c>
      <c r="H5" s="19">
        <f>SUM('DOE25'!K198:K201)+SUM('DOE25'!K216:K219)+SUM('DOE25'!K234:K237)</f>
        <v>1278.03</v>
      </c>
      <c r="I5" s="192"/>
    </row>
    <row r="6" spans="1:9" x14ac:dyDescent="0.2">
      <c r="A6" s="31">
        <v>2100</v>
      </c>
      <c r="B6" t="s">
        <v>796</v>
      </c>
      <c r="C6" s="206">
        <f t="shared" si="0"/>
        <v>1279718.7799999998</v>
      </c>
      <c r="D6" s="19">
        <f>'DOE25'!L203+'DOE25'!L221+'DOE25'!L239-F6-G6-H6</f>
        <v>1196054.2699999998</v>
      </c>
      <c r="E6" s="180"/>
      <c r="F6" s="181">
        <f>78152.77</f>
        <v>78152.77</v>
      </c>
      <c r="G6" s="19">
        <f>'DOE25'!J203+'DOE25'!J221+'DOE25'!J239</f>
        <v>0</v>
      </c>
      <c r="H6" s="19">
        <f>'DOE25'!K203+'DOE25'!K221+'DOE25'!K239</f>
        <v>5511.74</v>
      </c>
      <c r="I6" s="192"/>
    </row>
    <row r="7" spans="1:9" x14ac:dyDescent="0.2">
      <c r="A7" s="31">
        <v>2200</v>
      </c>
      <c r="B7" t="s">
        <v>820</v>
      </c>
      <c r="C7" s="206">
        <f t="shared" si="0"/>
        <v>105041.01</v>
      </c>
      <c r="D7" s="19">
        <f>'DOE25'!L204+'DOE25'!L222+'DOE25'!L240-F7-G7-H7</f>
        <v>104912.01</v>
      </c>
      <c r="E7" s="180"/>
      <c r="F7" s="181"/>
      <c r="G7" s="19">
        <f>'DOE25'!J204+'DOE25'!J222+'DOE25'!J240</f>
        <v>0</v>
      </c>
      <c r="H7" s="19">
        <f>'DOE25'!K204+'DOE25'!K222+'DOE25'!K240</f>
        <v>129</v>
      </c>
      <c r="I7" s="192"/>
    </row>
    <row r="8" spans="1:9" x14ac:dyDescent="0.2">
      <c r="A8" s="31">
        <v>2300</v>
      </c>
      <c r="B8" t="s">
        <v>797</v>
      </c>
      <c r="C8" s="206">
        <f t="shared" si="0"/>
        <v>274007.03999999998</v>
      </c>
      <c r="D8" s="180"/>
      <c r="E8" s="19">
        <f>'DOE25'!L205+'DOE25'!L223+'DOE25'!L241-F8-G8-H8-D9-D11</f>
        <v>270037.06</v>
      </c>
      <c r="F8" s="181"/>
      <c r="G8" s="19">
        <f>'DOE25'!J205+'DOE25'!J223+'DOE25'!J241</f>
        <v>0</v>
      </c>
      <c r="H8" s="19">
        <f>'DOE25'!K205+'DOE25'!K223+'DOE25'!K241</f>
        <v>3969.98</v>
      </c>
      <c r="I8" s="192"/>
    </row>
    <row r="9" spans="1:9" ht="14.25" x14ac:dyDescent="0.2">
      <c r="A9" s="31">
        <v>2310</v>
      </c>
      <c r="B9" s="71" t="s">
        <v>887</v>
      </c>
      <c r="C9" s="206">
        <f t="shared" si="0"/>
        <v>12313.22</v>
      </c>
      <c r="D9" s="181">
        <v>12313.22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v>0</v>
      </c>
      <c r="E11" s="180"/>
      <c r="F11" s="180"/>
      <c r="G11" s="180"/>
      <c r="H11" s="180"/>
      <c r="I11" s="192"/>
    </row>
    <row r="12" spans="1:9" x14ac:dyDescent="0.2">
      <c r="A12" s="31">
        <v>2400</v>
      </c>
      <c r="B12" t="s">
        <v>711</v>
      </c>
      <c r="C12" s="206">
        <f t="shared" si="0"/>
        <v>626434.79</v>
      </c>
      <c r="D12" s="19">
        <f>'DOE25'!L206+'DOE25'!L224+'DOE25'!L242-F12-G12-H12</f>
        <v>622519.29</v>
      </c>
      <c r="E12" s="180"/>
      <c r="F12" s="181"/>
      <c r="G12" s="19">
        <f>'DOE25'!J206+'DOE25'!J224+'DOE25'!J242</f>
        <v>419.26</v>
      </c>
      <c r="H12" s="19">
        <f>'DOE25'!K206+'DOE25'!K224+'DOE25'!K242</f>
        <v>3496.24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929159.80999999994</v>
      </c>
      <c r="D14" s="19">
        <f>'DOE25'!L208+'DOE25'!L226+'DOE25'!L244-F14-G14-H14</f>
        <v>550976.57999999996</v>
      </c>
      <c r="E14" s="180"/>
      <c r="F14" s="181">
        <f>142020+4424</f>
        <v>146444</v>
      </c>
      <c r="G14" s="19">
        <f>'DOE25'!J208+'DOE25'!J226+'DOE25'!J244</f>
        <v>231739.23</v>
      </c>
      <c r="H14" s="19">
        <f>'DOE25'!K208+'DOE25'!K226+'DOE25'!K244</f>
        <v>0</v>
      </c>
      <c r="I14" s="192"/>
    </row>
    <row r="15" spans="1:9" x14ac:dyDescent="0.2">
      <c r="A15" s="31">
        <v>2700</v>
      </c>
      <c r="B15" t="s">
        <v>799</v>
      </c>
      <c r="C15" s="206">
        <f t="shared" si="0"/>
        <v>594369.64</v>
      </c>
      <c r="D15" s="19">
        <f>'DOE25'!L209+'DOE25'!L227+'DOE25'!L245-F15-G15-H15</f>
        <v>105188.41000000003</v>
      </c>
      <c r="E15" s="180"/>
      <c r="F15" s="181">
        <f>34850+190835.83+178095.4+85400</f>
        <v>489181.23</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486810</v>
      </c>
      <c r="D25" s="180"/>
      <c r="E25" s="180"/>
      <c r="F25" s="191"/>
      <c r="G25" s="180"/>
      <c r="H25" s="180"/>
      <c r="I25" s="190">
        <f>'DOE25'!L261+'DOE25'!L262+'DOE25'!L342+'DOE25'!L343</f>
        <v>486810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107958.44000000002</v>
      </c>
      <c r="D29" s="212">
        <f>'DOE25'!L359+'DOE25'!L360+'DOE25'!L361-'DOE25'!I368-F29-G29-H29-F39</f>
        <v>105693.37000000001</v>
      </c>
      <c r="E29" s="180"/>
      <c r="F29" s="180"/>
      <c r="G29" s="19">
        <f>'DOE25'!J359+'DOE25'!J360+'DOE25'!J361</f>
        <v>500</v>
      </c>
      <c r="H29" s="19">
        <f>'DOE25'!K359+'DOE25'!K360+'DOE25'!K361</f>
        <v>1765.07</v>
      </c>
      <c r="I29" s="192"/>
    </row>
    <row r="30" spans="1:9" x14ac:dyDescent="0.2">
      <c r="A30" s="31"/>
      <c r="C30" s="207"/>
      <c r="D30" s="19"/>
      <c r="F30" s="201"/>
      <c r="G30" s="19"/>
      <c r="H30" s="19"/>
      <c r="I30" s="192"/>
    </row>
    <row r="31" spans="1:9" x14ac:dyDescent="0.2">
      <c r="A31" s="31" t="s">
        <v>817</v>
      </c>
      <c r="B31" t="s">
        <v>816</v>
      </c>
      <c r="C31" s="206">
        <f>SUM(D31:I31)</f>
        <v>947962.88</v>
      </c>
      <c r="D31" s="19">
        <f>'DOE25'!L291+'DOE25'!L310+'DOE25'!L329+'DOE25'!L334+'DOE25'!L335+'DOE25'!L336-F31-G31-H31</f>
        <v>871686.43</v>
      </c>
      <c r="E31" s="180"/>
      <c r="F31" s="181"/>
      <c r="G31" s="19">
        <f>'DOE25'!J291+'DOE25'!J310+'DOE25'!J329+'DOE25'!J334+'DOE25'!J335+'DOE25'!J336</f>
        <v>61526.700000000004</v>
      </c>
      <c r="H31" s="19">
        <f>'DOE25'!K291+'DOE25'!K310+'DOE25'!K329+'DOE25'!K334+'DOE25'!K335+'DOE25'!K336</f>
        <v>14749.75</v>
      </c>
      <c r="I31" s="192"/>
    </row>
    <row r="32" spans="1:9" ht="12" thickBot="1" x14ac:dyDescent="0.25">
      <c r="C32" s="207"/>
      <c r="G32" s="188"/>
      <c r="H32" s="188"/>
      <c r="I32" s="194"/>
    </row>
    <row r="33" spans="1:9" ht="12" thickTop="1" x14ac:dyDescent="0.2">
      <c r="B33" t="s">
        <v>809</v>
      </c>
      <c r="D33" s="182">
        <f t="shared" ref="D33:I33" si="1">SUM(D5:D31)</f>
        <v>10267631.339999998</v>
      </c>
      <c r="E33" s="182">
        <f t="shared" si="1"/>
        <v>270037.06</v>
      </c>
      <c r="F33" s="182">
        <f t="shared" si="1"/>
        <v>713778</v>
      </c>
      <c r="G33" s="182">
        <f t="shared" si="1"/>
        <v>335443.20000000001</v>
      </c>
      <c r="H33" s="182">
        <f t="shared" si="1"/>
        <v>30899.809999999998</v>
      </c>
      <c r="I33" s="182">
        <f t="shared" si="1"/>
        <v>486810</v>
      </c>
    </row>
    <row r="34" spans="1:9" ht="12" thickBot="1" x14ac:dyDescent="0.25"/>
    <row r="35" spans="1:9" ht="12" thickBot="1" x14ac:dyDescent="0.25">
      <c r="B35" s="188" t="s">
        <v>830</v>
      </c>
      <c r="D35" s="189">
        <f>E33</f>
        <v>270037.06</v>
      </c>
      <c r="E35" s="185"/>
      <c r="F35" s="295" t="s">
        <v>1608</v>
      </c>
      <c r="G35" s="296"/>
      <c r="H35" s="296"/>
      <c r="I35" s="297"/>
    </row>
    <row r="36" spans="1:9" ht="12" thickTop="1" x14ac:dyDescent="0.2">
      <c r="B36" t="s">
        <v>810</v>
      </c>
      <c r="D36" s="19">
        <f>D33</f>
        <v>10267631.339999998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K18" sqref="K1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Allenstown</v>
      </c>
      <c r="B2">
        <f>'DOE25'!B2</f>
        <v>9</v>
      </c>
      <c r="J2" s="224" t="s">
        <v>1808</v>
      </c>
      <c r="K2" s="309">
        <f>SUM('DOE25'!L198:L201)+SUM('DOE25'!L216:L219)+SUM('DOE25'!L234:L237)+SUM('DOE25'!L277:L280)+SUM('DOE25'!L296:L299)+SUM('DOE25'!L315:L318)</f>
        <v>7297105.4799999995</v>
      </c>
      <c r="L2" s="309">
        <f>'DOE25'!L203+'DOE25'!L221+'DOE25'!L239+'DOE25'!L282+'DOE25'!L301+'DOE25'!L320</f>
        <v>1502469.4099999997</v>
      </c>
      <c r="M2" s="309">
        <f>'DOE25'!L204+'DOE25'!L222+'DOE25'!L240+'DOE25'!L283+'DOE25'!L302+'DOE25'!L321</f>
        <v>185736.84999999998</v>
      </c>
      <c r="N2" s="309">
        <f>'DOE25'!L206+'DOE25'!L224+'DOE25'!L242+'DOE25'!L285+'DOE25'!L304+'DOE25'!L323</f>
        <v>627931.94000000006</v>
      </c>
      <c r="O2" s="309">
        <f>'Salaries-Benefits'!B10+'Salaries-Benefits'!B12+'Salaries-Benefits'!B19+'Salaries-Benefits'!B21+'Salaries-Benefits'!B28+'Salaries-Benefits'!B30+'Salaries-Benefits'!B37+'Salaries-Benefits'!B39</f>
        <v>2391361.9599999995</v>
      </c>
      <c r="P2" s="309">
        <f>'Salaries-Benefits'!B11+'Salaries-Benefits'!B20+'Salaries-Benefits'!B29+'Salaries-Benefits'!B38</f>
        <v>336769.02999999997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8976364.4000000004</v>
      </c>
      <c r="G4" s="229">
        <f>'DOE25'!L212+'DOE25'!L291</f>
        <v>8976364.3999999985</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Allenstown Elementary School</v>
      </c>
      <c r="B6" s="230">
        <f>IFERROR(VLOOKUP(A6,'School Tables'!$C$3:$D$365,2,FALSE),"")</f>
        <v>22580</v>
      </c>
      <c r="C6" s="223" t="str">
        <f>IFERROR(INDEX('School Tables'!$B$3:$B$365,MATCH('School Level Expenditures'!B6,'School Tables'!$D$3:$D$365,0)),"")</f>
        <v>Allenstown</v>
      </c>
      <c r="D6" s="220">
        <f>4724215.71-83405.25-4503.92</f>
        <v>4636306.54</v>
      </c>
      <c r="E6" s="220">
        <f>511994.96+3807.28</f>
        <v>515802.24000000005</v>
      </c>
      <c r="F6" s="232">
        <f t="shared" ref="F6:F20" si="1">D6+E6</f>
        <v>5152108.78</v>
      </c>
      <c r="G6" s="223"/>
      <c r="H6" s="223"/>
      <c r="J6" t="str">
        <f>A6</f>
        <v>Allenstown Elementary School</v>
      </c>
      <c r="K6" s="20">
        <f>1508903.25+317980.14+694380.41+206670.9+2085.09</f>
        <v>2730019.79</v>
      </c>
      <c r="L6" s="20">
        <f>111375.32+306479.3+66072.34</f>
        <v>483926.95999999996</v>
      </c>
      <c r="M6" s="308">
        <f>38721.01+35342.1+17195.81+1377</f>
        <v>92635.92</v>
      </c>
      <c r="N6" s="20">
        <f>103052.87+210310.43+1497.16</f>
        <v>314860.45999999996</v>
      </c>
      <c r="O6" s="20">
        <f>1229759.48+147266.87+900+81140.79+1128.63-83405.25+20263.32</f>
        <v>1397053.84</v>
      </c>
      <c r="P6" s="20">
        <v>168384.52</v>
      </c>
      <c r="Q6" s="20"/>
    </row>
    <row r="7" spans="1:21" x14ac:dyDescent="0.2">
      <c r="A7" t="str" cm="1">
        <f t="array" ref="A7">IFERROR(INDEX('School Tables'!$A$4:$G$325,'School Tables'!$J5,3),"")</f>
        <v>Armand R. Dupont School</v>
      </c>
      <c r="B7" s="230">
        <f>IFERROR(VLOOKUP(A7,'School Tables'!$C$3:$D$365,2,FALSE),"")</f>
        <v>22575</v>
      </c>
      <c r="C7" s="223" t="str">
        <f>IFERROR(INDEX('School Tables'!$B$3:$B$365,MATCH('School Level Expenditures'!B7,'School Tables'!$D$3:$D$365,0)),"")</f>
        <v>Allenstown</v>
      </c>
      <c r="D7" s="220">
        <f>4026184.98-83405.25-550684.75</f>
        <v>3392094.98</v>
      </c>
      <c r="E7" s="220">
        <v>432160.64</v>
      </c>
      <c r="F7" s="232">
        <f t="shared" si="1"/>
        <v>3824255.62</v>
      </c>
      <c r="G7" s="223"/>
      <c r="H7" s="223"/>
      <c r="J7" t="str">
        <f t="shared" ref="J7:J20" si="2">A7</f>
        <v>Armand R. Dupont School</v>
      </c>
      <c r="K7" s="20">
        <f>1211895.59+235991.41+694380.41+115777.9</f>
        <v>2258045.31</v>
      </c>
      <c r="L7" s="20">
        <f>111375.32+309338.12+66072.34+482024.09-12658.06</f>
        <v>956151.81</v>
      </c>
      <c r="M7" s="308">
        <f>41974.83+33930.29+17195.81</f>
        <v>93100.93</v>
      </c>
      <c r="N7" s="20">
        <f>103052.87+210018.61</f>
        <v>313071.48</v>
      </c>
      <c r="O7" s="20">
        <f>912517.71+82026.24+900+81140.8+1128.62-83405.25</f>
        <v>994308.12000000011</v>
      </c>
      <c r="P7" s="20">
        <v>168384.51</v>
      </c>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8028401.5199999996</v>
      </c>
      <c r="E21" s="262">
        <f>SUM(E5:E20)</f>
        <v>947962.88000000012</v>
      </c>
      <c r="F21" s="217"/>
      <c r="G21" s="217"/>
      <c r="H21" s="217"/>
      <c r="K21" s="263">
        <f t="shared" ref="K21:Q21" si="3">SUM(K5:K20)</f>
        <v>4988065.0999999996</v>
      </c>
      <c r="L21" s="263">
        <f t="shared" si="3"/>
        <v>1440078.77</v>
      </c>
      <c r="M21" s="263">
        <f t="shared" si="3"/>
        <v>185736.84999999998</v>
      </c>
      <c r="N21" s="263">
        <f t="shared" si="3"/>
        <v>627931.93999999994</v>
      </c>
      <c r="O21" s="263">
        <f t="shared" si="3"/>
        <v>2391361.96</v>
      </c>
      <c r="P21" s="263">
        <f t="shared" si="3"/>
        <v>336769.03</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v>0</v>
      </c>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2533466.5699999998</v>
      </c>
      <c r="G36" s="229">
        <f>'DOE25'!L248+'DOE25'!L329</f>
        <v>2533466.5699999998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2533466.5699999998</v>
      </c>
      <c r="E37" s="220"/>
      <c r="F37" s="232">
        <f t="shared" ref="F37:F42" si="7">D37+E37</f>
        <v>2533466.5699999998</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f>1982781.82+326258.56</f>
        <v>2309040.38</v>
      </c>
      <c r="L38" s="20">
        <v>62390.64</v>
      </c>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2533466.5699999998</v>
      </c>
      <c r="E43" s="263">
        <f>SUM(E37:E42)</f>
        <v>0</v>
      </c>
      <c r="K43" s="263">
        <f t="shared" ref="K43:Q43" si="9">SUM(K37:K42)</f>
        <v>2309040.38</v>
      </c>
      <c r="L43" s="263">
        <f t="shared" si="9"/>
        <v>62390.64</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Allenstown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1481045.82</v>
      </c>
      <c r="D8" s="73">
        <f>'DOE25'!G9</f>
        <v>0</v>
      </c>
      <c r="E8" s="73">
        <f>'DOE25'!H9</f>
        <v>0</v>
      </c>
      <c r="F8" s="73">
        <f>'DOE25'!I9</f>
        <v>11850096.51</v>
      </c>
      <c r="G8" s="73">
        <f>'DOE25'!J9</f>
        <v>680678.55</v>
      </c>
      <c r="H8" s="13">
        <f>SUM(C8:G8)</f>
        <v>14011820.880000001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87973.14</v>
      </c>
      <c r="D12" s="73">
        <f>'DOE25'!G13</f>
        <v>0</v>
      </c>
      <c r="E12" s="73">
        <f>'DOE25'!H13</f>
        <v>0</v>
      </c>
      <c r="F12" s="73">
        <f>'DOE25'!I13</f>
        <v>0</v>
      </c>
      <c r="G12" s="73">
        <f>'DOE25'!J13</f>
        <v>0</v>
      </c>
      <c r="H12" s="13">
        <f t="shared" si="0"/>
        <v>87973.14</v>
      </c>
      <c r="I12" s="90"/>
    </row>
    <row r="13" spans="1:9" x14ac:dyDescent="0.2">
      <c r="A13" s="1" t="s">
        <v>144</v>
      </c>
      <c r="B13" s="6">
        <v>150</v>
      </c>
      <c r="C13" s="73">
        <f>'DOE25'!F14</f>
        <v>59978.68</v>
      </c>
      <c r="D13" s="73">
        <f>'DOE25'!G14</f>
        <v>71493.899999999994</v>
      </c>
      <c r="E13" s="73">
        <f>'DOE25'!H14</f>
        <v>96543.41</v>
      </c>
      <c r="F13" s="73">
        <f>'DOE25'!I14</f>
        <v>0</v>
      </c>
      <c r="G13" s="73">
        <f>'DOE25'!J14</f>
        <v>0</v>
      </c>
      <c r="H13" s="13">
        <f t="shared" si="0"/>
        <v>228015.99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9070.11</v>
      </c>
      <c r="E15" s="73">
        <f>'DOE25'!H16</f>
        <v>0</v>
      </c>
      <c r="F15" s="73">
        <f>'DOE25'!I16</f>
        <v>0</v>
      </c>
      <c r="G15" s="23" t="s">
        <v>288</v>
      </c>
      <c r="H15" s="13">
        <f t="shared" si="0"/>
        <v>9070.11</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5844</v>
      </c>
      <c r="D17" s="73">
        <f>'DOE25'!G18</f>
        <v>0</v>
      </c>
      <c r="E17" s="73">
        <f>'DOE25'!H18</f>
        <v>0</v>
      </c>
      <c r="F17" s="73">
        <f>'DOE25'!I18</f>
        <v>0</v>
      </c>
      <c r="G17" s="73">
        <f>'DOE25'!J18</f>
        <v>0</v>
      </c>
      <c r="H17" s="13">
        <f t="shared" si="0"/>
        <v>5844</v>
      </c>
      <c r="I17" s="90"/>
    </row>
    <row r="18" spans="1:9" ht="12" thickTop="1" x14ac:dyDescent="0.2">
      <c r="A18" s="35" t="s">
        <v>149</v>
      </c>
      <c r="B18" s="36"/>
      <c r="C18" s="38">
        <f>SUM(C8:C17)</f>
        <v>1634841.64</v>
      </c>
      <c r="D18" s="38">
        <f>SUM(D8:D17)</f>
        <v>80564.009999999995</v>
      </c>
      <c r="E18" s="38">
        <f>SUM(E8:E17)</f>
        <v>96543.41</v>
      </c>
      <c r="F18" s="38">
        <f>SUM(F8:F17)</f>
        <v>11850096.51</v>
      </c>
      <c r="G18" s="38">
        <f>SUM(G8:G17)</f>
        <v>680678.55</v>
      </c>
      <c r="H18" s="38">
        <f t="shared" si="0"/>
        <v>14342724.120000001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-27086.87</v>
      </c>
      <c r="E21" s="73">
        <f>'DOE25'!H22</f>
        <v>73247.98</v>
      </c>
      <c r="F21" s="73">
        <f>'DOE25'!I22</f>
        <v>-119.27</v>
      </c>
      <c r="G21" s="73">
        <f>'DOE25'!J22</f>
        <v>0</v>
      </c>
      <c r="H21" s="13">
        <f t="shared" ref="H21:H31" si="1">SUM(C21:G21)</f>
        <v>46041.840000000004</v>
      </c>
      <c r="I21" s="90"/>
    </row>
    <row r="22" spans="1:9" x14ac:dyDescent="0.2">
      <c r="A22" s="1" t="s">
        <v>151</v>
      </c>
      <c r="B22" s="6">
        <v>410</v>
      </c>
      <c r="C22" s="73">
        <f>'DOE25'!F23</f>
        <v>600668.1</v>
      </c>
      <c r="D22" s="73">
        <f>'DOE25'!G23</f>
        <v>9425.85</v>
      </c>
      <c r="E22" s="73">
        <f>'DOE25'!H23</f>
        <v>1745.61</v>
      </c>
      <c r="F22" s="73">
        <f>'DOE25'!I23</f>
        <v>2547036</v>
      </c>
      <c r="G22" s="73">
        <f>'DOE25'!J23</f>
        <v>0</v>
      </c>
      <c r="H22" s="13">
        <f t="shared" si="1"/>
        <v>3158875.56</v>
      </c>
      <c r="I22" s="90"/>
    </row>
    <row r="23" spans="1:9" x14ac:dyDescent="0.2">
      <c r="A23" s="1" t="s">
        <v>152</v>
      </c>
      <c r="B23" s="6">
        <v>420</v>
      </c>
      <c r="C23" s="73">
        <f>'DOE25'!F24</f>
        <v>170266.88</v>
      </c>
      <c r="D23" s="73">
        <f>'DOE25'!G24</f>
        <v>1181.76</v>
      </c>
      <c r="E23" s="73">
        <f>'DOE25'!H24</f>
        <v>0</v>
      </c>
      <c r="F23" s="73">
        <f>'DOE25'!I24</f>
        <v>0</v>
      </c>
      <c r="G23" s="73">
        <f>'DOE25'!J24</f>
        <v>0</v>
      </c>
      <c r="H23" s="13">
        <f t="shared" si="1"/>
        <v>171448.64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-1637.9</v>
      </c>
      <c r="F30" s="73">
        <f>'DOE25'!I31</f>
        <v>0</v>
      </c>
      <c r="G30" s="73">
        <f>'DOE25'!J31</f>
        <v>0</v>
      </c>
      <c r="H30" s="13">
        <f t="shared" si="1"/>
        <v>-1637.9</v>
      </c>
      <c r="I30" s="90"/>
    </row>
    <row r="31" spans="1:9" ht="12" thickTop="1" x14ac:dyDescent="0.2">
      <c r="A31" s="35" t="s">
        <v>160</v>
      </c>
      <c r="B31" s="2"/>
      <c r="C31" s="38">
        <f>SUM(C21:C30)</f>
        <v>770934.98</v>
      </c>
      <c r="D31" s="38">
        <f>SUM(D21:D30)</f>
        <v>-16479.259999999998</v>
      </c>
      <c r="E31" s="38">
        <f>SUM(E21:E30)</f>
        <v>73355.69</v>
      </c>
      <c r="F31" s="38">
        <f>SUM(F21:F30)</f>
        <v>2546916.73</v>
      </c>
      <c r="G31" s="38">
        <f>SUM(G21:G30)</f>
        <v>0</v>
      </c>
      <c r="H31" s="38">
        <f t="shared" si="1"/>
        <v>3374728.1399999997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9303179.7799999993</v>
      </c>
      <c r="G40" s="23" t="s">
        <v>288</v>
      </c>
      <c r="H40" s="13">
        <f t="shared" si="2"/>
        <v>9303179.7799999993</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100000</v>
      </c>
      <c r="D43" s="73">
        <f>'DOE25'!G44</f>
        <v>0</v>
      </c>
      <c r="E43" s="73">
        <f>'DOE25'!H44</f>
        <v>0</v>
      </c>
      <c r="F43" s="73">
        <f>'DOE25'!I44</f>
        <v>0</v>
      </c>
      <c r="G43" s="23" t="s">
        <v>288</v>
      </c>
      <c r="H43" s="13">
        <f t="shared" si="2"/>
        <v>100000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100000</v>
      </c>
      <c r="D45" s="23" t="s">
        <v>288</v>
      </c>
      <c r="E45" s="23" t="s">
        <v>288</v>
      </c>
      <c r="F45" s="23" t="s">
        <v>288</v>
      </c>
      <c r="G45" s="23" t="s">
        <v>288</v>
      </c>
      <c r="H45" s="13">
        <f t="shared" si="2"/>
        <v>100000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97043.27</v>
      </c>
      <c r="E47" s="73">
        <f>'DOE25'!H48</f>
        <v>23187.72</v>
      </c>
      <c r="F47" s="73">
        <f>'DOE25'!I48</f>
        <v>0</v>
      </c>
      <c r="G47" s="73">
        <f>'DOE25'!J48</f>
        <v>680678.55</v>
      </c>
      <c r="H47" s="13">
        <f t="shared" si="2"/>
        <v>800909.54</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663906.66</v>
      </c>
      <c r="D49" s="23" t="s">
        <v>288</v>
      </c>
      <c r="E49" s="23" t="s">
        <v>288</v>
      </c>
      <c r="F49" s="23" t="s">
        <v>288</v>
      </c>
      <c r="G49" s="23" t="s">
        <v>288</v>
      </c>
      <c r="H49" s="13">
        <f t="shared" si="2"/>
        <v>663906.66</v>
      </c>
      <c r="I49" s="90"/>
    </row>
    <row r="50" spans="1:9" ht="12.75" thickTop="1" thickBot="1" x14ac:dyDescent="0.25">
      <c r="A50" s="35" t="s">
        <v>883</v>
      </c>
      <c r="B50" s="44"/>
      <c r="C50" s="38">
        <f>SUM(C34:C49)</f>
        <v>863906.66</v>
      </c>
      <c r="D50" s="38">
        <f>SUM(D34:D49)</f>
        <v>97043.27</v>
      </c>
      <c r="E50" s="38">
        <f>SUM(E34:E49)</f>
        <v>23187.72</v>
      </c>
      <c r="F50" s="38">
        <f>SUM(F34:F49)</f>
        <v>9303179.7799999993</v>
      </c>
      <c r="G50" s="38">
        <f>SUM(G34:G49)</f>
        <v>680678.55</v>
      </c>
      <c r="H50" s="38">
        <f t="shared" si="2"/>
        <v>10967995.98</v>
      </c>
      <c r="I50" s="90"/>
    </row>
    <row r="51" spans="1:9" ht="12" thickTop="1" x14ac:dyDescent="0.2">
      <c r="A51" s="35" t="s">
        <v>884</v>
      </c>
      <c r="B51" s="2"/>
      <c r="C51" s="38">
        <f>C50+C31</f>
        <v>1634841.6400000001</v>
      </c>
      <c r="D51" s="38">
        <f>D50+D31</f>
        <v>80564.010000000009</v>
      </c>
      <c r="E51" s="38">
        <f>E50+E31</f>
        <v>96543.41</v>
      </c>
      <c r="F51" s="38">
        <f>F50+F31</f>
        <v>11850096.51</v>
      </c>
      <c r="G51" s="38">
        <f>G50+G31</f>
        <v>680678.55</v>
      </c>
      <c r="H51" s="38">
        <f t="shared" si="2"/>
        <v>14342724.120000001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5450842</v>
      </c>
      <c r="D56" s="73">
        <f>'DOE25'!G60</f>
        <v>0</v>
      </c>
      <c r="E56" s="73">
        <f>'DOE25'!H60</f>
        <v>0</v>
      </c>
      <c r="F56" s="73">
        <f>'DOE25'!I60</f>
        <v>0</v>
      </c>
      <c r="G56" s="73">
        <f>'DOE25'!J60</f>
        <v>0</v>
      </c>
      <c r="H56" s="13">
        <f t="shared" ref="H56:H63" si="3">SUM(C56:G56)</f>
        <v>5450842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45295.28</v>
      </c>
      <c r="D59" s="73">
        <f>'DOE25'!G96</f>
        <v>0</v>
      </c>
      <c r="E59" s="73">
        <f>'DOE25'!H96</f>
        <v>0</v>
      </c>
      <c r="F59" s="73">
        <f>'DOE25'!I96</f>
        <v>259268.76</v>
      </c>
      <c r="G59" s="73">
        <f>'DOE25'!J96</f>
        <v>21562.38</v>
      </c>
      <c r="H59" s="13">
        <f t="shared" si="3"/>
        <v>326126.42000000004</v>
      </c>
      <c r="I59"/>
    </row>
    <row r="60" spans="1:9" x14ac:dyDescent="0.2">
      <c r="A60" s="1" t="s">
        <v>170</v>
      </c>
      <c r="B60" s="22" t="s">
        <v>171</v>
      </c>
      <c r="C60" s="23" t="s">
        <v>288</v>
      </c>
      <c r="D60" s="73">
        <f>'DOE25'!G97</f>
        <v>66908.09</v>
      </c>
      <c r="E60" s="23" t="s">
        <v>288</v>
      </c>
      <c r="F60" s="23" t="s">
        <v>288</v>
      </c>
      <c r="G60" s="23" t="s">
        <v>288</v>
      </c>
      <c r="H60" s="13">
        <f t="shared" si="3"/>
        <v>66908.09</v>
      </c>
      <c r="I60"/>
    </row>
    <row r="61" spans="1:9" ht="12" thickBot="1" x14ac:dyDescent="0.25">
      <c r="A61" s="1" t="s">
        <v>172</v>
      </c>
      <c r="B61" s="22" t="s">
        <v>173</v>
      </c>
      <c r="C61" s="73">
        <f>SUM('DOE25'!F98:F110)</f>
        <v>37852.239999999998</v>
      </c>
      <c r="D61" s="73">
        <f>SUM('DOE25'!G98:G110)</f>
        <v>0</v>
      </c>
      <c r="E61" s="73">
        <f>SUM('DOE25'!H98:H110)</f>
        <v>1818.61</v>
      </c>
      <c r="F61" s="73">
        <f>SUM('DOE25'!I98:I110)</f>
        <v>0</v>
      </c>
      <c r="G61" s="73">
        <f>SUM('DOE25'!J98:J110)</f>
        <v>0</v>
      </c>
      <c r="H61" s="13">
        <f t="shared" si="3"/>
        <v>39670.85</v>
      </c>
      <c r="I61"/>
    </row>
    <row r="62" spans="1:9" ht="12.75" thickTop="1" thickBot="1" x14ac:dyDescent="0.25">
      <c r="A62" s="28" t="s">
        <v>174</v>
      </c>
      <c r="B62" s="6"/>
      <c r="C62" s="93">
        <f>SUM(C57:C61)</f>
        <v>83147.51999999999</v>
      </c>
      <c r="D62" s="93">
        <f>SUM(D57:D61)</f>
        <v>66908.09</v>
      </c>
      <c r="E62" s="93">
        <f>SUM(E57:E61)</f>
        <v>1818.61</v>
      </c>
      <c r="F62" s="93">
        <f>SUM(F57:F61)</f>
        <v>259268.76</v>
      </c>
      <c r="G62" s="93">
        <f>SUM(G57:G61)</f>
        <v>21562.38</v>
      </c>
      <c r="H62" s="13">
        <f t="shared" si="3"/>
        <v>432705.36</v>
      </c>
      <c r="I62"/>
    </row>
    <row r="63" spans="1:9" ht="12" thickTop="1" x14ac:dyDescent="0.2">
      <c r="A63" s="28" t="s">
        <v>175</v>
      </c>
      <c r="B63" s="6"/>
      <c r="C63" s="21">
        <f>C56+C62</f>
        <v>5533989.5199999996</v>
      </c>
      <c r="D63" s="21">
        <f>D56+D62</f>
        <v>66908.09</v>
      </c>
      <c r="E63" s="21">
        <f>E56+E62</f>
        <v>1818.61</v>
      </c>
      <c r="F63" s="21">
        <f>F56+F62</f>
        <v>259268.76</v>
      </c>
      <c r="G63" s="21">
        <f>G56+G62</f>
        <v>21562.38</v>
      </c>
      <c r="H63" s="13">
        <f t="shared" si="3"/>
        <v>5883547.3599999994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4399655.66</v>
      </c>
      <c r="D66" s="23" t="s">
        <v>288</v>
      </c>
      <c r="E66" s="23" t="s">
        <v>288</v>
      </c>
      <c r="F66" s="23" t="s">
        <v>288</v>
      </c>
      <c r="G66" s="23" t="s">
        <v>288</v>
      </c>
      <c r="H66" s="13">
        <f t="shared" ref="H66:H81" si="4">SUM(C66:G66)</f>
        <v>4399655.66</v>
      </c>
      <c r="I66"/>
    </row>
    <row r="67" spans="1:9" x14ac:dyDescent="0.2">
      <c r="A67" s="1" t="s">
        <v>770</v>
      </c>
      <c r="B67" s="6">
        <v>3112</v>
      </c>
      <c r="C67" s="73">
        <f>'DOE25'!F118</f>
        <v>446852</v>
      </c>
      <c r="D67" s="23"/>
      <c r="E67" s="23"/>
      <c r="F67" s="23"/>
      <c r="G67" s="23"/>
      <c r="H67" s="13">
        <f t="shared" si="4"/>
        <v>446852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67722.78</v>
      </c>
      <c r="D69" s="73">
        <f>'DOE25'!G120</f>
        <v>0</v>
      </c>
      <c r="E69" s="73">
        <f>'DOE25'!H120</f>
        <v>0</v>
      </c>
      <c r="F69" s="73">
        <f>'DOE25'!I120</f>
        <v>0</v>
      </c>
      <c r="G69" s="73">
        <f>'DOE25'!J120</f>
        <v>0</v>
      </c>
      <c r="H69" s="13">
        <f t="shared" si="4"/>
        <v>67722.78</v>
      </c>
      <c r="I69"/>
    </row>
    <row r="70" spans="1:9" ht="12" thickTop="1" x14ac:dyDescent="0.2">
      <c r="A70" s="28" t="s">
        <v>252</v>
      </c>
      <c r="B70" s="2"/>
      <c r="C70" s="97">
        <f>SUM(C66:C69)</f>
        <v>4914230.4400000004</v>
      </c>
      <c r="D70" s="97">
        <f>D69</f>
        <v>0</v>
      </c>
      <c r="E70" s="97">
        <f>E69</f>
        <v>0</v>
      </c>
      <c r="F70" s="97">
        <f>F69</f>
        <v>0</v>
      </c>
      <c r="G70" s="97">
        <f>G69</f>
        <v>0</v>
      </c>
      <c r="H70" s="13">
        <f t="shared" si="4"/>
        <v>4914230.4400000004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15599788.800000001</v>
      </c>
      <c r="G72" s="23" t="s">
        <v>288</v>
      </c>
      <c r="H72" s="13">
        <f t="shared" si="4"/>
        <v>15599788.800000001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194456.81</v>
      </c>
      <c r="D75" s="23" t="s">
        <v>288</v>
      </c>
      <c r="E75" s="23" t="s">
        <v>288</v>
      </c>
      <c r="F75" s="23" t="s">
        <v>288</v>
      </c>
      <c r="G75" s="23" t="s">
        <v>288</v>
      </c>
      <c r="H75" s="13">
        <f t="shared" si="4"/>
        <v>194456.81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5037.03</v>
      </c>
      <c r="E77" s="73">
        <f>SUM('DOE25'!H131:H135)</f>
        <v>0</v>
      </c>
      <c r="F77" s="73">
        <f>SUM('DOE25'!I131:I135)</f>
        <v>0</v>
      </c>
      <c r="G77" s="73">
        <f>SUM('DOE25'!J131:J135)</f>
        <v>0</v>
      </c>
      <c r="H77" s="13">
        <f t="shared" si="4"/>
        <v>5037.03</v>
      </c>
      <c r="I77"/>
    </row>
    <row r="78" spans="1:9" ht="12.75" thickTop="1" thickBot="1" x14ac:dyDescent="0.25">
      <c r="A78" s="28" t="s">
        <v>259</v>
      </c>
      <c r="B78" s="6"/>
      <c r="C78" s="93">
        <f>SUM(C72:C77)</f>
        <v>194456.81</v>
      </c>
      <c r="D78" s="93">
        <f>SUM(D72:D77)</f>
        <v>5037.03</v>
      </c>
      <c r="E78" s="93">
        <f>SUM(E72:E77)</f>
        <v>0</v>
      </c>
      <c r="F78" s="93">
        <f>SUM(F72:F77)</f>
        <v>15599788.800000001</v>
      </c>
      <c r="G78" s="93">
        <f>SUM(G72:G77)</f>
        <v>0</v>
      </c>
      <c r="H78" s="13">
        <f t="shared" si="4"/>
        <v>15799282.640000001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5108687.25</v>
      </c>
      <c r="D81" s="93">
        <f>SUM(D79:D80)+D78+D70</f>
        <v>5037.03</v>
      </c>
      <c r="E81" s="93">
        <f>SUM(E79:E80)+E78+E70</f>
        <v>0</v>
      </c>
      <c r="F81" s="93">
        <f>SUM(F79:F80)+F78+F70</f>
        <v>15599788.800000001</v>
      </c>
      <c r="G81" s="93">
        <f>SUM(G79:G80)+G78+G70</f>
        <v>0</v>
      </c>
      <c r="H81" s="93">
        <f t="shared" si="4"/>
        <v>20713513.080000002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107908.61</v>
      </c>
      <c r="D88" s="253">
        <f>SUM('DOE25'!G153:G162)</f>
        <v>155489.06</v>
      </c>
      <c r="E88" s="253">
        <f>SUM('DOE25'!H153:H162)</f>
        <v>944155.59999999986</v>
      </c>
      <c r="F88" s="253">
        <f>SUM('DOE25'!I153:I162)</f>
        <v>0</v>
      </c>
      <c r="G88" s="23" t="s">
        <v>288</v>
      </c>
      <c r="H88" s="13">
        <f t="shared" si="5"/>
        <v>1207553.2699999998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107908.61</v>
      </c>
      <c r="D91" s="94">
        <f>SUM(D85:D90)</f>
        <v>155489.06</v>
      </c>
      <c r="E91" s="94">
        <f>SUM(E85:E90)</f>
        <v>944155.59999999986</v>
      </c>
      <c r="F91" s="94">
        <f>SUM(F85:F90)</f>
        <v>0</v>
      </c>
      <c r="G91" s="23" t="s">
        <v>288</v>
      </c>
      <c r="H91" s="13">
        <f t="shared" si="5"/>
        <v>1207553.2699999998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50000</v>
      </c>
      <c r="H96" s="13">
        <f t="shared" si="5"/>
        <v>50000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50000</v>
      </c>
      <c r="H103" s="68">
        <f t="shared" si="5"/>
        <v>50000</v>
      </c>
    </row>
    <row r="104" spans="1:8" ht="12.75" thickTop="1" thickBot="1" x14ac:dyDescent="0.25">
      <c r="A104" s="32" t="s">
        <v>761</v>
      </c>
      <c r="C104" s="68">
        <f>C63+C81+C91+C103</f>
        <v>10750585.379999999</v>
      </c>
      <c r="D104" s="68">
        <f>D63+D81+D91+D103</f>
        <v>227434.18</v>
      </c>
      <c r="E104" s="68">
        <f>E63+E81+E91+E103</f>
        <v>945974.20999999985</v>
      </c>
      <c r="F104" s="68">
        <f>F63+F81+F91+F103</f>
        <v>15859057.560000001</v>
      </c>
      <c r="G104" s="68">
        <f>G63+G81+G103</f>
        <v>71562.38</v>
      </c>
      <c r="H104" s="68">
        <f t="shared" si="5"/>
        <v>27854613.709999997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4722524.51</v>
      </c>
      <c r="D109" s="23" t="s">
        <v>288</v>
      </c>
      <c r="E109" s="73">
        <f>('DOE25'!L277)+('DOE25'!L296)+('DOE25'!L315)</f>
        <v>376923.96</v>
      </c>
      <c r="F109" s="23" t="s">
        <v>288</v>
      </c>
      <c r="G109" s="23" t="s">
        <v>288</v>
      </c>
      <c r="H109" s="13">
        <f t="shared" ref="H109:H115" si="6">SUM(C109:G109)</f>
        <v>5099448.47</v>
      </c>
    </row>
    <row r="110" spans="1:8" x14ac:dyDescent="0.2">
      <c r="A110" t="s">
        <v>198</v>
      </c>
      <c r="B110" s="31" t="s">
        <v>199</v>
      </c>
      <c r="C110" s="73">
        <f>('DOE25'!L199)+('DOE25'!L217)+('DOE25'!L235)</f>
        <v>1981138.55</v>
      </c>
      <c r="D110" s="23" t="s">
        <v>288</v>
      </c>
      <c r="E110" s="73">
        <f>('DOE25'!L278)+('DOE25'!L297)+('DOE25'!L316)</f>
        <v>169267.19</v>
      </c>
      <c r="F110" s="23" t="s">
        <v>288</v>
      </c>
      <c r="G110" s="23" t="s">
        <v>288</v>
      </c>
      <c r="H110" s="13">
        <f t="shared" si="6"/>
        <v>2150405.7400000002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37160.74</v>
      </c>
      <c r="D112" s="23" t="s">
        <v>288</v>
      </c>
      <c r="E112" s="73">
        <f>+('DOE25'!L280)+('DOE25'!L299)+('DOE25'!L318)</f>
        <v>10090.529999999999</v>
      </c>
      <c r="F112" s="23" t="s">
        <v>288</v>
      </c>
      <c r="G112" s="23" t="s">
        <v>288</v>
      </c>
      <c r="H112" s="13">
        <f t="shared" si="6"/>
        <v>47251.27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6740823.7999999998</v>
      </c>
      <c r="D115" s="68">
        <f>SUM(D109:D114)</f>
        <v>0</v>
      </c>
      <c r="E115" s="68">
        <f>SUM(E109:E114)</f>
        <v>556281.68000000005</v>
      </c>
      <c r="F115" s="68">
        <f>SUM(F109:F114)</f>
        <v>0</v>
      </c>
      <c r="G115" s="68">
        <f>SUM(G109:G114)</f>
        <v>0</v>
      </c>
      <c r="H115" s="68">
        <f t="shared" si="6"/>
        <v>7297105.4799999995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1279718.7799999998</v>
      </c>
      <c r="D118" s="23" t="s">
        <v>288</v>
      </c>
      <c r="E118" s="73">
        <f>+('DOE25'!L282)+('DOE25'!L301)+('DOE25'!L320)</f>
        <v>222750.63</v>
      </c>
      <c r="F118" s="23" t="s">
        <v>288</v>
      </c>
      <c r="G118" s="23" t="s">
        <v>288</v>
      </c>
      <c r="H118" s="13">
        <f t="shared" ref="H118:H145" si="7">SUM(C118:G118)</f>
        <v>1502469.4099999997</v>
      </c>
    </row>
    <row r="119" spans="1:8" x14ac:dyDescent="0.2">
      <c r="A119" t="s">
        <v>208</v>
      </c>
      <c r="B119" s="31" t="s">
        <v>209</v>
      </c>
      <c r="C119" s="73">
        <f>('DOE25'!L204)+('DOE25'!L222)+('DOE25'!L240)</f>
        <v>105041.01</v>
      </c>
      <c r="D119" s="23" t="s">
        <v>288</v>
      </c>
      <c r="E119" s="73">
        <f>+('DOE25'!L283)+('DOE25'!L302)+('DOE25'!L321)</f>
        <v>80695.839999999997</v>
      </c>
      <c r="F119" s="23" t="s">
        <v>288</v>
      </c>
      <c r="G119" s="23" t="s">
        <v>288</v>
      </c>
      <c r="H119" s="13">
        <f t="shared" si="7"/>
        <v>185736.84999999998</v>
      </c>
    </row>
    <row r="120" spans="1:8" x14ac:dyDescent="0.2">
      <c r="A120" t="s">
        <v>210</v>
      </c>
      <c r="B120" s="31" t="s">
        <v>211</v>
      </c>
      <c r="C120" s="73">
        <f>('DOE25'!L205)+('DOE25'!L223)+('DOE25'!L241)</f>
        <v>286320.25999999995</v>
      </c>
      <c r="D120" s="23" t="s">
        <v>288</v>
      </c>
      <c r="E120" s="73">
        <f>+('DOE25'!L284)+('DOE25'!L303)+('DOE25'!L322)</f>
        <v>13789.75</v>
      </c>
      <c r="F120" s="23" t="s">
        <v>288</v>
      </c>
      <c r="G120" s="23" t="s">
        <v>288</v>
      </c>
      <c r="H120" s="13">
        <f t="shared" si="7"/>
        <v>300110.00999999995</v>
      </c>
    </row>
    <row r="121" spans="1:8" x14ac:dyDescent="0.2">
      <c r="A121" t="s">
        <v>212</v>
      </c>
      <c r="B121" s="31" t="s">
        <v>213</v>
      </c>
      <c r="C121" s="73">
        <f>('DOE25'!L206)+('DOE25'!L224)+('DOE25'!L242)</f>
        <v>626434.79</v>
      </c>
      <c r="D121" s="23" t="s">
        <v>288</v>
      </c>
      <c r="E121" s="73">
        <f>+('DOE25'!L285)+('DOE25'!L304)+('DOE25'!L323)</f>
        <v>1497.15</v>
      </c>
      <c r="F121" s="23" t="s">
        <v>288</v>
      </c>
      <c r="G121" s="23" t="s">
        <v>288</v>
      </c>
      <c r="H121" s="13">
        <f t="shared" si="7"/>
        <v>627931.94000000006</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929159.80999999994</v>
      </c>
      <c r="D123" s="23" t="s">
        <v>288</v>
      </c>
      <c r="E123" s="73">
        <f>+('DOE25'!L287)+('DOE25'!L306)+('DOE25'!L325)</f>
        <v>56998.94</v>
      </c>
      <c r="F123" s="23" t="s">
        <v>288</v>
      </c>
      <c r="G123" s="23" t="s">
        <v>288</v>
      </c>
      <c r="H123" s="13">
        <f t="shared" si="7"/>
        <v>986158.75</v>
      </c>
    </row>
    <row r="124" spans="1:8" x14ac:dyDescent="0.2">
      <c r="A124" t="s">
        <v>218</v>
      </c>
      <c r="B124" s="31" t="s">
        <v>219</v>
      </c>
      <c r="C124" s="73">
        <f>('DOE25'!L209)+('DOE25'!L227)+('DOE25'!L245+'DOE25'!L255)</f>
        <v>594369.64</v>
      </c>
      <c r="D124" s="23" t="s">
        <v>288</v>
      </c>
      <c r="E124" s="73">
        <f>+('DOE25'!L288)+('DOE25'!L307)+('DOE25'!L326)</f>
        <v>15948.89</v>
      </c>
      <c r="F124" s="23" t="s">
        <v>288</v>
      </c>
      <c r="G124" s="23" t="s">
        <v>288</v>
      </c>
      <c r="H124" s="13">
        <f t="shared" si="7"/>
        <v>610318.53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193352.61000000002</v>
      </c>
      <c r="E127" s="23" t="s">
        <v>288</v>
      </c>
      <c r="F127" s="23" t="s">
        <v>288</v>
      </c>
      <c r="G127" s="23" t="s">
        <v>288</v>
      </c>
      <c r="H127" s="13">
        <f t="shared" si="7"/>
        <v>193352.61000000002</v>
      </c>
    </row>
    <row r="128" spans="1:8" ht="12.75" thickTop="1" thickBot="1" x14ac:dyDescent="0.25">
      <c r="A128" s="32" t="s">
        <v>226</v>
      </c>
      <c r="C128" s="68">
        <f>SUM(C118:C127)</f>
        <v>3821044.29</v>
      </c>
      <c r="D128" s="68">
        <f>SUM(D118:D127)</f>
        <v>193352.61000000002</v>
      </c>
      <c r="E128" s="68">
        <f>SUM(E118:E127)</f>
        <v>391681.2</v>
      </c>
      <c r="F128" s="68">
        <f>SUM(F118:F127)</f>
        <v>0</v>
      </c>
      <c r="G128" s="68">
        <f>SUM(G118:G127)</f>
        <v>0</v>
      </c>
      <c r="H128" s="68">
        <f t="shared" si="7"/>
        <v>4406078.0999999996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16863299.329999998</v>
      </c>
      <c r="G130" s="23" t="s">
        <v>288</v>
      </c>
      <c r="H130" s="13">
        <f t="shared" si="7"/>
        <v>16863299.329999998</v>
      </c>
    </row>
    <row r="131" spans="1:8" x14ac:dyDescent="0.2">
      <c r="A131" t="s">
        <v>229</v>
      </c>
      <c r="B131" s="31">
        <v>5110</v>
      </c>
      <c r="C131" s="73">
        <f>'DOE25'!L261</f>
        <v>267008</v>
      </c>
      <c r="D131" s="23" t="s">
        <v>288</v>
      </c>
      <c r="E131" s="92">
        <f>'DOE25'!L342</f>
        <v>0</v>
      </c>
      <c r="F131" s="23" t="s">
        <v>288</v>
      </c>
      <c r="G131" s="23" t="s">
        <v>288</v>
      </c>
      <c r="H131" s="13">
        <f t="shared" si="7"/>
        <v>267008</v>
      </c>
    </row>
    <row r="132" spans="1:8" x14ac:dyDescent="0.2">
      <c r="A132" t="s">
        <v>230</v>
      </c>
      <c r="B132" s="31">
        <v>5120</v>
      </c>
      <c r="C132" s="73">
        <f>'DOE25'!L262</f>
        <v>219802</v>
      </c>
      <c r="D132" s="23" t="s">
        <v>288</v>
      </c>
      <c r="E132" s="92">
        <f>'DOE25'!L343</f>
        <v>0</v>
      </c>
      <c r="F132" s="23" t="s">
        <v>288</v>
      </c>
      <c r="G132" s="23" t="s">
        <v>288</v>
      </c>
      <c r="H132" s="13">
        <f t="shared" si="7"/>
        <v>219802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5414.94</v>
      </c>
      <c r="D138" s="23" t="s">
        <v>288</v>
      </c>
      <c r="E138" s="23" t="s">
        <v>288</v>
      </c>
      <c r="F138" s="23" t="s">
        <v>288</v>
      </c>
      <c r="G138" s="23" t="s">
        <v>288</v>
      </c>
      <c r="H138" s="13">
        <f t="shared" si="7"/>
        <v>5414.94</v>
      </c>
    </row>
    <row r="139" spans="1:8" x14ac:dyDescent="0.2">
      <c r="A139" t="s">
        <v>239</v>
      </c>
      <c r="B139" s="31">
        <v>5252</v>
      </c>
      <c r="C139" s="73">
        <f>'DOE25'!L402</f>
        <v>66147.439999999988</v>
      </c>
      <c r="D139" s="23" t="s">
        <v>288</v>
      </c>
      <c r="E139" s="23" t="s">
        <v>288</v>
      </c>
      <c r="F139" s="23" t="s">
        <v>288</v>
      </c>
      <c r="G139" s="23" t="s">
        <v>288</v>
      </c>
      <c r="H139" s="13">
        <f t="shared" si="7"/>
        <v>66147.439999999988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-21562.37999999999</v>
      </c>
      <c r="D141" s="23" t="s">
        <v>288</v>
      </c>
      <c r="E141" s="23" t="s">
        <v>288</v>
      </c>
      <c r="F141" s="23" t="s">
        <v>288</v>
      </c>
      <c r="G141" s="23" t="s">
        <v>288</v>
      </c>
      <c r="H141" s="13">
        <f t="shared" si="7"/>
        <v>-21562.37999999999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536810</v>
      </c>
      <c r="D144" s="98">
        <f>SUM(D130:D143)</f>
        <v>0</v>
      </c>
      <c r="E144" s="98">
        <f>SUM(E130:E143)</f>
        <v>0</v>
      </c>
      <c r="F144" s="98">
        <f>SUM(F130:F143)</f>
        <v>16863299.329999998</v>
      </c>
      <c r="G144" s="98">
        <f>SUM(G130:G143)</f>
        <v>0</v>
      </c>
      <c r="H144" s="98">
        <f t="shared" si="7"/>
        <v>17400109.329999998</v>
      </c>
    </row>
    <row r="145" spans="1:9" ht="12.75" thickTop="1" thickBot="1" x14ac:dyDescent="0.25">
      <c r="A145" s="32" t="s">
        <v>244</v>
      </c>
      <c r="C145" s="68">
        <f>(C115+C128+C144)</f>
        <v>11098678.09</v>
      </c>
      <c r="D145" s="68">
        <f>(D115+D128+D144)</f>
        <v>193352.61000000002</v>
      </c>
      <c r="E145" s="68">
        <f>(E115+E128+E144)</f>
        <v>947962.88000000012</v>
      </c>
      <c r="F145" s="68">
        <f>(F115+F128+F144)</f>
        <v>16863299.329999998</v>
      </c>
      <c r="G145" s="68">
        <f>(G115+G128+G144)</f>
        <v>0</v>
      </c>
      <c r="H145" s="68">
        <f t="shared" si="7"/>
        <v>29103292.909999996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Allenstown</v>
      </c>
    </row>
    <row r="3" spans="1:4" x14ac:dyDescent="0.2">
      <c r="B3" s="137" t="s">
        <v>1799</v>
      </c>
    </row>
    <row r="4" spans="1:4" x14ac:dyDescent="0.2">
      <c r="B4" t="s">
        <v>61</v>
      </c>
      <c r="C4" s="129">
        <f>IF('DOE25'!F666+'DOE25'!F671=0,0,ROUND('DOE25'!F673,0))</f>
        <v>23306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23306</v>
      </c>
    </row>
    <row r="9" spans="1:4" x14ac:dyDescent="0.2">
      <c r="A9" s="136" t="s">
        <v>94</v>
      </c>
      <c r="B9" s="137" t="s">
        <v>1800</v>
      </c>
      <c r="C9" s="131" t="s">
        <v>720</v>
      </c>
      <c r="D9" s="131" t="s">
        <v>721</v>
      </c>
    </row>
    <row r="10" spans="1:4" x14ac:dyDescent="0.2">
      <c r="A10">
        <v>1100</v>
      </c>
      <c r="B10" t="s">
        <v>702</v>
      </c>
      <c r="C10" s="129">
        <f>ROUND('DOE25'!L198+'DOE25'!L216+'DOE25'!L234+'DOE25'!L277+'DOE25'!L296+'DOE25'!L315,0)</f>
        <v>5099448</v>
      </c>
      <c r="D10" s="132">
        <f>ROUND((C10/$C$28)*100,1)</f>
        <v>43</v>
      </c>
    </row>
    <row r="11" spans="1:4" x14ac:dyDescent="0.2">
      <c r="A11">
        <v>1200</v>
      </c>
      <c r="B11" t="s">
        <v>703</v>
      </c>
      <c r="C11" s="129">
        <f>ROUND('DOE25'!L199+'DOE25'!L217+'DOE25'!L235+'DOE25'!L278+'DOE25'!L297+'DOE25'!L316,0)</f>
        <v>2150406</v>
      </c>
      <c r="D11" s="132">
        <f>ROUND((C11/$C$28)*100,1)</f>
        <v>18.100000000000001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47251</v>
      </c>
      <c r="D13" s="132">
        <f>ROUND((C13/$C$28)*100,1)</f>
        <v>0.4</v>
      </c>
    </row>
    <row r="14" spans="1:4" x14ac:dyDescent="0.2">
      <c r="D14" s="132"/>
    </row>
    <row r="15" spans="1:4" x14ac:dyDescent="0.2">
      <c r="A15">
        <v>2100</v>
      </c>
      <c r="B15" t="s">
        <v>706</v>
      </c>
      <c r="C15" s="129">
        <f>ROUND('DOE25'!L203+'DOE25'!L221+'DOE25'!L239+'DOE25'!L282+'DOE25'!L301+'DOE25'!L320,0)</f>
        <v>1502469</v>
      </c>
      <c r="D15" s="132">
        <f t="shared" ref="D15:D27" si="0">ROUND((C15/$C$28)*100,1)</f>
        <v>12.7</v>
      </c>
    </row>
    <row r="16" spans="1:4" x14ac:dyDescent="0.2">
      <c r="A16">
        <v>2200</v>
      </c>
      <c r="B16" t="s">
        <v>707</v>
      </c>
      <c r="C16" s="129">
        <f>ROUND('DOE25'!L204+'DOE25'!L222+'DOE25'!L240+'DOE25'!L283+'DOE25'!L302+'DOE25'!L321,0)</f>
        <v>185737</v>
      </c>
      <c r="D16" s="132">
        <f t="shared" si="0"/>
        <v>1.6</v>
      </c>
    </row>
    <row r="17" spans="1:4" x14ac:dyDescent="0.2">
      <c r="A17" s="133" t="s">
        <v>723</v>
      </c>
      <c r="B17" t="s">
        <v>738</v>
      </c>
      <c r="C17" s="129">
        <f>ROUND('DOE25'!L205+'DOE25'!L210+'DOE25'!L223+'DOE25'!L228+'DOE25'!L241+'DOE25'!L246+'DOE25'!L284+'DOE25'!L289+'DOE25'!L303+'DOE25'!L308+'DOE25'!L322+'DOE25'!L327,0)</f>
        <v>300110</v>
      </c>
      <c r="D17" s="132">
        <f t="shared" si="0"/>
        <v>2.5</v>
      </c>
    </row>
    <row r="18" spans="1:4" x14ac:dyDescent="0.2">
      <c r="A18">
        <v>2400</v>
      </c>
      <c r="B18" t="s">
        <v>711</v>
      </c>
      <c r="C18" s="129">
        <f>ROUND('DOE25'!L206+'DOE25'!L224+'DOE25'!L242+'DOE25'!L285+'DOE25'!L304+'DOE25'!L323,0)</f>
        <v>627932</v>
      </c>
      <c r="D18" s="132">
        <f t="shared" si="0"/>
        <v>5.3</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986159</v>
      </c>
      <c r="D20" s="132">
        <f t="shared" si="0"/>
        <v>8.3000000000000007</v>
      </c>
    </row>
    <row r="21" spans="1:4" x14ac:dyDescent="0.2">
      <c r="A21">
        <v>2700</v>
      </c>
      <c r="B21" t="s">
        <v>710</v>
      </c>
      <c r="C21" s="129">
        <f>ROUND('DOE25'!L209+'DOE25'!L227+'DOE25'!L245+'DOE25'!L288+'DOE25'!L307+'DOE25'!L326,0)</f>
        <v>610319</v>
      </c>
      <c r="D21" s="132">
        <f t="shared" si="0"/>
        <v>5.0999999999999996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219802</v>
      </c>
      <c r="D25" s="132">
        <f t="shared" si="0"/>
        <v>1.9</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126444.91</v>
      </c>
      <c r="D27" s="132">
        <f t="shared" si="0"/>
        <v>1.1000000000000001</v>
      </c>
    </row>
    <row r="28" spans="1:4" x14ac:dyDescent="0.2">
      <c r="B28" s="136" t="s">
        <v>719</v>
      </c>
      <c r="C28" s="130">
        <f>SUM(C10:C27)</f>
        <v>11856077.91</v>
      </c>
      <c r="D28" s="134">
        <f>ROUND(SUM(D10:D27),0)</f>
        <v>100</v>
      </c>
    </row>
    <row r="29" spans="1:4" x14ac:dyDescent="0.2">
      <c r="A29">
        <v>4000</v>
      </c>
      <c r="B29" t="s">
        <v>724</v>
      </c>
      <c r="C29" s="129">
        <f>ROUND('DOE25'!L256+'DOE25'!L337+'DOE25'!L375+'DOE25'!L376+'DOE25'!L377+'DOE25'!L378+'DOE25'!L379+'DOE25'!L380+'DOE25'!L381,0)</f>
        <v>16863299</v>
      </c>
    </row>
    <row r="30" spans="1:4" x14ac:dyDescent="0.2">
      <c r="B30" s="136" t="s">
        <v>725</v>
      </c>
      <c r="C30" s="130">
        <f>SUM(C28:C29)</f>
        <v>28719376.91</v>
      </c>
    </row>
    <row r="31" spans="1:4" x14ac:dyDescent="0.2">
      <c r="B31" s="32"/>
      <c r="C31" s="130"/>
    </row>
    <row r="32" spans="1:4" x14ac:dyDescent="0.2">
      <c r="A32">
        <v>5100</v>
      </c>
      <c r="B32" s="32" t="s">
        <v>726</v>
      </c>
      <c r="C32" s="130">
        <f>ROUND('DOE25'!L261+'DOE25'!L342,0)</f>
        <v>267008</v>
      </c>
    </row>
    <row r="34" spans="1:4" x14ac:dyDescent="0.2">
      <c r="A34" s="136" t="s">
        <v>94</v>
      </c>
      <c r="B34" s="137" t="s">
        <v>1801</v>
      </c>
      <c r="C34" s="131" t="s">
        <v>720</v>
      </c>
      <c r="D34" s="131" t="s">
        <v>721</v>
      </c>
    </row>
    <row r="35" spans="1:4" x14ac:dyDescent="0.2">
      <c r="A35">
        <v>1100</v>
      </c>
      <c r="B35" s="71" t="s">
        <v>727</v>
      </c>
      <c r="C35" s="129">
        <f>ROUND('DOE25'!F60+'DOE25'!G60+'DOE25'!H60+'DOE25'!I60+'DOE25'!J60,0)</f>
        <v>5450842</v>
      </c>
      <c r="D35" s="132">
        <f t="shared" ref="D35:D40" si="1">ROUND((C35/$C$41)*100,1)</f>
        <v>19.7</v>
      </c>
    </row>
    <row r="36" spans="1:4" x14ac:dyDescent="0.2">
      <c r="B36" s="71" t="s">
        <v>739</v>
      </c>
      <c r="C36" s="129">
        <f>SUM('DOE25'!F112:J112)-SUM('DOE25'!G97:G110)+('DOE25'!F175+'DOE25'!F176+'DOE25'!I175+'DOE25'!I176)-C35</f>
        <v>365797.26999999955</v>
      </c>
      <c r="D36" s="132">
        <f t="shared" si="1"/>
        <v>1.3</v>
      </c>
    </row>
    <row r="37" spans="1:4" x14ac:dyDescent="0.2">
      <c r="A37" s="133" t="s">
        <v>834</v>
      </c>
      <c r="B37" s="71" t="s">
        <v>728</v>
      </c>
      <c r="C37" s="129">
        <f>ROUND('DOE25'!F117+'DOE25'!F118,0)</f>
        <v>4846508</v>
      </c>
      <c r="D37" s="132">
        <f t="shared" si="1"/>
        <v>17.5</v>
      </c>
    </row>
    <row r="38" spans="1:4" x14ac:dyDescent="0.2">
      <c r="A38" s="133" t="s">
        <v>734</v>
      </c>
      <c r="B38" s="71" t="s">
        <v>729</v>
      </c>
      <c r="C38" s="129">
        <f>ROUND(SUM('DOE25'!F140:J140)-SUM('DOE25'!F117:F119),0)</f>
        <v>15867005</v>
      </c>
      <c r="D38" s="132">
        <f t="shared" si="1"/>
        <v>57.2</v>
      </c>
    </row>
    <row r="39" spans="1:4" x14ac:dyDescent="0.2">
      <c r="A39">
        <v>4000</v>
      </c>
      <c r="B39" s="71" t="s">
        <v>730</v>
      </c>
      <c r="C39" s="129">
        <f>ROUND('DOE25'!F170+'DOE25'!G170+'DOE25'!H170+'DOE25'!I170,0)</f>
        <v>1207553</v>
      </c>
      <c r="D39" s="132">
        <f t="shared" si="1"/>
        <v>4.4000000000000004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27737705.27</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7" sqref="C7:M7"/>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Allenstown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5</v>
      </c>
      <c r="B4" s="150">
        <v>12</v>
      </c>
      <c r="C4" s="327" t="s">
        <v>1812</v>
      </c>
      <c r="D4" s="327"/>
      <c r="E4" s="327"/>
      <c r="F4" s="327"/>
      <c r="G4" s="327"/>
      <c r="H4" s="327"/>
      <c r="I4" s="327"/>
      <c r="J4" s="327"/>
      <c r="K4" s="327"/>
      <c r="L4" s="327"/>
      <c r="M4" s="328"/>
    </row>
    <row r="5" spans="1:13" x14ac:dyDescent="0.2">
      <c r="A5" s="159">
        <v>19</v>
      </c>
      <c r="B5" s="150">
        <v>3</v>
      </c>
      <c r="C5" s="327" t="s">
        <v>1813</v>
      </c>
      <c r="D5" s="327"/>
      <c r="E5" s="327"/>
      <c r="F5" s="327"/>
      <c r="G5" s="327"/>
      <c r="H5" s="327"/>
      <c r="I5" s="327"/>
      <c r="J5" s="327"/>
      <c r="K5" s="327"/>
      <c r="L5" s="327"/>
      <c r="M5" s="328"/>
    </row>
    <row r="6" spans="1:13" x14ac:dyDescent="0.2">
      <c r="A6" s="159">
        <v>19</v>
      </c>
      <c r="B6" s="150">
        <v>3</v>
      </c>
      <c r="C6" s="327" t="s">
        <v>1814</v>
      </c>
      <c r="D6" s="327"/>
      <c r="E6" s="327"/>
      <c r="F6" s="327"/>
      <c r="G6" s="327"/>
      <c r="H6" s="327"/>
      <c r="I6" s="327"/>
      <c r="J6" s="327"/>
      <c r="K6" s="327"/>
      <c r="L6" s="327"/>
      <c r="M6" s="328"/>
    </row>
    <row r="7" spans="1:13" x14ac:dyDescent="0.2">
      <c r="A7" s="159">
        <v>19</v>
      </c>
      <c r="B7" s="150">
        <v>6</v>
      </c>
      <c r="C7" s="327" t="s">
        <v>1813</v>
      </c>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10</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f>IF('School Level Expenditures'!$B$2=A7,'School Tables'!H7,"")</f>
        <v>4</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f>IF('School Level Expenditures'!$B$2=A13,'School Tables'!H13,"")</f>
        <v>10</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2023-10-16T16:04:11Z</cp:lastPrinted>
  <dcterms:created xsi:type="dcterms:W3CDTF">1997-12-04T19:04:30Z</dcterms:created>
  <dcterms:modified xsi:type="dcterms:W3CDTF">2023-12-28T15:16:27Z</dcterms:modified>
</cp:coreProperties>
</file>