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645C45A0-163C-4787-8157-576B39EA9FD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F135" i="1"/>
  <c r="B20" i="12"/>
  <c r="P2" i="14"/>
  <c r="B19" i="12"/>
  <c r="B10" i="12"/>
  <c r="O2" i="14" s="1"/>
  <c r="H208" i="1"/>
  <c r="H226" i="1"/>
  <c r="F9" i="1"/>
  <c r="F24" i="1"/>
  <c r="F50" i="1"/>
  <c r="E6" i="14"/>
  <c r="E26" i="14"/>
  <c r="I404" i="1"/>
  <c r="I522" i="1"/>
  <c r="F500" i="1"/>
  <c r="F499" i="1"/>
  <c r="F496" i="1"/>
  <c r="J473" i="1"/>
  <c r="H473" i="1"/>
  <c r="G473" i="1"/>
  <c r="J470" i="1"/>
  <c r="G469" i="1"/>
  <c r="H469" i="1"/>
  <c r="I469" i="1"/>
  <c r="J469" i="1"/>
  <c r="K430" i="1"/>
  <c r="H423" i="1"/>
  <c r="J110" i="1"/>
  <c r="J96" i="1"/>
  <c r="H460" i="1"/>
  <c r="G204" i="1"/>
  <c r="G198" i="1"/>
  <c r="I278" i="1"/>
  <c r="I277" i="1"/>
  <c r="H282" i="1"/>
  <c r="G226" i="1"/>
  <c r="F226" i="1"/>
  <c r="H450" i="1"/>
  <c r="H440" i="1"/>
  <c r="G460" i="1"/>
  <c r="G48" i="1"/>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E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7" i="14"/>
  <c r="F28" i="14"/>
  <c r="F29" i="14"/>
  <c r="F30" i="14"/>
  <c r="F31" i="14"/>
  <c r="F32" i="14"/>
  <c r="F7" i="14"/>
  <c r="F8" i="14"/>
  <c r="F9" i="14"/>
  <c r="F10" i="14"/>
  <c r="F11" i="14"/>
  <c r="F12" i="14"/>
  <c r="F13" i="14"/>
  <c r="F14" i="14"/>
  <c r="F15" i="14"/>
  <c r="F16" i="14"/>
  <c r="F17" i="14"/>
  <c r="F18" i="14"/>
  <c r="F19" i="14"/>
  <c r="F20" i="14"/>
  <c r="F25" i="14"/>
  <c r="F5" i="14"/>
  <c r="F36" i="14" l="1"/>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H471" i="1"/>
  <c r="I471" i="1"/>
  <c r="J471"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9" i="1"/>
  <c r="H630" i="1"/>
  <c r="H631" i="1"/>
  <c r="H632" i="1"/>
  <c r="H634" i="1"/>
  <c r="H636" i="1"/>
  <c r="H637" i="1"/>
  <c r="H638" i="1"/>
  <c r="H639" i="1"/>
  <c r="G644" i="1"/>
  <c r="G645" i="1"/>
  <c r="G651" i="1"/>
  <c r="G652" i="1"/>
  <c r="H653" i="1"/>
  <c r="G654" i="1"/>
  <c r="H654" i="1"/>
  <c r="H655" i="1"/>
  <c r="H656" i="1"/>
  <c r="A40" i="12" l="1"/>
  <c r="G477" i="1"/>
  <c r="H624" i="1" s="1"/>
  <c r="J624" i="1" s="1"/>
  <c r="C125" i="2"/>
  <c r="G409" i="1"/>
  <c r="H646" i="1" s="1"/>
  <c r="H28" i="2"/>
  <c r="C32" i="10"/>
  <c r="E112" i="2"/>
  <c r="H72" i="2"/>
  <c r="G62" i="2"/>
  <c r="G63" i="2" s="1"/>
  <c r="C119" i="2"/>
  <c r="C110" i="2"/>
  <c r="E13" i="13"/>
  <c r="C13" i="13" s="1"/>
  <c r="H135" i="2"/>
  <c r="F85" i="2"/>
  <c r="E120" i="2"/>
  <c r="E124" i="2"/>
  <c r="E111" i="2"/>
  <c r="G663" i="1"/>
  <c r="C13" i="10"/>
  <c r="H69" i="2"/>
  <c r="H30" i="2"/>
  <c r="H17" i="2"/>
  <c r="H102" i="2"/>
  <c r="H100" i="2"/>
  <c r="H98" i="2"/>
  <c r="H73" i="2"/>
  <c r="H143" i="2"/>
  <c r="H38" i="2"/>
  <c r="H43" i="2"/>
  <c r="J652" i="1"/>
  <c r="H80" i="2"/>
  <c r="H47" i="2"/>
  <c r="H94" i="2"/>
  <c r="H76" i="2"/>
  <c r="H29" i="2"/>
  <c r="H27" i="2"/>
  <c r="H24" i="2"/>
  <c r="H12" i="2"/>
  <c r="H8" i="2"/>
  <c r="J140" i="1"/>
  <c r="D18" i="13"/>
  <c r="C18" i="13" s="1"/>
  <c r="C12" i="10"/>
  <c r="H101" i="2"/>
  <c r="H99" i="2"/>
  <c r="H79" i="2"/>
  <c r="H58" i="2"/>
  <c r="H132" i="2"/>
  <c r="H36" i="2"/>
  <c r="H44" i="2"/>
  <c r="I409" i="1"/>
  <c r="H97" i="2"/>
  <c r="H93" i="2"/>
  <c r="H87" i="2"/>
  <c r="H89" i="2"/>
  <c r="H34" i="2"/>
  <c r="D144" i="2"/>
  <c r="H35" i="2"/>
  <c r="E121" i="2"/>
  <c r="H125" i="2"/>
  <c r="H112" i="2"/>
  <c r="G646" i="1"/>
  <c r="H59" i="2"/>
  <c r="H96" i="2"/>
  <c r="H77" i="2"/>
  <c r="H61" i="2"/>
  <c r="D15" i="13"/>
  <c r="C15" i="13" s="1"/>
  <c r="C121" i="2"/>
  <c r="N2" i="14"/>
  <c r="N3" i="14" s="1"/>
  <c r="C120" i="2"/>
  <c r="M2" i="14"/>
  <c r="M3" i="14" s="1"/>
  <c r="K2" i="14"/>
  <c r="K3" i="14" s="1"/>
  <c r="D6" i="13"/>
  <c r="C6" i="13" s="1"/>
  <c r="L2" i="14"/>
  <c r="L3" i="14" s="1"/>
  <c r="G662" i="1"/>
  <c r="D29" i="13"/>
  <c r="C29" i="13" s="1"/>
  <c r="H26" i="2"/>
  <c r="H48" i="2"/>
  <c r="H13" i="2"/>
  <c r="H23" i="2"/>
  <c r="H22" i="2"/>
  <c r="H15" i="2"/>
  <c r="H11" i="2"/>
  <c r="H9"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J646" i="1" l="1"/>
  <c r="I663" i="1"/>
  <c r="H119" i="2"/>
  <c r="H124" i="2"/>
  <c r="H120" i="2"/>
  <c r="H110" i="2"/>
  <c r="H85" i="2"/>
  <c r="H21" i="2"/>
  <c r="H134" i="2"/>
  <c r="H16" i="2"/>
  <c r="H42" i="2"/>
  <c r="H57" i="2"/>
  <c r="G24" i="14"/>
  <c r="H121" i="2"/>
  <c r="H118" i="2"/>
  <c r="H123" i="2"/>
  <c r="H122" i="2"/>
  <c r="E128" i="2"/>
  <c r="H103" i="2"/>
  <c r="H91" i="2"/>
  <c r="H62" i="2"/>
  <c r="C81" i="2"/>
  <c r="H81" i="2" s="1"/>
  <c r="H78" i="2"/>
  <c r="F194" i="1"/>
  <c r="I662" i="1"/>
  <c r="D128" i="2"/>
  <c r="H127" i="2"/>
  <c r="E51" i="2"/>
  <c r="H50" i="2"/>
  <c r="D51" i="2"/>
  <c r="H3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D26" i="14" l="1"/>
  <c r="G633" i="1"/>
  <c r="F473" i="1"/>
  <c r="D6" i="14"/>
  <c r="G628" i="1"/>
  <c r="F469" i="1"/>
  <c r="C104" i="2"/>
  <c r="H104" i="2" s="1"/>
  <c r="H63" i="2"/>
  <c r="C144" i="2"/>
  <c r="C145" i="2" s="1"/>
  <c r="H141" i="2"/>
  <c r="D145" i="2"/>
  <c r="H128"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D33" i="14" l="1"/>
  <c r="F26" i="14"/>
  <c r="F24" i="14" s="1"/>
  <c r="H24" i="14" s="1"/>
  <c r="D21" i="14"/>
  <c r="F6" i="14"/>
  <c r="F4" i="14" s="1"/>
  <c r="H4" i="14" s="1"/>
  <c r="I4" i="14" s="1"/>
  <c r="F475" i="1"/>
  <c r="H633" i="1"/>
  <c r="J633" i="1" s="1"/>
  <c r="F471" i="1"/>
  <c r="H628" i="1"/>
  <c r="J628" i="1" s="1"/>
  <c r="H144" i="2"/>
  <c r="H145" i="2"/>
  <c r="I670" i="1"/>
  <c r="I673" i="1" s="1"/>
  <c r="C7" i="10" s="1"/>
  <c r="F673" i="1"/>
  <c r="C4" i="10" s="1"/>
  <c r="I668" i="1"/>
  <c r="D28" i="10"/>
  <c r="D37" i="10"/>
  <c r="D36" i="10"/>
  <c r="D35" i="10"/>
  <c r="D40" i="10"/>
  <c r="D39" i="10"/>
  <c r="I24" i="14" l="1"/>
  <c r="M24" i="14"/>
  <c r="F477" i="1"/>
  <c r="H623" i="1" s="1"/>
  <c r="D41" i="10"/>
  <c r="J623"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<sst xmlns="http://schemas.openxmlformats.org/spreadsheetml/2006/main" count="6563" uniqueCount="1817">
  <si>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</si>
  <si>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</si>
  <si>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</si>
  <si>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</si>
  <si>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</si>
  <si>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</si>
  <si>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</si>
  <si>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</si>
  <si>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</si>
  <si>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</si>
  <si>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</si>
  <si>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</si>
  <si>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</si>
  <si>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</si>
  <si>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</si>
  <si>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</si>
  <si>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</si>
  <si>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</si>
  <si>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</si>
  <si>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</si>
  <si>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</si>
  <si>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</si>
  <si>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</si>
  <si>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</si>
  <si>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</si>
  <si>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</si>
  <si>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</si>
  <si>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</si>
  <si>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</si>
  <si>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</si>
  <si>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</si>
  <si>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</si>
  <si>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</si>
  <si>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</si>
  <si>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</si>
  <si>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</si>
  <si>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</si>
  <si>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</si>
  <si>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</si>
  <si>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</si>
  <si>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</si>
  <si>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</si>
  <si>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</si>
  <si>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</si>
  <si>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</si>
  <si>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</si>
  <si>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</si>
  <si>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</si>
  <si>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</si>
  <si>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</si>
  <si>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</si>
  <si>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</si>
  <si>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</si>
  <si>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</si>
  <si>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</si>
  <si>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</si>
  <si>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</si>
  <si>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</si>
  <si>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</si>
  <si>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</si>
  <si>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</si>
  <si>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</si>
  <si>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</si>
  <si>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</si>
  <si>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</si>
  <si>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</si>
  <si>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</si>
  <si>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</si>
  <si>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</si>
  <si>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</si>
  <si>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</si>
  <si>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</si>
  <si>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</si>
  <si>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</si>
  <si>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</si>
  <si>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</si>
  <si>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</si>
  <si>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</si>
  <si>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</si>
  <si>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</si>
  <si>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</si>
  <si>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</si>
  <si>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</si>
  <si>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</si>
  <si>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</si>
  <si>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</si>
  <si>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</si>
  <si>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</si>
  <si>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</si>
  <si>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</si>
  <si>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</si>
  <si>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</si>
  <si>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</si>
  <si>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</si>
  <si>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</si>
  <si>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</si>
  <si>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</si>
  <si>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</si>
  <si>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</si>
  <si>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</si>
  <si>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</si>
  <si>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</si>
  <si>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</si>
  <si>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</si>
  <si>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</si>
  <si>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</si>
  <si>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</si>
  <si>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</si>
  <si>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</si>
  <si>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</si>
  <si>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</si>
  <si>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</si>
  <si>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</si>
  <si>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</si>
  <si>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</si>
  <si>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</si>
  <si>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</si>
  <si>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</si>
  <si>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</si>
  <si>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</si>
  <si>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</si>
  <si>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</si>
  <si>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</si>
  <si>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</si>
  <si>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</si>
  <si>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</si>
  <si>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</si>
  <si>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</si>
  <si>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</si>
  <si>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</si>
  <si>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</si>
  <si>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</si>
  <si>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</si>
  <si>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</si>
  <si>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</si>
  <si>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</si>
  <si>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</si>
  <si>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</si>
  <si>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</si>
  <si>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</si>
  <si>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</si>
  <si>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</si>
  <si>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</si>
  <si>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</si>
  <si>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</si>
  <si>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</si>
  <si>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</si>
  <si>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</si>
  <si>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</si>
  <si>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</si>
  <si>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</si>
  <si>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</si>
  <si>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</si>
  <si>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</si>
  <si>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</si>
  <si>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</si>
  <si>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</si>
  <si>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</si>
  <si>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</si>
  <si>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</si>
  <si>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</si>
  <si>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</si>
  <si>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</si>
  <si>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</si>
  <si>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</si>
  <si>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</si>
  <si>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</si>
  <si>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</si>
  <si>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</si>
  <si>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</si>
  <si>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</si>
  <si>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</si>
  <si>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</si>
  <si>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</si>
  <si>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</si>
  <si>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</si>
  <si>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</si>
  <si>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</si>
  <si>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</si>
  <si>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</si>
  <si>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</si>
  <si>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</si>
  <si>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</si>
  <si>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</si>
  <si>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</si>
  <si>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</si>
  <si>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</si>
  <si>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</si>
  <si>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</si>
  <si>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</si>
  <si>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</si>
  <si>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</si>
  <si>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</si>
  <si>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</si>
  <si>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</si>
  <si>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</si>
  <si>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</si>
  <si>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</si>
  <si>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</si>
  <si>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</si>
  <si>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</si>
  <si>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</si>
  <si>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</si>
  <si>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</si>
  <si>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</si>
  <si>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</si>
  <si>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</si>
  <si>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</si>
  <si>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</si>
  <si>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</si>
  <si>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</si>
  <si>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</si>
  <si>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</si>
  <si>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</si>
  <si>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</si>
  <si>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</si>
  <si>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</si>
  <si>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</si>
  <si>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</si>
  <si>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</si>
  <si>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</si>
  <si>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</si>
  <si>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</si>
  <si>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</si>
  <si>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</si>
  <si>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</si>
  <si>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</si>
  <si>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</si>
  <si>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</si>
  <si>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</si>
  <si>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</si>
  <si>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</si>
  <si>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</si>
  <si>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</si>
  <si>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</si>
  <si>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</si>
  <si>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</si>
  <si>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</si>
  <si>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</si>
  <si>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</si>
  <si>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</si>
  <si>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</si>
  <si>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</si>
  <si>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</si>
  <si>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</si>
  <si>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</si>
  <si>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</si>
  <si>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</si>
  <si>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</si>
  <si>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</si>
  <si>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</si>
  <si>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</si>
  <si>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</si>
  <si>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</si>
  <si>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</si>
  <si>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</si>
  <si>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</si>
  <si>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</si>
  <si>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</si>
  <si>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</si>
  <si>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</si>
  <si>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</si>
  <si>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</si>
  <si>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</si>
  <si>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</si>
  <si>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</si>
  <si>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</si>
  <si>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</si>
  <si>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</si>
  <si>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</si>
  <si>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</si>
  <si>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</si>
  <si>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</si>
  <si>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</si>
  <si>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</si>
  <si>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</si>
  <si>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</si>
  <si>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</si>
  <si>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</si>
  <si>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</si>
  <si>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</si>
  <si>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</si>
  <si>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</si>
  <si>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</si>
  <si>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</si>
  <si>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</si>
  <si>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</si>
  <si>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</si>
  <si>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</si>
  <si>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</si>
  <si>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</si>
  <si>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</si>
  <si>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</si>
  <si>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</si>
  <si>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</si>
  <si>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</si>
  <si>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</si>
  <si>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</si>
  <si>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</si>
  <si>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</si>
  <si>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</si>
  <si>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</si>
  <si>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</si>
  <si>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</si>
  <si>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</si>
  <si>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</si>
  <si>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</si>
  <si>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</si>
  <si>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</si>
  <si>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</si>
  <si>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</si>
  <si>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</si>
  <si>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</si>
  <si>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</si>
  <si>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</si>
  <si>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</si>
  <si>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</si>
  <si>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</si>
  <si>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</si>
  <si>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</si>
  <si>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</si>
  <si>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</si>
  <si>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</si>
  <si>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</si>
  <si>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</si>
  <si>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</si>
  <si>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</si>
  <si>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</si>
  <si>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</si>
  <si>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</si>
  <si>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</si>
  <si>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</si>
  <si>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</si>
  <si>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</si>
  <si>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</si>
  <si>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</si>
  <si>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</si>
  <si>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</si>
  <si>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</si>
  <si>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</si>
  <si>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</si>
  <si>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</si>
  <si>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</si>
  <si>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</si>
  <si>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</si>
  <si>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</si>
  <si>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</si>
  <si>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</si>
  <si>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</si>
  <si>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</si>
  <si>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</si>
  <si>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</si>
  <si>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</si>
  <si>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</si>
  <si>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</si>
  <si>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</si>
  <si>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</si>
  <si>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</si>
  <si>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</si>
  <si>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</si>
  <si>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</si>
  <si>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</si>
  <si>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</si>
  <si>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</si>
  <si>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</si>
  <si>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</si>
  <si>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</si>
  <si>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</si>
  <si>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</si>
  <si>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</si>
  <si>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</si>
  <si>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</si>
  <si>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</si>
  <si>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</si>
  <si>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</si>
  <si>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</si>
  <si>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</si>
  <si>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</si>
  <si>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</si>
  <si>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</si>
  <si>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</si>
  <si>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</si>
  <si>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</si>
  <si>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</si>
  <si>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</si>
  <si>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</si>
  <si>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</si>
  <si>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</si>
  <si>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</si>
  <si>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</si>
  <si>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</si>
  <si>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</si>
  <si>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</si>
  <si>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</si>
  <si>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</si>
  <si>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</si>
  <si>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</si>
  <si>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</si>
  <si>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</si>
  <si>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</si>
  <si>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</si>
  <si>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</si>
  <si>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</si>
  <si>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</si>
  <si>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</si>
  <si>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</si>
  <si>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</si>
  <si>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</si>
  <si>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</si>
  <si>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</si>
  <si>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</si>
  <si>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</si>
  <si>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</si>
  <si>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</si>
  <si>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</si>
  <si>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</si>
  <si>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</si>
  <si>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</si>
  <si>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</si>
  <si>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</si>
  <si>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</si>
  <si>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</si>
  <si>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</si>
  <si>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</si>
  <si>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</si>
  <si>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</si>
  <si>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</si>
  <si>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</si>
  <si>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</si>
  <si>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</si>
  <si>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</si>
  <si>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</si>
  <si>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</si>
  <si>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</si>
  <si>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</si>
  <si>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</si>
  <si>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</si>
  <si>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</si>
  <si>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</si>
  <si>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</si>
  <si>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</si>
  <si>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</si>
  <si>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</si>
  <si>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</si>
  <si>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</si>
  <si>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</si>
  <si>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</si>
  <si>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</si>
  <si>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</si>
  <si>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</si>
  <si>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</si>
  <si>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</si>
  <si>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</si>
  <si>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</si>
  <si>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</si>
  <si>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</si>
  <si>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</si>
  <si>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</si>
  <si>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</si>
  <si>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</si>
  <si>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</si>
  <si>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</si>
  <si>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</si>
  <si>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</si>
  <si>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</si>
  <si>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</si>
  <si>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</si>
  <si>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</si>
  <si>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</si>
  <si>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</si>
  <si>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</si>
  <si>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</si>
  <si>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</si>
  <si>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</si>
  <si>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</si>
  <si>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</si>
  <si>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</si>
  <si>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</si>
  <si>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</si>
  <si>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</si>
  <si>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</si>
  <si>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</si>
  <si>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</si>
  <si>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</si>
  <si>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</si>
  <si>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</si>
  <si>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</si>
  <si>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</si>
  <si>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</si>
  <si>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</si>
  <si>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</si>
  <si>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</si>
  <si>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</si>
  <si>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</si>
  <si>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</si>
  <si>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</si>
  <si>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</si>
  <si>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</si>
  <si>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</si>
  <si>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</si>
  <si>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</si>
  <si>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</si>
  <si>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</si>
  <si>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</si>
  <si>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</si>
  <si>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</si>
  <si>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</si>
  <si>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</si>
  <si>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</si>
  <si>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</si>
  <si>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</si>
  <si>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</si>
  <si>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</si>
  <si>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</si>
  <si>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</si>
  <si>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</si>
  <si>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</si>
  <si>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</si>
  <si>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</si>
  <si>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</si>
  <si>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</si>
  <si>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</si>
  <si>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</si>
  <si>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</si>
  <si>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</si>
  <si>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</si>
  <si>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</si>
  <si>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</si>
  <si>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</si>
  <si>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</si>
  <si>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</si>
  <si>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</si>
  <si>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</si>
  <si>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</si>
  <si>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</si>
  <si>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</si>
  <si>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</si>
  <si>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</si>
  <si>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</si>
  <si>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</si>
  <si>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</si>
  <si>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</si>
  <si>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</si>
  <si>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</si>
  <si>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</si>
  <si>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</si>
  <si>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</si>
  <si>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</si>
  <si>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</si>
  <si>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</si>
  <si>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</si>
  <si>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</si>
  <si>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</si>
  <si>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</si>
  <si>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</si>
  <si>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</si>
  <si>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</si>
  <si>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</si>
  <si>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</si>
  <si>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</si>
  <si>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</si>
  <si>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</si>
  <si>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</si>
  <si>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</si>
  <si>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</si>
  <si>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</si>
  <si>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</si>
  <si>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</si>
  <si>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</si>
  <si>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</si>
  <si>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</si>
  <si>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</si>
  <si>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</si>
  <si>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</si>
  <si>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</si>
  <si>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</si>
  <si>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</si>
  <si>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</si>
  <si>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</si>
  <si>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</si>
  <si>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</si>
  <si>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</si>
  <si>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</si>
  <si>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</si>
  <si>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</si>
  <si>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</si>
  <si>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</si>
  <si>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</si>
  <si>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</si>
  <si>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</si>
  <si>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</si>
  <si>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</si>
  <si>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</si>
  <si>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</si>
  <si>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</si>
  <si>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</si>
  <si>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</si>
  <si>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</si>
  <si>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</si>
  <si>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</si>
  <si>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</si>
  <si>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</si>
  <si>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</si>
  <si>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</si>
  <si>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</si>
  <si>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</si>
  <si>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</si>
  <si>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</si>
  <si>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</si>
  <si>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</si>
  <si>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</si>
  <si>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</si>
  <si>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</si>
  <si>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</si>
  <si>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</si>
  <si>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</si>
  <si>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</si>
  <si>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</si>
  <si>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</si>
  <si>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</si>
  <si>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</si>
  <si>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</si>
  <si>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</si>
  <si>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</si>
  <si>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</si>
  <si>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</si>
  <si>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</si>
  <si>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</si>
  <si>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</si>
  <si>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</si>
  <si>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</si>
  <si>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</si>
  <si>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</si>
  <si>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</si>
  <si>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</si>
  <si>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</si>
  <si>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</si>
  <si>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</si>
  <si>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</si>
  <si>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</si>
  <si>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</si>
  <si>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</si>
  <si>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</si>
  <si>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</si>
  <si>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</si>
  <si>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</si>
  <si>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</si>
  <si>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</si>
  <si>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</si>
  <si>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</si>
  <si>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</si>
  <si>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</si>
  <si>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</si>
  <si>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</si>
  <si>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</si>
  <si>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</si>
  <si>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</si>
  <si>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</si>
  <si>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</si>
  <si>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</si>
  <si>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</si>
  <si>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</si>
  <si>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</si>
  <si>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</si>
  <si>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</si>
  <si>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</si>
  <si>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</si>
  <si>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</si>
  <si>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</si>
  <si>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</si>
  <si>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</si>
  <si>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</si>
  <si>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</si>
  <si>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</si>
  <si>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</si>
  <si>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</si>
  <si>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</si>
  <si>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</si>
  <si>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</si>
  <si>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</si>
  <si>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</si>
  <si>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</si>
  <si>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</si>
  <si>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</si>
  <si>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</si>
  <si>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</si>
  <si>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</si>
  <si>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</si>
  <si>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</si>
  <si>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</si>
  <si>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</si>
  <si>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</si>
  <si>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</si>
  <si>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</si>
  <si>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</si>
  <si>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</si>
  <si>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</si>
  <si>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</si>
  <si>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</si>
  <si>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</si>
  <si>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</si>
  <si>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</si>
  <si>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</si>
  <si>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</si>
  <si>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</si>
  <si>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</si>
  <si>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</si>
  <si>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</si>
  <si>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</si>
  <si>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</si>
  <si>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</si>
  <si>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</si>
  <si>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</si>
  <si>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</si>
  <si>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</si>
  <si>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</si>
  <si>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</si>
  <si>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</si>
  <si>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</si>
  <si>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</si>
  <si>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</si>
  <si>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</si>
  <si>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</si>
  <si>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</si>
  <si>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</si>
  <si>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</si>
  <si>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</si>
  <si>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</si>
  <si>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</si>
  <si>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</si>
  <si>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</si>
  <si>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</si>
  <si>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</si>
  <si>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</si>
  <si>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</si>
  <si>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</si>
  <si>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</si>
  <si>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</si>
  <si>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</si>
  <si>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</si>
  <si>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</si>
  <si>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</si>
  <si>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</si>
  <si>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</si>
  <si>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</si>
  <si>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</si>
  <si>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</si>
  <si>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</si>
  <si>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</si>
  <si>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</si>
  <si>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</si>
  <si>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</si>
  <si>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</si>
  <si>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</si>
  <si>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</si>
  <si>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</si>
  <si>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</si>
  <si>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</si>
  <si>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</si>
  <si>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</si>
  <si>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</si>
  <si>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</si>
  <si>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</si>
  <si>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</si>
  <si>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</si>
  <si>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</si>
  <si>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</si>
  <si>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</si>
  <si>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</si>
  <si>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</si>
  <si>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</si>
  <si>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</si>
  <si>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</si>
  <si>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</si>
  <si>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</si>
  <si>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</si>
  <si>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</si>
  <si>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</si>
  <si>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</si>
  <si>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</si>
  <si>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</si>
  <si>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</si>
  <si>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</si>
  <si>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</si>
  <si>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</si>
  <si>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</si>
  <si>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</si>
  <si>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</si>
  <si>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</si>
  <si>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</si>
  <si>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</si>
  <si>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</si>
  <si>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</si>
  <si>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</si>
  <si>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</si>
  <si>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</si>
  <si>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</si>
  <si>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</si>
  <si>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</si>
  <si>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</si>
  <si>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</si>
  <si>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</si>
  <si>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</si>
  <si>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</si>
  <si>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</si>
  <si>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</si>
  <si>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</si>
  <si>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</si>
  <si>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</si>
  <si>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</si>
  <si>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</si>
  <si>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</si>
  <si>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</si>
  <si>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</si>
  <si>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</si>
  <si>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</si>
  <si>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</si>
  <si>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</si>
  <si>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</si>
  <si>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</si>
  <si>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</si>
  <si>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</si>
  <si>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</si>
  <si>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</si>
  <si>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</si>
  <si>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</si>
  <si>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</si>
  <si>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</si>
  <si>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</si>
  <si>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</si>
  <si>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</si>
  <si>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</si>
  <si>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</si>
  <si>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</si>
  <si>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</si>
  <si>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</si>
  <si>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</si>
  <si>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</si>
  <si>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</si>
  <si>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</si>
  <si>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</si>
  <si>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</si>
  <si>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</si>
  <si>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</si>
  <si>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</si>
  <si>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</si>
  <si>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</si>
  <si>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</si>
  <si>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</si>
  <si>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</si>
  <si>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</si>
  <si>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</si>
  <si>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</si>
  <si>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</si>
  <si>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</si>
  <si>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</si>
  <si>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</si>
  <si>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</si>
  <si>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</si>
  <si>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</si>
  <si>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</si>
  <si>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</si>
  <si>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</si>
  <si>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</si>
  <si>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</si>
  <si>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</si>
  <si>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</si>
  <si>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</si>
  <si>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</si>
  <si>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</si>
  <si>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</si>
  <si>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</si>
  <si>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</si>
  <si>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</si>
  <si>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</si>
  <si>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</si>
  <si>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</si>
  <si>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</si>
  <si>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</si>
  <si>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</si>
  <si>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</si>
  <si>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</si>
  <si>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</si>
  <si>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</si>
  <si>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</si>
  <si>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</si>
  <si>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</si>
  <si>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</si>
  <si>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</si>
  <si>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</si>
  <si>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</si>
  <si>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</si>
  <si>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</si>
  <si>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</si>
  <si>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</si>
  <si>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</si>
  <si>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</si>
  <si>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</si>
  <si>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</si>
  <si>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</si>
  <si>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</si>
  <si>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</si>
  <si>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</si>
  <si>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</si>
  <si>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</si>
  <si>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</si>
  <si>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</si>
  <si>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</si>
  <si>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</si>
  <si>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</si>
  <si>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</si>
  <si>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</si>
  <si>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</si>
  <si>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</si>
  <si>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</si>
  <si>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</si>
  <si>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</si>
  <si>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</si>
  <si>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</si>
  <si>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</si>
  <si>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</si>
  <si>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</si>
  <si>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</si>
  <si>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</si>
  <si>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</si>
  <si>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</si>
  <si>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</si>
  <si>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</si>
  <si>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</si>
  <si>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</si>
  <si>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</si>
  <si>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</si>
  <si>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</si>
  <si>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</si>
  <si>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</si>
  <si>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</si>
  <si>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</si>
  <si>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</si>
  <si>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</si>
  <si>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</si>
  <si>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</si>
  <si>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</si>
  <si>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</si>
  <si>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</si>
  <si>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</si>
  <si>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</si>
  <si>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</si>
  <si>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</si>
  <si>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</si>
  <si>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</si>
  <si>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</si>
  <si>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</si>
  <si>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</si>
  <si>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</si>
  <si>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</si>
  <si>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</si>
  <si>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</si>
  <si>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</si>
  <si>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</si>
  <si>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</si>
  <si>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</si>
  <si>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</si>
  <si>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</si>
  <si>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</si>
  <si>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</si>
  <si>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</si>
  <si>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</si>
  <si>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</si>
  <si>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</si>
  <si>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</si>
  <si>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</si>
  <si>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</si>
  <si>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</si>
  <si>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</si>
  <si>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</si>
  <si>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</si>
  <si>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</si>
  <si>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</si>
  <si>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</si>
  <si>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</si>
  <si>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</si>
  <si>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</si>
  <si>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</si>
  <si>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</si>
  <si>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</si>
  <si>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</si>
  <si>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</si>
  <si>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</si>
  <si>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</si>
  <si>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</si>
  <si>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</si>
  <si>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</si>
  <si>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</si>
  <si>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</si>
  <si>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</si>
  <si>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</si>
  <si>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</si>
  <si>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</si>
  <si>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</si>
  <si>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</si>
  <si>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</si>
  <si>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</si>
  <si>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</si>
  <si>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</si>
  <si>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</si>
  <si>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</si>
  <si>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</si>
  <si>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</si>
  <si>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</si>
  <si>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</si>
  <si>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</si>
  <si>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</si>
  <si>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</si>
  <si>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</si>
  <si>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</si>
  <si>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</si>
  <si>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</si>
  <si>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</si>
  <si>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</si>
  <si>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</si>
  <si>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</si>
  <si>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</si>
  <si>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</si>
  <si>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</si>
  <si>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</si>
  <si>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</si>
  <si>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</si>
  <si>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</si>
  <si>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</si>
  <si>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</si>
  <si>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</si>
  <si>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</si>
  <si>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</si>
  <si>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</si>
  <si>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</si>
  <si>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</si>
  <si>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</si>
  <si>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</si>
  <si>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</si>
  <si>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</si>
  <si>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</si>
  <si>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</si>
  <si>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</si>
  <si>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</si>
  <si>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</si>
  <si>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</si>
  <si>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</si>
  <si>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</si>
  <si>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</si>
  <si>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</si>
  <si>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</si>
  <si>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</si>
  <si>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</si>
  <si>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</si>
  <si>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</si>
  <si>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</si>
  <si>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</si>
  <si>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</si>
  <si>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</si>
  <si>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</si>
  <si>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</si>
  <si>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</si>
  <si>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</si>
  <si>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</si>
  <si>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</si>
  <si>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</si>
  <si>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</si>
  <si>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</si>
  <si>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</si>
  <si>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</si>
  <si>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</si>
  <si>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</si>
  <si>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</si>
  <si>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</si>
  <si>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</si>
  <si>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</si>
  <si>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</si>
  <si>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</si>
  <si>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</si>
  <si>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</si>
  <si>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</si>
  <si>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</si>
  <si>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</si>
  <si>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</si>
  <si>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</si>
  <si>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</si>
  <si>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</si>
  <si>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</si>
  <si>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</si>
  <si>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</si>
  <si>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</si>
  <si>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</si>
  <si>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</si>
  <si>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</si>
  <si>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</si>
  <si>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</si>
  <si>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</si>
  <si>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</si>
  <si>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</si>
  <si>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</si>
  <si>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</si>
  <si>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</si>
  <si>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</si>
  <si>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</si>
  <si>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</si>
  <si>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</si>
  <si>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</si>
  <si>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</si>
  <si>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</si>
  <si>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</si>
  <si>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</si>
  <si>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</si>
  <si>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</si>
  <si>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</si>
  <si>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</si>
  <si>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</si>
  <si>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</si>
  <si>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</si>
  <si>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</si>
  <si>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</si>
  <si>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</si>
  <si>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</si>
  <si>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</si>
  <si>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</si>
  <si>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</si>
  <si>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</si>
  <si>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</si>
  <si>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</si>
  <si>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</si>
  <si>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</si>
  <si>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</si>
  <si>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</si>
  <si>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</si>
  <si>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</si>
  <si>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</si>
  <si>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</si>
  <si>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</si>
  <si>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</si>
  <si>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</si>
  <si>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</si>
  <si>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</si>
  <si>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</si>
  <si>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</si>
  <si>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</si>
  <si>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</si>
  <si>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</si>
  <si>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</si>
  <si>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</si>
  <si>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</si>
  <si>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</si>
  <si>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</si>
  <si>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</si>
  <si>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</si>
  <si>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</si>
  <si>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</si>
  <si>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</si>
  <si>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</si>
  <si>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</si>
  <si>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</si>
  <si>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</si>
  <si>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</si>
  <si>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</si>
  <si>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</si>
  <si>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</si>
  <si>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</si>
  <si>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</si>
  <si>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</si>
  <si>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</si>
  <si>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</si>
  <si>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</si>
  <si>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</si>
  <si>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</si>
  <si>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</si>
  <si>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</si>
  <si>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</si>
  <si>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</si>
  <si>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</si>
  <si>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</si>
  <si>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</si>
  <si>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</si>
  <si>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</si>
  <si>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</si>
  <si>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</si>
  <si>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</si>
  <si>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</si>
  <si>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</si>
  <si>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</si>
  <si>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</si>
  <si>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</si>
  <si>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</si>
  <si>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</si>
  <si>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</si>
  <si>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</si>
  <si>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</si>
  <si>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</si>
  <si>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</si>
  <si>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</si>
  <si>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</si>
  <si>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</si>
  <si>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</si>
  <si>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</si>
  <si>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</si>
  <si>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</si>
  <si>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</si>
  <si>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</si>
  <si>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</si>
  <si>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</si>
  <si>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</si>
  <si>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</si>
  <si>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</si>
  <si>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</si>
  <si>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</si>
  <si>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</si>
  <si>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</si>
  <si>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</si>
  <si>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</si>
  <si>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</si>
  <si>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</si>
  <si>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</si>
  <si>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</si>
  <si>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</si>
  <si>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</si>
  <si>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</si>
  <si>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</si>
  <si>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</si>
  <si>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</si>
  <si>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</si>
  <si>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</si>
  <si>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</si>
  <si>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</si>
  <si>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</si>
  <si>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</si>
  <si>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</si>
  <si>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</si>
  <si>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</si>
  <si>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</si>
  <si>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</si>
  <si>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</si>
  <si>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</si>
  <si>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</si>
  <si>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</si>
  <si>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</si>
  <si>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</si>
  <si>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</si>
  <si>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</si>
  <si>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</si>
  <si>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</si>
  <si>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</si>
  <si>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</si>
  <si>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</si>
  <si>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</si>
  <si>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</si>
  <si>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</si>
  <si>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</si>
  <si>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</si>
  <si>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</si>
  <si>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</si>
  <si>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</si>
  <si>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</si>
  <si>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</si>
  <si>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</si>
  <si>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</si>
  <si>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</si>
  <si>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</si>
  <si>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</si>
  <si>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</si>
  <si>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</si>
  <si>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</si>
  <si>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</si>
  <si>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</si>
  <si>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</si>
  <si>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</si>
  <si>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</si>
  <si>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</si>
  <si>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</si>
  <si>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</si>
  <si>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</si>
  <si>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</si>
  <si>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</si>
  <si>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</si>
  <si>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</si>
  <si>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</si>
  <si>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</si>
  <si>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</si>
  <si>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</si>
  <si>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</si>
  <si>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</si>
  <si>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</si>
  <si>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</si>
  <si>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</si>
  <si>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</si>
  <si>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</si>
  <si>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</si>
  <si>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</si>
  <si>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</si>
  <si>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</si>
  <si>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</si>
  <si>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</si>
  <si>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</si>
  <si>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</si>
  <si>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</si>
  <si>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</si>
  <si>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</si>
  <si>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</si>
  <si>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</si>
  <si>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</si>
  <si>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</si>
  <si>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</si>
  <si>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</si>
  <si>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</si>
  <si>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</si>
  <si>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</si>
  <si>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</si>
  <si>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</si>
  <si>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</si>
  <si>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</si>
  <si>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</si>
  <si>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</si>
  <si>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</si>
  <si>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</si>
  <si>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</si>
  <si>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</si>
  <si>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</si>
  <si>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</si>
  <si>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</si>
  <si>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</si>
  <si>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</si>
  <si>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</si>
  <si>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</si>
  <si>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</si>
  <si>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</si>
  <si>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</si>
  <si>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</si>
  <si>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</si>
  <si>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</si>
  <si>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</si>
  <si>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</si>
  <si>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</si>
  <si>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</si>
  <si>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</si>
  <si>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</si>
  <si>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</si>
  <si>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</si>
  <si>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</si>
  <si>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</si>
  <si>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</si>
  <si>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</si>
  <si>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</si>
  <si>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</si>
  <si>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</si>
  <si>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</si>
  <si>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</si>
  <si>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</si>
  <si>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</si>
  <si>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</si>
  <si>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</si>
  <si>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</si>
  <si>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</si>
  <si>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</si>
  <si>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</si>
  <si>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</si>
  <si>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</si>
  <si>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</si>
  <si>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</si>
  <si>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</si>
  <si>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</si>
  <si>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</si>
  <si>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</si>
  <si>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</si>
  <si>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</si>
  <si>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</si>
  <si>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</si>
  <si>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</si>
  <si>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</si>
  <si>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</si>
  <si>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</si>
  <si>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</si>
  <si>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</si>
  <si>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</si>
  <si>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</si>
  <si>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</si>
  <si>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</si>
  <si>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</si>
  <si>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</si>
  <si>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</si>
  <si>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</si>
  <si>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</si>
  <si>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</si>
  <si>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</si>
  <si>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</si>
  <si>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</si>
  <si>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</si>
  <si>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</si>
  <si>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</si>
  <si>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</si>
  <si>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</si>
  <si>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</si>
  <si>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</si>
  <si>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</si>
  <si>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</si>
  <si>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</si>
  <si>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</si>
  <si>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</si>
  <si>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</si>
  <si>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</si>
  <si>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</si>
  <si>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</si>
  <si>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</si>
  <si>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</si>
  <si>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</si>
  <si>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</si>
  <si>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</si>
  <si>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</si>
  <si>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</si>
  <si>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</si>
  <si>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</si>
  <si>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</si>
  <si>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</si>
  <si>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</si>
  <si>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</si>
  <si>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</si>
  <si>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</si>
  <si>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</si>
  <si>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</si>
  <si>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</si>
  <si>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</si>
  <si>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</si>
  <si>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</si>
  <si>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</si>
  <si>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</si>
  <si>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</si>
  <si>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</si>
  <si>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</si>
  <si>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</si>
  <si>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</si>
  <si>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</si>
  <si>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</si>
  <si>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</si>
  <si>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</si>
  <si>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</si>
  <si>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</si>
  <si>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</si>
  <si>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</si>
  <si>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</si>
  <si>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</si>
  <si>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</si>
  <si>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</si>
  <si>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</si>
  <si>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</si>
  <si>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</si>
  <si>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</si>
  <si>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</si>
  <si>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</si>
  <si>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</si>
  <si>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</si>
  <si>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</si>
  <si>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</si>
  <si>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</si>
  <si>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</si>
  <si>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</si>
  <si>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</si>
  <si>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</si>
  <si>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</si>
  <si>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</si>
  <si>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</si>
  <si>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</si>
  <si>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</si>
  <si>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</si>
  <si>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</si>
  <si>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</si>
  <si>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</si>
  <si>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</si>
  <si>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</si>
  <si>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</si>
  <si>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</si>
  <si>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</si>
  <si>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</si>
  <si>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</si>
  <si>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</si>
  <si>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</si>
  <si>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</si>
  <si>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</si>
  <si>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</si>
  <si>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</si>
  <si>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</si>
  <si>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</si>
  <si>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</si>
  <si>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</si>
  <si>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</si>
  <si>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</si>
  <si>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</si>
  <si>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</si>
  <si>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</si>
  <si>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</si>
  <si>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</si>
  <si>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</si>
  <si>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</si>
  <si>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</si>
  <si>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</si>
  <si>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</si>
  <si>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</si>
  <si>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</si>
  <si>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</si>
  <si>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</si>
  <si>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</si>
  <si>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</si>
  <si>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</si>
  <si>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</si>
  <si>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</si>
  <si>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</si>
  <si>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</si>
  <si>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</si>
  <si>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</si>
  <si>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</si>
  <si>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</si>
  <si>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</si>
  <si>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</si>
  <si>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</si>
  <si>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</si>
  <si>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</si>
  <si>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</si>
  <si>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</si>
  <si>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</si>
  <si>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</si>
  <si>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</si>
  <si>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</si>
  <si>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</si>
  <si>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</si>
  <si>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</si>
  <si>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</si>
  <si>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</si>
  <si>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</si>
  <si>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</si>
  <si>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</si>
  <si>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</si>
  <si>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</si>
  <si>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</si>
  <si>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</si>
  <si>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</si>
  <si>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</si>
  <si>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</si>
  <si>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</si>
  <si>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</si>
  <si>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</si>
  <si>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</si>
  <si>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</si>
  <si>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</si>
  <si>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</si>
  <si>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</si>
  <si>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</si>
  <si>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</si>
  <si>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</si>
  <si>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</si>
  <si>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</si>
  <si>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</si>
  <si>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</si>
  <si>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</si>
  <si>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</si>
  <si>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</si>
  <si>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</si>
  <si>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</si>
  <si>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</si>
  <si>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</si>
  <si>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</si>
  <si>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</si>
  <si>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</si>
  <si>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</si>
  <si>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</si>
  <si>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</si>
  <si>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</si>
  <si>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</si>
  <si>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</si>
  <si>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</si>
  <si>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</si>
  <si>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</si>
  <si>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</si>
  <si>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</si>
  <si>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</si>
  <si>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</si>
  <si>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</si>
  <si>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</si>
  <si>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</si>
  <si>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</si>
  <si>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</si>
  <si>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</si>
  <si>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</si>
  <si>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</si>
  <si>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</si>
  <si>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</si>
  <si>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</si>
  <si>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</si>
  <si>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</si>
  <si>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</si>
  <si>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</si>
  <si>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</si>
  <si>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</si>
  <si>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</si>
  <si>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</si>
  <si>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</si>
  <si>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</si>
  <si>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</si>
  <si>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</si>
  <si>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</si>
  <si>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</si>
  <si>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</si>
  <si>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</si>
  <si>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</si>
  <si>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</si>
  <si>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</si>
  <si>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</si>
  <si>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</si>
  <si>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</si>
  <si>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</si>
  <si>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</si>
  <si>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</si>
  <si>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</si>
  <si>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</si>
  <si>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</si>
  <si>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</si>
  <si>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</si>
  <si>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</si>
  <si>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</si>
  <si>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</si>
  <si>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</si>
  <si>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</si>
  <si>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</si>
  <si>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</si>
  <si>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</si>
  <si>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</si>
  <si>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</si>
  <si>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</si>
  <si>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</si>
  <si>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</si>
  <si>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</si>
  <si>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</si>
  <si>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</si>
  <si>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</si>
  <si>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</si>
  <si>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</si>
  <si>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</si>
  <si>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</si>
  <si>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</si>
  <si>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</si>
  <si>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</si>
  <si>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</si>
  <si>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</si>
  <si>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</si>
  <si>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</si>
  <si>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</si>
  <si>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</si>
  <si>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</si>
  <si>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</si>
  <si>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</si>
  <si>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</si>
  <si>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</si>
  <si>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</si>
  <si>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</si>
  <si>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</si>
  <si>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</si>
  <si>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</si>
  <si>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</si>
  <si>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</si>
  <si>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</si>
  <si>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</si>
  <si>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</si>
  <si>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</si>
  <si>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</si>
  <si>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</si>
  <si>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</si>
  <si>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</si>
  <si>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</si>
  <si>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</si>
  <si>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</si>
  <si>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</si>
  <si>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</si>
  <si>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</si>
  <si>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</si>
  <si>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</si>
  <si>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</si>
  <si>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</si>
  <si>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</si>
  <si>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</si>
  <si>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</si>
  <si>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</si>
  <si>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</si>
  <si>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</si>
  <si>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</si>
  <si>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</si>
  <si>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</si>
  <si>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</si>
  <si>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</si>
  <si>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</si>
  <si>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</si>
  <si>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</si>
  <si>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</si>
  <si>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</si>
  <si>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</si>
  <si>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</si>
  <si>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</si>
  <si>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</si>
  <si>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</si>
  <si>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</si>
  <si>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</si>
  <si>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</si>
  <si>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</si>
  <si>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</si>
  <si>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</si>
  <si>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</si>
  <si>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</si>
  <si>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</si>
  <si>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</si>
  <si>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</si>
  <si>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</si>
  <si>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</si>
  <si>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</si>
  <si>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</si>
  <si>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</si>
  <si>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</si>
  <si>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</si>
  <si>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</si>
  <si>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</si>
  <si>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</si>
  <si>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</si>
  <si>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</si>
  <si>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</si>
  <si>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</si>
  <si>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</si>
  <si>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</si>
  <si>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</si>
  <si>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</si>
  <si>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</si>
  <si>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</si>
  <si>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</si>
  <si>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</si>
  <si>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</si>
  <si>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</si>
  <si>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</si>
  <si>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</si>
  <si>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</si>
  <si>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</si>
  <si>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</si>
  <si>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</si>
  <si>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</si>
  <si>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</si>
  <si>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</si>
  <si>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</si>
  <si>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</si>
  <si>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</si>
  <si>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</si>
  <si>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</si>
  <si>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</si>
  <si>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</si>
  <si>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</si>
  <si>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</si>
  <si>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</si>
  <si>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</si>
  <si>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</si>
  <si>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</si>
  <si>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</si>
  <si>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</si>
  <si>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</si>
  <si>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</si>
  <si>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</si>
  <si>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</si>
  <si>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</si>
  <si>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</si>
  <si>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</si>
  <si>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</si>
  <si>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</si>
  <si>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</si>
  <si>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</si>
  <si>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</si>
  <si>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</si>
  <si>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</si>
  <si>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</si>
  <si>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</si>
  <si>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</si>
  <si>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</si>
  <si>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</si>
  <si>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</si>
  <si>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</si>
  <si>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</si>
  <si>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</si>
  <si>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</si>
  <si>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</si>
  <si>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</si>
  <si>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</si>
  <si>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</si>
  <si>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</si>
  <si>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</si>
  <si>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</si>
  <si>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</si>
  <si>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</si>
  <si>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</si>
  <si>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</si>
  <si>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</si>
  <si>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</si>
  <si>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</si>
  <si>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</si>
  <si>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</si>
  <si>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</si>
  <si>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</si>
  <si>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</si>
  <si>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</si>
  <si>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</si>
  <si>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</si>
  <si>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</si>
  <si>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</si>
  <si>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</si>
  <si>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</si>
  <si>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</si>
  <si>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</si>
  <si>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Agency Funds</t>
  </si>
  <si>
    <t>Audit Adjustment- Reclass of Student Activities Fund Balance</t>
  </si>
  <si>
    <t>07/08</t>
  </si>
  <si>
    <t>8/28</t>
  </si>
  <si>
    <t>PY Audit Adj to reclass exp from Fund 70 to Fund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</si>
</sst>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F588" sqref="F58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907</v>
      </c>
      <c r="B2">
        <f>INDEX('School Tables'!$AH$3:$AH$209,MATCH('DOE25'!A2,'School Tables'!$AJ$3:$AJ$209,0))</f>
        <v>17</v>
      </c>
      <c r="C2">
        <f>INDEX('School Tables'!$AI$3:$AI$209,MATCH('DOE25'!A2,'School Tables'!$AJ$3:$AJ$209,0))</f>
        <v>17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1544909.33</f>
        <v>1544909.33</v>
      </c>
      <c r="G9" s="18">
        <v>0</v>
      </c>
      <c r="H9" s="18">
        <v>0</v>
      </c>
      <c r="I9" s="18">
        <v>0</v>
      </c>
      <c r="J9" s="13">
        <f>SUM(I440)</f>
        <v>72041.95</v>
      </c>
      <c r="K9" s="23" t="s">
        <v>288</v>
      </c>
      <c r="L9" s="23" t="s">
        <v>288</v>
      </c>
      <c r="M9" s="8"/>
      <c r="N9" s="165"/>
    </row>
    <row r="10" spans="1:14" s="3" customFormat="1" ht="12.2" customHeight="1" x14ac:dyDescent="0.15">
      <c r="A10" s="1" t="s">
        <v>562</v>
      </c>
      <c r="B10" s="2" t="s">
        <v>289</v>
      </c>
      <c r="C10" s="6">
        <v>2</v>
      </c>
      <c r="D10" s="2" t="s">
        <v>428</v>
      </c>
      <c r="E10" s="6">
        <v>110</v>
      </c>
      <c r="F10" s="18">
        <v>383441.15</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0</v>
      </c>
      <c r="G12" s="18">
        <v>137628.37</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126349.5</v>
      </c>
      <c r="G13" s="18">
        <v>194526.24</v>
      </c>
      <c r="H13" s="18">
        <v>80408.350000000006</v>
      </c>
      <c r="I13" s="18">
        <v>0</v>
      </c>
      <c r="J13" s="13">
        <f>SUM(I443)</f>
        <v>1775131.01</v>
      </c>
      <c r="K13" s="23" t="s">
        <v>288</v>
      </c>
      <c r="L13" s="23" t="s">
        <v>288</v>
      </c>
      <c r="M13" s="8"/>
      <c r="N13" s="165"/>
    </row>
    <row r="14" spans="1:14" s="3" customFormat="1" ht="12.2" customHeight="1" x14ac:dyDescent="0.15">
      <c r="A14" s="1" t="s">
        <v>565</v>
      </c>
      <c r="B14" s="2" t="s">
        <v>289</v>
      </c>
      <c r="C14" s="6">
        <v>6</v>
      </c>
      <c r="D14" s="2" t="s">
        <v>428</v>
      </c>
      <c r="E14" s="6">
        <v>150</v>
      </c>
      <c r="F14" s="18">
        <v>4945.45</v>
      </c>
      <c r="G14" s="18">
        <v>0</v>
      </c>
      <c r="H14" s="18">
        <v>2278.9899999999998</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2059645.43</v>
      </c>
      <c r="G19" s="38">
        <f>SUM(G9:G18)</f>
        <v>332154.61</v>
      </c>
      <c r="H19" s="38">
        <f>SUM(H9:H18)</f>
        <v>82687.340000000011</v>
      </c>
      <c r="I19" s="38">
        <f>SUM(I9:I18)</f>
        <v>0</v>
      </c>
      <c r="J19" s="38">
        <f>SUM(J9:J18)</f>
        <v>1847172.96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33192.230000000003</v>
      </c>
      <c r="G22" s="18">
        <v>0</v>
      </c>
      <c r="H22" s="18">
        <v>62674.86</v>
      </c>
      <c r="I22" s="18">
        <v>0</v>
      </c>
      <c r="J22" s="13">
        <f>SUM(I449)</f>
        <v>41761.279999999999</v>
      </c>
      <c r="K22" s="23" t="s">
        <v>288</v>
      </c>
      <c r="L22" s="23" t="s">
        <v>288</v>
      </c>
      <c r="M22" s="8"/>
      <c r="N22" s="165"/>
    </row>
    <row r="23" spans="1:14" s="3" customFormat="1" ht="12.2" customHeight="1" x14ac:dyDescent="0.15">
      <c r="A23" s="1" t="s">
        <v>607</v>
      </c>
      <c r="B23" s="2" t="s">
        <v>289</v>
      </c>
      <c r="C23" s="6">
        <v>13</v>
      </c>
      <c r="D23" s="2" t="s">
        <v>429</v>
      </c>
      <c r="E23" s="6">
        <v>410</v>
      </c>
      <c r="F23" s="18">
        <v>101981.73</v>
      </c>
      <c r="G23" s="18">
        <v>67512.14</v>
      </c>
      <c r="H23" s="18">
        <v>0</v>
      </c>
      <c r="I23" s="18">
        <v>0</v>
      </c>
      <c r="J23" s="13">
        <f>SUM(I450)</f>
        <v>200.89</v>
      </c>
      <c r="K23" s="23" t="s">
        <v>288</v>
      </c>
      <c r="L23" s="23" t="s">
        <v>288</v>
      </c>
      <c r="M23" s="8"/>
      <c r="N23" s="165"/>
    </row>
    <row r="24" spans="1:14" s="3" customFormat="1" ht="12.2" customHeight="1" x14ac:dyDescent="0.15">
      <c r="A24" s="1" t="s">
        <v>570</v>
      </c>
      <c r="B24" s="2" t="s">
        <v>289</v>
      </c>
      <c r="C24" s="6">
        <v>14</v>
      </c>
      <c r="D24" s="2" t="s">
        <v>429</v>
      </c>
      <c r="E24" s="6">
        <v>420</v>
      </c>
      <c r="F24" s="18">
        <f>150688.28+2203</f>
        <v>152891.28</v>
      </c>
      <c r="G24" s="18">
        <v>1065.76</v>
      </c>
      <c r="H24" s="18">
        <v>0</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166992.31</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92837.22</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3610.06</v>
      </c>
      <c r="G30" s="18">
        <v>71575.899999999994</v>
      </c>
      <c r="H30" s="18">
        <v>20012.48</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551504.83000000007</v>
      </c>
      <c r="G32" s="38">
        <f>SUM(G22:G31)</f>
        <v>140153.79999999999</v>
      </c>
      <c r="H32" s="38">
        <f>SUM(H22:H31)</f>
        <v>82687.34</v>
      </c>
      <c r="I32" s="38">
        <f>SUM(I22:I31)</f>
        <v>0</v>
      </c>
      <c r="J32" s="38">
        <f>SUM(J22:J31)</f>
        <v>41962.17</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605000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159856.69+32144.12</f>
        <v>192000.81</v>
      </c>
      <c r="H48" s="18">
        <v>0</v>
      </c>
      <c r="I48" s="18">
        <v>0</v>
      </c>
      <c r="J48" s="13">
        <f>SUM(I460)</f>
        <v>1805210.7899999998</v>
      </c>
      <c r="K48" s="23" t="s">
        <v>288</v>
      </c>
      <c r="L48" s="23" t="s">
        <v>288</v>
      </c>
      <c r="M48" s="8"/>
      <c r="N48" s="165"/>
    </row>
    <row r="49" spans="1:14" s="3" customFormat="1" ht="12.2" customHeight="1" x14ac:dyDescent="0.15">
      <c r="A49" s="1" t="s">
        <v>858</v>
      </c>
      <c r="B49" s="2" t="s">
        <v>289</v>
      </c>
      <c r="C49" s="6">
        <v>34</v>
      </c>
      <c r="D49" s="2"/>
      <c r="E49" s="6">
        <v>753</v>
      </c>
      <c r="F49" s="18">
        <v>130911.22</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f>509726.74+262502.64</f>
        <v>772229.38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1508140.6</v>
      </c>
      <c r="G51" s="38">
        <f>SUM(G35:G50)</f>
        <v>192000.81</v>
      </c>
      <c r="H51" s="38">
        <f>SUM(H35:H50)</f>
        <v>0</v>
      </c>
      <c r="I51" s="38">
        <f>SUM(I35:I50)</f>
        <v>0</v>
      </c>
      <c r="J51" s="38">
        <f>SUM(J35:J50)</f>
        <v>1805210.7899999998</v>
      </c>
      <c r="K51" s="42" t="s">
        <v>288</v>
      </c>
      <c r="L51" s="42" t="s">
        <v>288</v>
      </c>
      <c r="N51" s="131"/>
    </row>
    <row r="52" spans="1:14" s="3" customFormat="1" ht="12.2" customHeight="1" thickTop="1" x14ac:dyDescent="0.15">
      <c r="A52" s="35" t="s">
        <v>455</v>
      </c>
      <c r="B52" s="36" t="s">
        <v>289</v>
      </c>
      <c r="C52" s="6">
        <v>37</v>
      </c>
      <c r="D52" s="36" t="s">
        <v>653</v>
      </c>
      <c r="E52" s="36"/>
      <c r="F52" s="38">
        <f>F51+F32</f>
        <v>2059645.4300000002</v>
      </c>
      <c r="G52" s="38">
        <f>G51+G32</f>
        <v>332154.61</v>
      </c>
      <c r="H52" s="38">
        <f>H51+H32</f>
        <v>82687.34</v>
      </c>
      <c r="I52" s="38">
        <f>I51+I32</f>
        <v>0</v>
      </c>
      <c r="J52" s="38">
        <f>J51+J32</f>
        <v>1847172.9599999997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22436063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22436063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70956.399999999994</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1412646.51</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1483602.91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57201.33</v>
      </c>
      <c r="G96" s="18"/>
      <c r="H96" s="18"/>
      <c r="I96" s="18">
        <v>0</v>
      </c>
      <c r="J96" s="18">
        <f>35368.61+7347.62</f>
        <v>42716.23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500209.86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32869</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694.75</v>
      </c>
      <c r="G101" s="18">
        <v>0</v>
      </c>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c r="H102" s="18">
        <v>24015.78</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14000</v>
      </c>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246546.75</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10285.459999999999</v>
      </c>
      <c r="G109" s="18">
        <v>0</v>
      </c>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4556.3</v>
      </c>
      <c r="G110" s="18">
        <v>349.54</v>
      </c>
      <c r="H110" s="18"/>
      <c r="I110" s="18"/>
      <c r="J110" s="18">
        <f>209615.9+25754.39</f>
        <v>235370.28999999998</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366153.59</v>
      </c>
      <c r="G111" s="38">
        <f>SUM(G96:G110)</f>
        <v>500559.39999999997</v>
      </c>
      <c r="H111" s="38">
        <f>SUM(H96:H110)</f>
        <v>24015.78</v>
      </c>
      <c r="I111" s="38">
        <f>SUM(I96:I110)</f>
        <v>0</v>
      </c>
      <c r="J111" s="38">
        <f>SUM(J96:J110)</f>
        <v>278086.51999999996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24285819.5</v>
      </c>
      <c r="G112" s="38">
        <f>G60+G111</f>
        <v>500559.39999999997</v>
      </c>
      <c r="H112" s="38">
        <f>H60+H79+H94+H111</f>
        <v>24015.78</v>
      </c>
      <c r="I112" s="38">
        <f>I60+I111</f>
        <v>0</v>
      </c>
      <c r="J112" s="38">
        <f>J60+J111</f>
        <v>278086.51999999996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3390609.73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1830315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177985.51+4023.29</f>
        <v>182008.80000000002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5402933.5300000003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85415.7</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313958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7875.05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f>66277.22-4023.29</f>
        <v>62253.93</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461627.63</v>
      </c>
      <c r="G136" s="38">
        <f>SUM(G123:G135)</f>
        <v>7875.05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5864561.1600000001</v>
      </c>
      <c r="G140" s="38">
        <f>G121+SUM(G136:G137)</f>
        <v>7875.05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36221.629999999997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101436.85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197517.18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228262.83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163821.65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c r="H161" s="18">
        <v>7322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c r="H162" s="18">
        <v>23089.72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163821.65</v>
      </c>
      <c r="G163" s="38">
        <f>SUM(G150:G162)</f>
        <v>197517.18</v>
      </c>
      <c r="H163" s="38">
        <f>SUM(H150:H162)</f>
        <v>396333.03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163821.65</v>
      </c>
      <c r="G170" s="38">
        <f>G147+G163+SUM(G164:G169)</f>
        <v>197517.18</v>
      </c>
      <c r="H170" s="38">
        <f>H147+H163+SUM(H164:H169)</f>
        <v>396333.03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c r="I180" s="18">
        <v>0</v>
      </c>
      <c r="J180" s="18">
        <v>650000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650000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30314202.309999999</v>
      </c>
      <c r="G194" s="38">
        <f>G112+G140+G170+G193</f>
        <v>705951.62999999989</v>
      </c>
      <c r="H194" s="38">
        <f>H112+H140+H170+H193</f>
        <v>420348.81000000006</v>
      </c>
      <c r="I194" s="38">
        <f>I112+I140+I170+I193</f>
        <v>0</v>
      </c>
      <c r="J194" s="38">
        <f>J112+J140+J193</f>
        <v>928086.52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3839973.86</v>
      </c>
      <c r="G198" s="18">
        <f>2045832+341.36+28.88</f>
        <v>2046202.24</v>
      </c>
      <c r="H198" s="18">
        <v>6344.39</v>
      </c>
      <c r="I198" s="18">
        <v>202441.48</v>
      </c>
      <c r="J198" s="18">
        <v>47133.599999999999</v>
      </c>
      <c r="K198" s="18">
        <v>0</v>
      </c>
      <c r="L198" s="13">
        <f>SUM(F198:K198)</f>
        <v>6142095.5699999994</v>
      </c>
      <c r="M198" s="8"/>
      <c r="N198" s="165"/>
    </row>
    <row r="199" spans="1:14" s="3" customFormat="1" ht="12.2" customHeight="1" x14ac:dyDescent="0.15">
      <c r="A199" s="1" t="s">
        <v>439</v>
      </c>
      <c r="B199" s="2" t="s">
        <v>341</v>
      </c>
      <c r="C199" s="2" t="s">
        <v>291</v>
      </c>
      <c r="D199" s="2" t="s">
        <v>431</v>
      </c>
      <c r="E199" s="6">
        <v>1200</v>
      </c>
      <c r="F199" s="18">
        <v>1914010.66</v>
      </c>
      <c r="G199" s="18">
        <v>1168650.3700000001</v>
      </c>
      <c r="H199" s="18">
        <v>291972.5</v>
      </c>
      <c r="I199" s="18">
        <v>13691.25</v>
      </c>
      <c r="J199" s="18">
        <v>0</v>
      </c>
      <c r="K199" s="18">
        <v>1132.99</v>
      </c>
      <c r="L199" s="13">
        <f>SUM(F199:K199)</f>
        <v>3389457.7700000005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47381</v>
      </c>
      <c r="G201" s="18">
        <v>12630.3</v>
      </c>
      <c r="H201" s="18">
        <v>0</v>
      </c>
      <c r="I201" s="18">
        <v>0</v>
      </c>
      <c r="J201" s="18">
        <v>0</v>
      </c>
      <c r="K201" s="18">
        <v>0</v>
      </c>
      <c r="L201" s="13">
        <f>SUM(F201:K201)</f>
        <v>60011.3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1212454.73</v>
      </c>
      <c r="G203" s="18">
        <v>708513.59</v>
      </c>
      <c r="H203" s="18">
        <v>152734.35</v>
      </c>
      <c r="I203" s="18">
        <v>20950.12</v>
      </c>
      <c r="J203" s="18">
        <v>0</v>
      </c>
      <c r="K203" s="18">
        <v>0</v>
      </c>
      <c r="L203" s="13">
        <f t="shared" ref="L203:L209" si="0">SUM(F203:K203)</f>
        <v>2094652.79</v>
      </c>
      <c r="M203" s="8"/>
      <c r="N203" s="165"/>
    </row>
    <row r="204" spans="1:14" s="3" customFormat="1" ht="12.2" customHeight="1" x14ac:dyDescent="0.15">
      <c r="A204" s="1" t="s">
        <v>443</v>
      </c>
      <c r="B204" s="2" t="s">
        <v>341</v>
      </c>
      <c r="C204" s="2" t="s">
        <v>295</v>
      </c>
      <c r="D204" s="2" t="s">
        <v>431</v>
      </c>
      <c r="E204" s="6">
        <v>2200</v>
      </c>
      <c r="F204" s="18">
        <v>131002.48</v>
      </c>
      <c r="G204" s="18">
        <f>115203.67+-341.36+-28.88</f>
        <v>114833.43</v>
      </c>
      <c r="H204" s="18">
        <v>0</v>
      </c>
      <c r="I204" s="18">
        <v>11558.3</v>
      </c>
      <c r="J204" s="18">
        <v>8094.43</v>
      </c>
      <c r="K204" s="18">
        <v>0</v>
      </c>
      <c r="L204" s="13">
        <f t="shared" si="0"/>
        <v>265488.63999999996</v>
      </c>
      <c r="M204" s="8"/>
      <c r="N204" s="165"/>
    </row>
    <row r="205" spans="1:14" s="3" customFormat="1" ht="12.2" customHeight="1" x14ac:dyDescent="0.15">
      <c r="A205" s="1" t="s">
        <v>444</v>
      </c>
      <c r="B205" s="2" t="s">
        <v>341</v>
      </c>
      <c r="C205" s="2" t="s">
        <v>296</v>
      </c>
      <c r="D205" s="2" t="s">
        <v>431</v>
      </c>
      <c r="E205" s="6">
        <v>2300</v>
      </c>
      <c r="F205" s="18">
        <v>42450.34</v>
      </c>
      <c r="G205" s="18">
        <v>10124.61</v>
      </c>
      <c r="H205" s="18">
        <v>788754.79</v>
      </c>
      <c r="I205" s="18">
        <v>1721.46</v>
      </c>
      <c r="J205" s="18">
        <v>0</v>
      </c>
      <c r="K205" s="18">
        <v>2799.37</v>
      </c>
      <c r="L205" s="13">
        <f t="shared" si="0"/>
        <v>845850.57</v>
      </c>
      <c r="M205" s="8"/>
      <c r="N205" s="165"/>
    </row>
    <row r="206" spans="1:14" s="3" customFormat="1" ht="12.2" customHeight="1" x14ac:dyDescent="0.15">
      <c r="A206" s="1" t="s">
        <v>445</v>
      </c>
      <c r="B206" s="2" t="s">
        <v>341</v>
      </c>
      <c r="C206" s="2" t="s">
        <v>297</v>
      </c>
      <c r="D206" s="2" t="s">
        <v>431</v>
      </c>
      <c r="E206" s="6">
        <v>2400</v>
      </c>
      <c r="F206" s="18">
        <v>466449.74</v>
      </c>
      <c r="G206" s="18">
        <v>229281.81</v>
      </c>
      <c r="H206" s="18">
        <v>16233.52</v>
      </c>
      <c r="I206" s="18">
        <v>31522.57</v>
      </c>
      <c r="J206" s="18">
        <v>0</v>
      </c>
      <c r="K206" s="18">
        <v>2702</v>
      </c>
      <c r="L206" s="13">
        <f t="shared" si="0"/>
        <v>746189.64</v>
      </c>
      <c r="M206" s="8"/>
      <c r="N206" s="165"/>
    </row>
    <row r="207" spans="1:14" s="3" customFormat="1" ht="12.2" customHeight="1" x14ac:dyDescent="0.15">
      <c r="A207" s="1" t="s">
        <v>446</v>
      </c>
      <c r="B207" s="2" t="s">
        <v>341</v>
      </c>
      <c r="C207" s="2" t="s">
        <v>298</v>
      </c>
      <c r="D207" s="2" t="s">
        <v>431</v>
      </c>
      <c r="E207" s="6">
        <v>2500</v>
      </c>
      <c r="F207" s="18">
        <v>0</v>
      </c>
      <c r="G207" s="18">
        <v>0</v>
      </c>
      <c r="H207" s="18">
        <v>16675.259999999998</v>
      </c>
      <c r="I207" s="18">
        <v>0</v>
      </c>
      <c r="J207" s="18">
        <v>0</v>
      </c>
      <c r="K207" s="18">
        <v>0</v>
      </c>
      <c r="L207" s="13">
        <f t="shared" si="0"/>
        <v>16675.259999999998</v>
      </c>
      <c r="M207" s="8"/>
      <c r="N207" s="165"/>
    </row>
    <row r="208" spans="1:14" s="3" customFormat="1" ht="12.2" customHeight="1" x14ac:dyDescent="0.15">
      <c r="A208" s="1" t="s">
        <v>447</v>
      </c>
      <c r="B208" s="2" t="s">
        <v>341</v>
      </c>
      <c r="C208" s="2" t="s">
        <v>299</v>
      </c>
      <c r="D208" s="2" t="s">
        <v>431</v>
      </c>
      <c r="E208" s="6">
        <v>2600</v>
      </c>
      <c r="F208" s="18">
        <v>278421.53000000003</v>
      </c>
      <c r="G208" s="18">
        <v>147744.25</v>
      </c>
      <c r="H208" s="18">
        <f>216951.72+2203</f>
        <v>219154.72</v>
      </c>
      <c r="I208" s="18">
        <v>215650.18</v>
      </c>
      <c r="J208" s="18">
        <v>0</v>
      </c>
      <c r="K208" s="18">
        <v>0</v>
      </c>
      <c r="L208" s="13">
        <f t="shared" si="0"/>
        <v>860970.67999999993</v>
      </c>
      <c r="M208" s="8"/>
      <c r="N208" s="165"/>
    </row>
    <row r="209" spans="1:14" s="3" customFormat="1" ht="12.2" customHeight="1" x14ac:dyDescent="0.15">
      <c r="A209" s="1" t="s">
        <v>448</v>
      </c>
      <c r="B209" s="2" t="s">
        <v>341</v>
      </c>
      <c r="C209" s="2" t="s">
        <v>300</v>
      </c>
      <c r="D209" s="2" t="s">
        <v>431</v>
      </c>
      <c r="E209" s="6">
        <v>2700</v>
      </c>
      <c r="F209" s="18">
        <v>0</v>
      </c>
      <c r="G209" s="18">
        <v>0</v>
      </c>
      <c r="H209" s="18">
        <v>548280.87</v>
      </c>
      <c r="I209" s="18">
        <v>0</v>
      </c>
      <c r="J209" s="18">
        <v>0</v>
      </c>
      <c r="K209" s="18">
        <v>0</v>
      </c>
      <c r="L209" s="13">
        <f t="shared" si="0"/>
        <v>548280.87</v>
      </c>
      <c r="M209" s="8"/>
      <c r="N209" s="165"/>
    </row>
    <row r="210" spans="1:14" s="3" customFormat="1" ht="12.2" customHeight="1" x14ac:dyDescent="0.15">
      <c r="A210" s="1" t="s">
        <v>449</v>
      </c>
      <c r="B210" s="2" t="s">
        <v>341</v>
      </c>
      <c r="C210" s="2" t="s">
        <v>343</v>
      </c>
      <c r="D210" s="2" t="s">
        <v>431</v>
      </c>
      <c r="E210" s="6">
        <v>2800</v>
      </c>
      <c r="F210" s="18">
        <v>64471</v>
      </c>
      <c r="G210" s="18">
        <v>41917.199999999997</v>
      </c>
      <c r="H210" s="18">
        <v>20846.37</v>
      </c>
      <c r="I210" s="18">
        <v>23828.34</v>
      </c>
      <c r="J210" s="18">
        <v>1939.84</v>
      </c>
      <c r="K210" s="18">
        <v>0</v>
      </c>
      <c r="L210" s="13">
        <f>SUM(F210:K210)</f>
        <v>153002.75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7996615.3400000008</v>
      </c>
      <c r="G212" s="38">
        <f t="shared" si="1"/>
        <v>4479897.8</v>
      </c>
      <c r="H212" s="38">
        <f t="shared" si="1"/>
        <v>2060996.77</v>
      </c>
      <c r="I212" s="38">
        <f t="shared" si="1"/>
        <v>521363.7</v>
      </c>
      <c r="J212" s="38">
        <f t="shared" si="1"/>
        <v>57167.869999999995</v>
      </c>
      <c r="K212" s="38">
        <f t="shared" si="1"/>
        <v>6634.36</v>
      </c>
      <c r="L212" s="38">
        <f t="shared" si="1"/>
        <v>15122675.84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3778854.16</v>
      </c>
      <c r="G216" s="18">
        <v>2182721.7000000002</v>
      </c>
      <c r="H216" s="18">
        <v>3803.09</v>
      </c>
      <c r="I216" s="18">
        <v>124848.98</v>
      </c>
      <c r="J216" s="18">
        <v>31490.18</v>
      </c>
      <c r="K216" s="18">
        <v>275</v>
      </c>
      <c r="L216" s="13">
        <f>SUM(F216:K216)</f>
        <v>6121993.1100000003</v>
      </c>
      <c r="M216" s="8"/>
      <c r="N216" s="165"/>
    </row>
    <row r="217" spans="1:14" s="3" customFormat="1" ht="12.2" customHeight="1" x14ac:dyDescent="0.15">
      <c r="A217" s="1" t="s">
        <v>439</v>
      </c>
      <c r="B217" s="2" t="s">
        <v>346</v>
      </c>
      <c r="C217" s="2" t="s">
        <v>291</v>
      </c>
      <c r="D217" s="2" t="s">
        <v>431</v>
      </c>
      <c r="E217" s="6">
        <v>1200</v>
      </c>
      <c r="F217" s="18">
        <v>1579388.92</v>
      </c>
      <c r="G217" s="18">
        <v>1019292.31</v>
      </c>
      <c r="H217" s="18">
        <v>104847.53</v>
      </c>
      <c r="I217" s="18">
        <v>14667.53</v>
      </c>
      <c r="J217" s="18">
        <v>0</v>
      </c>
      <c r="K217" s="18">
        <v>360</v>
      </c>
      <c r="L217" s="13">
        <f>SUM(F217:K217)</f>
        <v>2718556.2899999996</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109218.23</v>
      </c>
      <c r="G219" s="18">
        <v>22165.599999999999</v>
      </c>
      <c r="H219" s="18">
        <v>13448</v>
      </c>
      <c r="I219" s="18">
        <v>12913.54</v>
      </c>
      <c r="J219" s="18">
        <v>0</v>
      </c>
      <c r="K219" s="18">
        <v>3367.5</v>
      </c>
      <c r="L219" s="13">
        <f>SUM(F219:K219)</f>
        <v>161112.87</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924412.85</v>
      </c>
      <c r="G221" s="18">
        <v>532246.61</v>
      </c>
      <c r="H221" s="18">
        <v>171034.66</v>
      </c>
      <c r="I221" s="18">
        <v>17928.3</v>
      </c>
      <c r="J221" s="18">
        <v>0</v>
      </c>
      <c r="K221" s="18">
        <v>0</v>
      </c>
      <c r="L221" s="13">
        <f t="shared" ref="L221:L227" si="2">SUM(F221:K221)</f>
        <v>1645622.42</v>
      </c>
      <c r="M221" s="8"/>
      <c r="N221" s="165"/>
    </row>
    <row r="222" spans="1:14" s="3" customFormat="1" ht="12.2" customHeight="1" x14ac:dyDescent="0.15">
      <c r="A222" s="1" t="s">
        <v>443</v>
      </c>
      <c r="B222" s="2" t="s">
        <v>346</v>
      </c>
      <c r="C222" s="2" t="s">
        <v>295</v>
      </c>
      <c r="D222" s="2" t="s">
        <v>431</v>
      </c>
      <c r="E222" s="6">
        <v>2200</v>
      </c>
      <c r="F222" s="18">
        <v>157173.89000000001</v>
      </c>
      <c r="G222" s="18">
        <v>118441.9</v>
      </c>
      <c r="H222" s="18">
        <v>0</v>
      </c>
      <c r="I222" s="18">
        <v>10505.3</v>
      </c>
      <c r="J222" s="18">
        <v>0</v>
      </c>
      <c r="K222" s="18">
        <v>0</v>
      </c>
      <c r="L222" s="13">
        <f t="shared" si="2"/>
        <v>286121.09000000003</v>
      </c>
      <c r="M222" s="8"/>
      <c r="N222" s="165"/>
    </row>
    <row r="223" spans="1:14" s="3" customFormat="1" ht="12.2" customHeight="1" x14ac:dyDescent="0.15">
      <c r="A223" s="1" t="s">
        <v>444</v>
      </c>
      <c r="B223" s="2" t="s">
        <v>346</v>
      </c>
      <c r="C223" s="2" t="s">
        <v>296</v>
      </c>
      <c r="D223" s="2" t="s">
        <v>431</v>
      </c>
      <c r="E223" s="6">
        <v>2300</v>
      </c>
      <c r="F223" s="18">
        <v>37109.79</v>
      </c>
      <c r="G223" s="18">
        <v>27234.21</v>
      </c>
      <c r="H223" s="18">
        <v>789933.53</v>
      </c>
      <c r="I223" s="18">
        <v>1721.46</v>
      </c>
      <c r="J223" s="18">
        <v>0</v>
      </c>
      <c r="K223" s="18">
        <v>2799.37</v>
      </c>
      <c r="L223" s="13">
        <f t="shared" si="2"/>
        <v>858798.36</v>
      </c>
      <c r="M223" s="8"/>
      <c r="N223" s="165"/>
    </row>
    <row r="224" spans="1:14" s="3" customFormat="1" ht="12.2" customHeight="1" x14ac:dyDescent="0.15">
      <c r="A224" s="1" t="s">
        <v>445</v>
      </c>
      <c r="B224" s="2" t="s">
        <v>346</v>
      </c>
      <c r="C224" s="2" t="s">
        <v>297</v>
      </c>
      <c r="D224" s="2" t="s">
        <v>431</v>
      </c>
      <c r="E224" s="6">
        <v>2400</v>
      </c>
      <c r="F224" s="18">
        <v>473627.08</v>
      </c>
      <c r="G224" s="18">
        <v>236083.14</v>
      </c>
      <c r="H224" s="18">
        <v>19226.28</v>
      </c>
      <c r="I224" s="18">
        <v>40500.15</v>
      </c>
      <c r="J224" s="18">
        <v>5938.9</v>
      </c>
      <c r="K224" s="18">
        <v>2714</v>
      </c>
      <c r="L224" s="13">
        <f t="shared" si="2"/>
        <v>778089.55</v>
      </c>
      <c r="M224" s="8"/>
      <c r="N224" s="165"/>
    </row>
    <row r="225" spans="1:14" s="3" customFormat="1" ht="12.2" customHeight="1" x14ac:dyDescent="0.15">
      <c r="A225" s="1" t="s">
        <v>446</v>
      </c>
      <c r="B225" s="2" t="s">
        <v>346</v>
      </c>
      <c r="C225" s="2" t="s">
        <v>298</v>
      </c>
      <c r="D225" s="2" t="s">
        <v>431</v>
      </c>
      <c r="E225" s="6">
        <v>2500</v>
      </c>
      <c r="F225" s="18">
        <v>0</v>
      </c>
      <c r="G225" s="18">
        <v>0</v>
      </c>
      <c r="H225" s="18">
        <v>14804.25</v>
      </c>
      <c r="I225" s="18">
        <v>0</v>
      </c>
      <c r="J225" s="18">
        <v>0</v>
      </c>
      <c r="K225" s="18">
        <v>0</v>
      </c>
      <c r="L225" s="13">
        <f t="shared" si="2"/>
        <v>14804.25</v>
      </c>
      <c r="M225" s="8"/>
      <c r="N225" s="165"/>
    </row>
    <row r="226" spans="1:14" s="3" customFormat="1" ht="12.2" customHeight="1" x14ac:dyDescent="0.15">
      <c r="A226" s="1" t="s">
        <v>447</v>
      </c>
      <c r="B226" s="2" t="s">
        <v>346</v>
      </c>
      <c r="C226" s="2" t="s">
        <v>299</v>
      </c>
      <c r="D226" s="2" t="s">
        <v>431</v>
      </c>
      <c r="E226" s="6">
        <v>2600</v>
      </c>
      <c r="F226" s="18">
        <f>248611.43-0.01</f>
        <v>248611.41999999998</v>
      </c>
      <c r="G226" s="18">
        <f>125149.99-0.01</f>
        <v>125149.98000000001</v>
      </c>
      <c r="H226" s="18">
        <f>263867.18-(2728.49+314)</f>
        <v>260824.69</v>
      </c>
      <c r="I226" s="18">
        <v>260696.97</v>
      </c>
      <c r="J226" s="18">
        <v>0</v>
      </c>
      <c r="K226" s="18">
        <v>0</v>
      </c>
      <c r="L226" s="13">
        <f t="shared" si="2"/>
        <v>895283.06</v>
      </c>
      <c r="M226" s="8"/>
      <c r="N226" s="165"/>
    </row>
    <row r="227" spans="1:14" s="3" customFormat="1" ht="12.2" customHeight="1" x14ac:dyDescent="0.15">
      <c r="A227" s="1" t="s">
        <v>448</v>
      </c>
      <c r="B227" s="2" t="s">
        <v>346</v>
      </c>
      <c r="C227" s="2" t="s">
        <v>300</v>
      </c>
      <c r="D227" s="2" t="s">
        <v>431</v>
      </c>
      <c r="E227" s="6">
        <v>2700</v>
      </c>
      <c r="F227" s="18">
        <v>0</v>
      </c>
      <c r="G227" s="18">
        <v>0</v>
      </c>
      <c r="H227" s="18">
        <v>325904.09999999998</v>
      </c>
      <c r="I227" s="18">
        <v>0</v>
      </c>
      <c r="J227" s="18">
        <v>0</v>
      </c>
      <c r="K227" s="18">
        <v>0</v>
      </c>
      <c r="L227" s="13">
        <f t="shared" si="2"/>
        <v>325904.09999999998</v>
      </c>
      <c r="M227" s="8"/>
      <c r="N227" s="165"/>
    </row>
    <row r="228" spans="1:14" s="3" customFormat="1" ht="12.2" customHeight="1" x14ac:dyDescent="0.15">
      <c r="A228" s="1" t="s">
        <v>449</v>
      </c>
      <c r="B228" s="2" t="s">
        <v>346</v>
      </c>
      <c r="C228" s="2" t="s">
        <v>343</v>
      </c>
      <c r="D228" s="2" t="s">
        <v>431</v>
      </c>
      <c r="E228" s="6">
        <v>2800</v>
      </c>
      <c r="F228" s="18">
        <v>126040</v>
      </c>
      <c r="G228" s="18">
        <v>65314.59</v>
      </c>
      <c r="H228" s="18">
        <v>19811.490000000002</v>
      </c>
      <c r="I228" s="18">
        <v>26065.05</v>
      </c>
      <c r="J228" s="18">
        <v>23.09</v>
      </c>
      <c r="K228" s="18">
        <v>0</v>
      </c>
      <c r="L228" s="13">
        <f>SUM(F228:K228)</f>
        <v>237254.21999999997</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7434436.3399999999</v>
      </c>
      <c r="G230" s="38">
        <f>SUM(G216:G229)</f>
        <v>4328650.04</v>
      </c>
      <c r="H230" s="38">
        <f>SUM(H216:H229)</f>
        <v>1723637.6199999999</v>
      </c>
      <c r="I230" s="38">
        <f>SUM(I216:I229)</f>
        <v>509847.27999999997</v>
      </c>
      <c r="J230" s="38">
        <f>SUM(J216:J229)</f>
        <v>37452.17</v>
      </c>
      <c r="K230" s="38">
        <f t="shared" si="3"/>
        <v>9515.869999999999</v>
      </c>
      <c r="L230" s="38">
        <f t="shared" si="3"/>
        <v>14043539.32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15431051.68</v>
      </c>
      <c r="G258" s="38">
        <f t="shared" si="8"/>
        <v>8808547.8399999999</v>
      </c>
      <c r="H258" s="38">
        <f t="shared" si="8"/>
        <v>3784634.3899999997</v>
      </c>
      <c r="I258" s="38">
        <f t="shared" si="8"/>
        <v>1031210.98</v>
      </c>
      <c r="J258" s="38">
        <f t="shared" si="8"/>
        <v>94620.04</v>
      </c>
      <c r="K258" s="38">
        <f t="shared" si="8"/>
        <v>16150.23</v>
      </c>
      <c r="L258" s="38">
        <f t="shared" si="8"/>
        <v>29166215.16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195000</v>
      </c>
      <c r="L261" s="13">
        <f>SUM(F261:K261)</f>
        <v>195000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40484.51</v>
      </c>
      <c r="L262" s="13">
        <f>SUM(F262:K262)</f>
        <v>40484.51</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650000</v>
      </c>
      <c r="L267" s="13">
        <f t="shared" si="9"/>
        <v>650000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885484.51</v>
      </c>
      <c r="L271" s="38">
        <f t="shared" si="9"/>
        <v>885484.51</v>
      </c>
      <c r="M271" s="8"/>
      <c r="N271" s="165"/>
    </row>
    <row r="272" spans="1:14" s="33" customFormat="1" ht="12.2" customHeight="1" thickTop="1" x14ac:dyDescent="0.2">
      <c r="A272" s="40" t="s">
        <v>464</v>
      </c>
      <c r="B272" s="37">
        <v>10</v>
      </c>
      <c r="C272" s="37">
        <v>18</v>
      </c>
      <c r="D272" s="36" t="s">
        <v>431</v>
      </c>
      <c r="E272" s="37"/>
      <c r="F272" s="39">
        <f t="shared" ref="F272:L272" si="11">F258+F271</f>
        <v>15431051.68</v>
      </c>
      <c r="G272" s="39">
        <f t="shared" si="11"/>
        <v>8808547.8399999999</v>
      </c>
      <c r="H272" s="39">
        <f t="shared" si="11"/>
        <v>3784634.3899999997</v>
      </c>
      <c r="I272" s="39">
        <f t="shared" si="11"/>
        <v>1031210.98</v>
      </c>
      <c r="J272" s="39">
        <f t="shared" si="11"/>
        <v>94620.04</v>
      </c>
      <c r="K272" s="39">
        <f t="shared" si="11"/>
        <v>901634.74</v>
      </c>
      <c r="L272" s="39">
        <f t="shared" si="11"/>
        <v>30051699.670000002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0</v>
      </c>
      <c r="G277" s="18">
        <v>0</v>
      </c>
      <c r="H277" s="18">
        <v>300</v>
      </c>
      <c r="I277" s="18">
        <f>9021.41+462.14</f>
        <v>9483.5499999999993</v>
      </c>
      <c r="J277" s="18">
        <v>0</v>
      </c>
      <c r="K277" s="18">
        <v>0</v>
      </c>
      <c r="L277" s="13">
        <f>SUM(F277:K277)</f>
        <v>9783.5499999999993</v>
      </c>
      <c r="M277" s="8"/>
      <c r="N277" s="165"/>
    </row>
    <row r="278" spans="1:14" s="3" customFormat="1" ht="12.2" customHeight="1" x14ac:dyDescent="0.15">
      <c r="A278" s="1" t="s">
        <v>439</v>
      </c>
      <c r="B278" s="2" t="s">
        <v>357</v>
      </c>
      <c r="C278" s="2" t="s">
        <v>291</v>
      </c>
      <c r="D278" s="2" t="s">
        <v>431</v>
      </c>
      <c r="E278" s="6">
        <v>1200</v>
      </c>
      <c r="F278" s="18">
        <v>67891.72</v>
      </c>
      <c r="G278" s="18">
        <v>42523.91</v>
      </c>
      <c r="H278" s="18">
        <v>0</v>
      </c>
      <c r="I278" s="18">
        <f>16668.12</f>
        <v>16668.12</v>
      </c>
      <c r="J278" s="18">
        <v>0</v>
      </c>
      <c r="K278" s="18">
        <v>0</v>
      </c>
      <c r="L278" s="13">
        <f>SUM(F278:K278)</f>
        <v>127083.75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14651.8</v>
      </c>
      <c r="G280" s="18">
        <v>4147.93</v>
      </c>
      <c r="H280" s="18">
        <v>0</v>
      </c>
      <c r="I280" s="18">
        <v>0</v>
      </c>
      <c r="J280" s="18">
        <v>0</v>
      </c>
      <c r="K280" s="18">
        <v>0</v>
      </c>
      <c r="L280" s="13">
        <f>SUM(F280:K280)</f>
        <v>18799.73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f>91549.27+3040+2050.84</f>
        <v>96640.11</v>
      </c>
      <c r="I282" s="18">
        <v>2968.97</v>
      </c>
      <c r="J282" s="18">
        <v>0</v>
      </c>
      <c r="K282" s="18">
        <v>0</v>
      </c>
      <c r="L282" s="13">
        <f t="shared" ref="L282:L288" si="12">SUM(F282:K282)</f>
        <v>99609.08</v>
      </c>
      <c r="M282" s="8"/>
      <c r="N282" s="165"/>
    </row>
    <row r="283" spans="1:14" s="3" customFormat="1" ht="12.2" customHeight="1" x14ac:dyDescent="0.15">
      <c r="A283" s="1" t="s">
        <v>443</v>
      </c>
      <c r="B283" s="2" t="s">
        <v>357</v>
      </c>
      <c r="C283" s="2" t="s">
        <v>295</v>
      </c>
      <c r="D283" s="2" t="s">
        <v>431</v>
      </c>
      <c r="E283" s="6">
        <v>2200</v>
      </c>
      <c r="F283" s="18">
        <v>50150.400000000001</v>
      </c>
      <c r="G283" s="18">
        <v>14193.6</v>
      </c>
      <c r="H283" s="18">
        <v>7100</v>
      </c>
      <c r="I283" s="18">
        <v>2033.48</v>
      </c>
      <c r="J283" s="18">
        <v>0</v>
      </c>
      <c r="K283" s="18">
        <v>0</v>
      </c>
      <c r="L283" s="13">
        <f t="shared" si="12"/>
        <v>73477.48</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3099.86</v>
      </c>
      <c r="J285" s="18">
        <v>0</v>
      </c>
      <c r="K285" s="18">
        <v>0</v>
      </c>
      <c r="L285" s="13">
        <f t="shared" si="12"/>
        <v>3099.86</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7322</v>
      </c>
      <c r="J287" s="18">
        <v>0</v>
      </c>
      <c r="K287" s="18">
        <v>0</v>
      </c>
      <c r="L287" s="13">
        <f t="shared" si="12"/>
        <v>7322</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2832</v>
      </c>
      <c r="J289" s="18">
        <v>0</v>
      </c>
      <c r="K289" s="18">
        <v>0</v>
      </c>
      <c r="L289" s="13">
        <f>SUM(F289:K289)</f>
        <v>2832</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132693.92000000001</v>
      </c>
      <c r="G291" s="39">
        <f t="shared" si="13"/>
        <v>60865.440000000002</v>
      </c>
      <c r="H291" s="39">
        <f t="shared" si="13"/>
        <v>104040.11</v>
      </c>
      <c r="I291" s="39">
        <f t="shared" si="13"/>
        <v>44407.979999999996</v>
      </c>
      <c r="J291" s="39">
        <f t="shared" si="13"/>
        <v>0</v>
      </c>
      <c r="K291" s="39">
        <f t="shared" si="13"/>
        <v>0</v>
      </c>
      <c r="L291" s="38">
        <f t="shared" si="13"/>
        <v>342007.44999999995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18979.86</v>
      </c>
      <c r="J296" s="18">
        <v>0</v>
      </c>
      <c r="K296" s="18">
        <v>1927.22</v>
      </c>
      <c r="L296" s="13">
        <f>SUM(F296:K296)</f>
        <v>20907.080000000002</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11440</v>
      </c>
      <c r="G299" s="18">
        <v>3279.85</v>
      </c>
      <c r="H299" s="18">
        <v>0</v>
      </c>
      <c r="I299" s="18">
        <v>0</v>
      </c>
      <c r="J299" s="18">
        <v>0</v>
      </c>
      <c r="K299" s="18">
        <v>0</v>
      </c>
      <c r="L299" s="13">
        <f>SUM(F299:K299)</f>
        <v>14719.85</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1570</v>
      </c>
      <c r="I301" s="18">
        <v>0</v>
      </c>
      <c r="J301" s="18">
        <v>0</v>
      </c>
      <c r="K301" s="18">
        <v>0</v>
      </c>
      <c r="L301" s="13">
        <f t="shared" ref="L301:L307" si="14">SUM(F301:K301)</f>
        <v>1570</v>
      </c>
      <c r="M301" s="8"/>
      <c r="N301" s="165"/>
    </row>
    <row r="302" spans="1:14" s="3" customFormat="1" ht="12.2" customHeight="1" x14ac:dyDescent="0.15">
      <c r="A302" s="1" t="s">
        <v>443</v>
      </c>
      <c r="B302" s="2" t="s">
        <v>358</v>
      </c>
      <c r="C302" s="2" t="s">
        <v>295</v>
      </c>
      <c r="D302" s="2" t="s">
        <v>431</v>
      </c>
      <c r="E302" s="6">
        <v>2200</v>
      </c>
      <c r="F302" s="18">
        <v>15450.97</v>
      </c>
      <c r="G302" s="18">
        <v>4266.9399999999996</v>
      </c>
      <c r="H302" s="18">
        <v>9220</v>
      </c>
      <c r="I302" s="18">
        <v>1928.07</v>
      </c>
      <c r="J302" s="18">
        <v>2498.9499999999998</v>
      </c>
      <c r="K302" s="18">
        <v>0</v>
      </c>
      <c r="L302" s="13">
        <f t="shared" si="14"/>
        <v>33364.93</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4947.5</v>
      </c>
      <c r="J304" s="18">
        <v>0</v>
      </c>
      <c r="K304" s="18">
        <v>0</v>
      </c>
      <c r="L304" s="13">
        <f t="shared" si="14"/>
        <v>4947.5</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2832</v>
      </c>
      <c r="J308" s="18">
        <v>0</v>
      </c>
      <c r="K308" s="18">
        <v>0</v>
      </c>
      <c r="L308" s="13">
        <f>SUM(F308:K308)</f>
        <v>2832</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26890.97</v>
      </c>
      <c r="G310" s="39">
        <f t="shared" si="15"/>
        <v>7546.7899999999991</v>
      </c>
      <c r="H310" s="39">
        <f t="shared" si="15"/>
        <v>10790</v>
      </c>
      <c r="I310" s="39">
        <f t="shared" si="15"/>
        <v>28687.43</v>
      </c>
      <c r="J310" s="39">
        <f t="shared" si="15"/>
        <v>2498.9499999999998</v>
      </c>
      <c r="K310" s="39">
        <f t="shared" si="15"/>
        <v>1927.22</v>
      </c>
      <c r="L310" s="38">
        <f t="shared" si="15"/>
        <v>78341.36</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159584.89000000001</v>
      </c>
      <c r="G339" s="38">
        <f t="shared" si="20"/>
        <v>68412.23</v>
      </c>
      <c r="H339" s="38">
        <f t="shared" si="20"/>
        <v>114830.11</v>
      </c>
      <c r="I339" s="38">
        <f t="shared" si="20"/>
        <v>73095.41</v>
      </c>
      <c r="J339" s="38">
        <f t="shared" si="20"/>
        <v>2498.9499999999998</v>
      </c>
      <c r="K339" s="38">
        <f t="shared" si="20"/>
        <v>1927.22</v>
      </c>
      <c r="L339" s="38">
        <f t="shared" si="20"/>
        <v>420348.80999999994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159584.89000000001</v>
      </c>
      <c r="G353" s="38">
        <f>G339</f>
        <v>68412.23</v>
      </c>
      <c r="H353" s="38">
        <f>H339</f>
        <v>114830.11</v>
      </c>
      <c r="I353" s="38">
        <f>I339</f>
        <v>73095.41</v>
      </c>
      <c r="J353" s="38">
        <f>J339</f>
        <v>2498.9499999999998</v>
      </c>
      <c r="K353" s="38">
        <f>K339+K352</f>
        <v>1927.22</v>
      </c>
      <c r="L353" s="38">
        <f>L339+L352</f>
        <v>420348.80999999994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85441.95</v>
      </c>
      <c r="G359" s="18">
        <v>38212.75</v>
      </c>
      <c r="H359" s="18">
        <v>33701.56</v>
      </c>
      <c r="I359" s="18">
        <v>151010.9</v>
      </c>
      <c r="J359" s="18">
        <v>10021.219999999999</v>
      </c>
      <c r="K359" s="18">
        <v>116.67</v>
      </c>
      <c r="L359" s="13">
        <f>SUM(F359:K359)</f>
        <v>318505.05</v>
      </c>
      <c r="M359" s="8"/>
      <c r="N359" s="165"/>
    </row>
    <row r="360" spans="1:22" s="3" customFormat="1" ht="12.2" customHeight="1" x14ac:dyDescent="0.15">
      <c r="A360" s="1" t="s">
        <v>542</v>
      </c>
      <c r="B360" s="2" t="s">
        <v>366</v>
      </c>
      <c r="C360" s="6">
        <v>2</v>
      </c>
      <c r="D360" s="2" t="s">
        <v>431</v>
      </c>
      <c r="E360" s="6"/>
      <c r="F360" s="18">
        <v>106165.47</v>
      </c>
      <c r="G360" s="18">
        <v>67931.08</v>
      </c>
      <c r="H360" s="18">
        <v>33748.5</v>
      </c>
      <c r="I360" s="18">
        <v>142315.74</v>
      </c>
      <c r="J360" s="18">
        <v>5025</v>
      </c>
      <c r="K360" s="18">
        <v>116.67</v>
      </c>
      <c r="L360" s="13">
        <f>SUM(F360:K360)</f>
        <v>355302.45999999996</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191607.41999999998</v>
      </c>
      <c r="G363" s="38">
        <f t="shared" si="22"/>
        <v>106143.83</v>
      </c>
      <c r="H363" s="38">
        <f t="shared" si="22"/>
        <v>67450.06</v>
      </c>
      <c r="I363" s="38">
        <f t="shared" si="22"/>
        <v>293326.64</v>
      </c>
      <c r="J363" s="38">
        <f t="shared" si="22"/>
        <v>15046.22</v>
      </c>
      <c r="K363" s="38">
        <f t="shared" si="22"/>
        <v>233.34</v>
      </c>
      <c r="L363" s="38">
        <f t="shared" si="22"/>
        <v>673807.51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140285.54</v>
      </c>
      <c r="G368" s="18">
        <v>132820.69</v>
      </c>
      <c r="H368" s="18"/>
      <c r="I368" s="13">
        <f>SUM(F368:H368)</f>
        <v>273106.23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10725.36</v>
      </c>
      <c r="G369" s="53">
        <v>9495.0499999999993</v>
      </c>
      <c r="H369" s="53"/>
      <c r="I369" s="13">
        <f>SUM(F369:H369)</f>
        <v>20220.41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151010.90000000002</v>
      </c>
      <c r="G370" s="38">
        <f>SUM(G368:G369)</f>
        <v>142315.74</v>
      </c>
      <c r="H370" s="38">
        <f>SUM(H368:H369)</f>
        <v>0</v>
      </c>
      <c r="I370" s="38">
        <f>SUM(I368:I369)</f>
        <v>293326.63999999996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650000</v>
      </c>
      <c r="H397" s="18">
        <v>34277.35</v>
      </c>
      <c r="I397" s="18"/>
      <c r="J397" s="23" t="s">
        <v>288</v>
      </c>
      <c r="K397" s="23" t="s">
        <v>288</v>
      </c>
      <c r="L397" s="13">
        <f t="shared" si="26"/>
        <v>684277.35</v>
      </c>
      <c r="M397" s="8"/>
      <c r="N397" s="165"/>
    </row>
    <row r="398" spans="1:14" s="3" customFormat="1" ht="12.2" customHeight="1" x14ac:dyDescent="0.15">
      <c r="A398" s="62" t="s">
        <v>515</v>
      </c>
      <c r="B398" s="2" t="s">
        <v>381</v>
      </c>
      <c r="C398" s="6">
        <v>10</v>
      </c>
      <c r="D398" s="2" t="s">
        <v>432</v>
      </c>
      <c r="E398" s="6"/>
      <c r="F398" s="18"/>
      <c r="G398" s="18"/>
      <c r="H398" s="18">
        <v>8438.8799999999992</v>
      </c>
      <c r="I398" s="18"/>
      <c r="J398" s="23" t="s">
        <v>288</v>
      </c>
      <c r="K398" s="23" t="s">
        <v>288</v>
      </c>
      <c r="L398" s="13">
        <f t="shared" si="26"/>
        <v>8438.8799999999992</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650000</v>
      </c>
      <c r="H402" s="38">
        <f>SUM(H396:H401)</f>
        <v>42716.229999999996</v>
      </c>
      <c r="I402" s="38">
        <f>SUM(I396:I401)</f>
        <v>0</v>
      </c>
      <c r="J402" s="42" t="s">
        <v>288</v>
      </c>
      <c r="K402" s="42" t="s">
        <v>288</v>
      </c>
      <c r="L402" s="38">
        <f>SUM(L396:L401)</f>
        <v>692716.23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t="s">
        <v>1812</v>
      </c>
      <c r="B404" s="2" t="s">
        <v>381</v>
      </c>
      <c r="C404" s="6">
        <v>15</v>
      </c>
      <c r="D404" s="2" t="s">
        <v>432</v>
      </c>
      <c r="E404" s="6"/>
      <c r="F404" s="18"/>
      <c r="G404" s="18"/>
      <c r="H404" s="18"/>
      <c r="I404" s="18">
        <f>209615.9+25754.39</f>
        <v>235370.28999999998</v>
      </c>
      <c r="J404" s="23" t="s">
        <v>288</v>
      </c>
      <c r="K404" s="23" t="s">
        <v>288</v>
      </c>
      <c r="L404" s="13">
        <f>SUM(F404:K404)</f>
        <v>235370.28999999998</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235370.28999999998</v>
      </c>
      <c r="J408" s="45" t="s">
        <v>288</v>
      </c>
      <c r="K408" s="45" t="s">
        <v>288</v>
      </c>
      <c r="L408" s="38">
        <f>SUM(L404:L407)</f>
        <v>235370.28999999998</v>
      </c>
      <c r="M408" s="8"/>
      <c r="N408" s="165"/>
    </row>
    <row r="409" spans="1:21" s="3" customFormat="1" ht="12.2" customHeight="1" thickTop="1" x14ac:dyDescent="0.15">
      <c r="A409" s="61" t="s">
        <v>421</v>
      </c>
      <c r="B409" s="2" t="s">
        <v>381</v>
      </c>
      <c r="C409" s="6">
        <v>20</v>
      </c>
      <c r="D409" s="6"/>
      <c r="E409" s="37"/>
      <c r="F409" s="38">
        <f>F394+F402+F408</f>
        <v>0</v>
      </c>
      <c r="G409" s="38">
        <f>G394+G402+G408</f>
        <v>650000</v>
      </c>
      <c r="H409" s="38">
        <f>H394+H402+H408</f>
        <v>42716.229999999996</v>
      </c>
      <c r="I409" s="38">
        <f>I394+I402+I408</f>
        <v>235370.28999999998</v>
      </c>
      <c r="J409" s="23" t="s">
        <v>288</v>
      </c>
      <c r="K409" s="23" t="s">
        <v>288</v>
      </c>
      <c r="L409" s="38">
        <f>L394+L402+L408</f>
        <v>928086.52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f>5210+825+41761.28</f>
        <v>47796.28</v>
      </c>
      <c r="I423" s="18"/>
      <c r="J423" s="18"/>
      <c r="K423" s="18"/>
      <c r="L423" s="13">
        <f t="shared" si="29"/>
        <v>47796.28</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47796.28</v>
      </c>
      <c r="I428" s="38">
        <f t="shared" si="30"/>
        <v>0</v>
      </c>
      <c r="J428" s="38">
        <f t="shared" si="30"/>
        <v>0</v>
      </c>
      <c r="K428" s="38">
        <f t="shared" si="30"/>
        <v>0</v>
      </c>
      <c r="L428" s="38">
        <f t="shared" si="30"/>
        <v>47796.28</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t="s">
        <v>1812</v>
      </c>
      <c r="B430" s="6">
        <v>17</v>
      </c>
      <c r="C430" s="6">
        <v>15</v>
      </c>
      <c r="D430" s="2" t="s">
        <v>432</v>
      </c>
      <c r="E430" s="6"/>
      <c r="F430" s="18"/>
      <c r="G430" s="18"/>
      <c r="H430" s="18"/>
      <c r="I430" s="18"/>
      <c r="J430" s="18"/>
      <c r="K430" s="18">
        <f>225366.39+26179.71</f>
        <v>251546.1</v>
      </c>
      <c r="L430" s="13">
        <f>SUM(F430:K430)</f>
        <v>251546.1</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251546.1</v>
      </c>
      <c r="L434" s="38">
        <f t="shared" si="31"/>
        <v>251546.1</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47796.28</v>
      </c>
      <c r="I435" s="38">
        <f t="shared" si="32"/>
        <v>0</v>
      </c>
      <c r="J435" s="38">
        <f t="shared" si="32"/>
        <v>0</v>
      </c>
      <c r="K435" s="38">
        <f t="shared" si="32"/>
        <v>251546.1</v>
      </c>
      <c r="L435" s="38">
        <f t="shared" si="32"/>
        <v>299342.38</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f>53534.13+18507.82</f>
        <v>72041.95</v>
      </c>
      <c r="I440" s="13">
        <f t="shared" ref="I440:I446" si="33">SUM(F440:H440)</f>
        <v>72041.95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1774714.61</v>
      </c>
      <c r="H443" s="18">
        <v>416.4</v>
      </c>
      <c r="I443" s="13">
        <f t="shared" si="33"/>
        <v>1775131.01</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1774714.61</v>
      </c>
      <c r="H447" s="13">
        <f>SUM(H440:H446)</f>
        <v>72458.349999999991</v>
      </c>
      <c r="I447" s="13">
        <f>SUM(I440:I446)</f>
        <v>1847172.96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41761.279999999999</v>
      </c>
      <c r="H449" s="18"/>
      <c r="I449" s="13">
        <f>SUM(F449:H449)</f>
        <v>41761.279999999999</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f>180.94+19.95</f>
        <v>200.89</v>
      </c>
      <c r="I450" s="13">
        <f>SUM(F450:H450)</f>
        <v>200.89</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41761.279999999999</v>
      </c>
      <c r="H453" s="57">
        <f>SUM(H449:H452)</f>
        <v>200.89</v>
      </c>
      <c r="I453" s="57">
        <f>SUM(I449:I452)</f>
        <v>41962.17</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1088033.38+644919.95</f>
        <v>1732953.3299999998</v>
      </c>
      <c r="H460" s="18">
        <f>(69103.68-15750.49)+(19329.59-425.32)</f>
        <v>72257.459999999992</v>
      </c>
      <c r="I460" s="13">
        <f t="shared" si="34"/>
        <v>1805210.7899999998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1732953.3299999998</v>
      </c>
      <c r="H461" s="65">
        <f>SUM(H455:H460)</f>
        <v>72257.459999999992</v>
      </c>
      <c r="I461" s="65">
        <f>SUM(I455:I460)</f>
        <v>1805210.7899999998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1774714.6099999999</v>
      </c>
      <c r="H462" s="39">
        <f>H453+H461</f>
        <v>72458.349999999991</v>
      </c>
      <c r="I462" s="39">
        <f>I453+I461</f>
        <v>1847172.9599999997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1245637.96</v>
      </c>
      <c r="G466" s="18">
        <v>166040.07</v>
      </c>
      <c r="H466" s="18">
        <v>0</v>
      </c>
      <c r="I466" s="18">
        <v>0</v>
      </c>
      <c r="J466" s="18">
        <v>1081850</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30314202.309999999</v>
      </c>
      <c r="G469" s="18">
        <f t="shared" ref="G469:J469" si="35">G194</f>
        <v>705951.62999999989</v>
      </c>
      <c r="H469" s="18">
        <f t="shared" si="35"/>
        <v>420348.81000000006</v>
      </c>
      <c r="I469" s="18">
        <f t="shared" si="35"/>
        <v>0</v>
      </c>
      <c r="J469" s="18">
        <f t="shared" si="35"/>
        <v>928086.52</v>
      </c>
      <c r="K469" s="23" t="s">
        <v>288</v>
      </c>
      <c r="L469" s="23" t="s">
        <v>288</v>
      </c>
      <c r="N469" s="131"/>
    </row>
    <row r="470" spans="1:14" ht="12.2" customHeight="1" x14ac:dyDescent="0.2">
      <c r="A470" s="71" t="s">
        <v>611</v>
      </c>
      <c r="B470" s="22">
        <v>19</v>
      </c>
      <c r="C470" s="31">
        <v>3</v>
      </c>
      <c r="D470" s="2" t="s">
        <v>432</v>
      </c>
      <c r="E470" s="31"/>
      <c r="F470" s="18"/>
      <c r="G470" s="18"/>
      <c r="H470" s="18"/>
      <c r="I470" s="18"/>
      <c r="J470" s="18">
        <f>69103.68+19329.59</f>
        <v>88433.26999999999</v>
      </c>
      <c r="K470" s="23" t="s">
        <v>288</v>
      </c>
      <c r="L470" s="23" t="s">
        <v>288</v>
      </c>
      <c r="N470" s="131"/>
    </row>
    <row r="471" spans="1:14" ht="12.2" customHeight="1" x14ac:dyDescent="0.2">
      <c r="A471" s="32" t="s">
        <v>425</v>
      </c>
      <c r="B471" s="22">
        <v>19</v>
      </c>
      <c r="C471" s="31">
        <v>4</v>
      </c>
      <c r="D471" s="2" t="s">
        <v>432</v>
      </c>
      <c r="E471" s="31"/>
      <c r="F471" s="19">
        <f>SUM(F469:F470)</f>
        <v>30314202.309999999</v>
      </c>
      <c r="G471" s="19">
        <f>SUM(G469:G470)</f>
        <v>705951.62999999989</v>
      </c>
      <c r="H471" s="19">
        <f>SUM(H469:H470)</f>
        <v>420348.81000000006</v>
      </c>
      <c r="I471" s="19">
        <f>SUM(I469:I470)</f>
        <v>0</v>
      </c>
      <c r="J471" s="19">
        <f>SUM(J469:J470)</f>
        <v>1016519.79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30051699.670000002</v>
      </c>
      <c r="G473" s="18">
        <f>L363</f>
        <v>673807.51</v>
      </c>
      <c r="H473" s="18">
        <f>L353</f>
        <v>420348.80999999994</v>
      </c>
      <c r="I473" s="18"/>
      <c r="J473" s="18">
        <f>L435</f>
        <v>299342.38</v>
      </c>
      <c r="K473" s="23" t="s">
        <v>288</v>
      </c>
      <c r="L473" s="23" t="s">
        <v>288</v>
      </c>
      <c r="N473" s="131"/>
    </row>
    <row r="474" spans="1:14" ht="12.2" customHeight="1" x14ac:dyDescent="0.2">
      <c r="A474" s="71" t="s">
        <v>613</v>
      </c>
      <c r="B474" s="22">
        <v>19</v>
      </c>
      <c r="C474" s="31">
        <v>6</v>
      </c>
      <c r="D474" s="2" t="s">
        <v>432</v>
      </c>
      <c r="E474" s="31"/>
      <c r="F474" s="18"/>
      <c r="G474" s="18">
        <v>6183.38</v>
      </c>
      <c r="H474" s="18"/>
      <c r="I474" s="18"/>
      <c r="J474" s="18">
        <v>-6183.38</v>
      </c>
      <c r="K474" s="23" t="s">
        <v>288</v>
      </c>
      <c r="L474" s="23" t="s">
        <v>288</v>
      </c>
      <c r="N474" s="131"/>
    </row>
    <row r="475" spans="1:14" ht="12.2" customHeight="1" x14ac:dyDescent="0.2">
      <c r="A475" s="32" t="s">
        <v>426</v>
      </c>
      <c r="B475" s="22">
        <v>19</v>
      </c>
      <c r="C475" s="31">
        <v>7</v>
      </c>
      <c r="D475" s="2" t="s">
        <v>432</v>
      </c>
      <c r="E475" s="31"/>
      <c r="F475" s="19">
        <f>SUM(F473:F474)</f>
        <v>30051699.670000002</v>
      </c>
      <c r="G475" s="19">
        <f>SUM(G473:G474)</f>
        <v>679990.89</v>
      </c>
      <c r="H475" s="19">
        <f>SUM(H473:H474)</f>
        <v>420348.80999999994</v>
      </c>
      <c r="I475" s="19">
        <f>SUM(I473:I474)</f>
        <v>0</v>
      </c>
      <c r="J475" s="19">
        <f>SUM(J473:J474)</f>
        <v>293159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1508140.5999999978</v>
      </c>
      <c r="G477" s="19">
        <f>(G466+G471)- G475</f>
        <v>192000.80999999994</v>
      </c>
      <c r="H477" s="19">
        <f>(H466+H471)- H475</f>
        <v>0</v>
      </c>
      <c r="I477" s="19">
        <f>(I466+I471)- I475</f>
        <v>0</v>
      </c>
      <c r="J477" s="19">
        <f>(J466+J471)- J475</f>
        <v>1805210.79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1813</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1816</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1814</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1815</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3883620</v>
      </c>
      <c r="G494" s="18"/>
      <c r="H494" s="18"/>
      <c r="I494" s="18"/>
      <c r="J494" s="18"/>
      <c r="K494" s="23" t="s">
        <v>288</v>
      </c>
      <c r="L494" s="23" t="s">
        <v>288</v>
      </c>
      <c r="N494" s="131"/>
    </row>
    <row r="495" spans="1:14" ht="12.2" customHeight="1" x14ac:dyDescent="0.2">
      <c r="A495" s="21" t="s">
        <v>618</v>
      </c>
      <c r="B495" s="22">
        <v>20</v>
      </c>
      <c r="C495" s="22">
        <v>5</v>
      </c>
      <c r="D495" s="2" t="s">
        <v>432</v>
      </c>
      <c r="E495" s="22"/>
      <c r="F495" s="18">
        <v>4.24</v>
      </c>
      <c r="G495" s="18"/>
      <c r="H495" s="18"/>
      <c r="I495" s="18"/>
      <c r="J495" s="18"/>
      <c r="K495" s="23" t="s">
        <v>288</v>
      </c>
      <c r="L495" s="23" t="s">
        <v>288</v>
      </c>
      <c r="N495" s="131"/>
    </row>
    <row r="496" spans="1:14" ht="12.2" customHeight="1" x14ac:dyDescent="0.2">
      <c r="A496" s="21" t="s">
        <v>619</v>
      </c>
      <c r="B496" s="22">
        <v>20</v>
      </c>
      <c r="C496" s="22">
        <v>6</v>
      </c>
      <c r="D496" s="2" t="s">
        <v>432</v>
      </c>
      <c r="E496" s="22"/>
      <c r="F496" s="18">
        <f>1545000-195000</f>
        <v>1350000</v>
      </c>
      <c r="G496" s="18"/>
      <c r="H496" s="18"/>
      <c r="I496" s="18"/>
      <c r="J496" s="18"/>
      <c r="K496" s="19">
        <f>SUM(F496:J496)</f>
        <v>1350000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v>195000</v>
      </c>
      <c r="G498" s="18"/>
      <c r="H498" s="18"/>
      <c r="I498" s="18"/>
      <c r="J498" s="18"/>
      <c r="K498" s="19">
        <f t="shared" si="36"/>
        <v>195000</v>
      </c>
      <c r="L498" s="23" t="s">
        <v>288</v>
      </c>
      <c r="N498" s="131"/>
    </row>
    <row r="499" spans="1:14" ht="12.2" customHeight="1" x14ac:dyDescent="0.2">
      <c r="A499" s="144" t="s">
        <v>622</v>
      </c>
      <c r="B499" s="145">
        <v>20</v>
      </c>
      <c r="C499" s="145">
        <v>9</v>
      </c>
      <c r="D499" s="146" t="s">
        <v>432</v>
      </c>
      <c r="E499" s="145"/>
      <c r="F499" s="147">
        <f>F496-F498</f>
        <v>1155000</v>
      </c>
      <c r="G499" s="147"/>
      <c r="H499" s="147"/>
      <c r="I499" s="147"/>
      <c r="J499" s="147"/>
      <c r="K499" s="148">
        <f t="shared" si="36"/>
        <v>1155000</v>
      </c>
      <c r="L499" s="149" t="s">
        <v>288</v>
      </c>
      <c r="N499" s="131"/>
    </row>
    <row r="500" spans="1:14" ht="12.2" customHeight="1" thickBot="1" x14ac:dyDescent="0.25">
      <c r="A500" s="21" t="s">
        <v>623</v>
      </c>
      <c r="B500" s="22">
        <v>20</v>
      </c>
      <c r="C500" s="22">
        <v>10</v>
      </c>
      <c r="D500" s="2" t="s">
        <v>432</v>
      </c>
      <c r="E500" s="22"/>
      <c r="F500" s="18">
        <f>122815.41-40484.51</f>
        <v>82330.899999999994</v>
      </c>
      <c r="G500" s="18"/>
      <c r="H500" s="18"/>
      <c r="I500" s="18"/>
      <c r="J500" s="18"/>
      <c r="K500" s="19">
        <f t="shared" si="36"/>
        <v>82330.899999999994</v>
      </c>
      <c r="L500" s="23" t="s">
        <v>288</v>
      </c>
      <c r="N500" s="131"/>
    </row>
    <row r="501" spans="1:14" ht="12.2" customHeight="1" thickTop="1" x14ac:dyDescent="0.2">
      <c r="A501" s="97" t="s">
        <v>624</v>
      </c>
      <c r="B501" s="41">
        <v>20</v>
      </c>
      <c r="C501" s="41">
        <v>11</v>
      </c>
      <c r="D501" s="36" t="s">
        <v>432</v>
      </c>
      <c r="E501" s="41"/>
      <c r="F501" s="39">
        <f>SUM(F499:F500)</f>
        <v>1237330.8999999999</v>
      </c>
      <c r="G501" s="39">
        <f>SUM(G499:G500)</f>
        <v>0</v>
      </c>
      <c r="H501" s="39">
        <f>SUM(H499:H500)</f>
        <v>0</v>
      </c>
      <c r="I501" s="39">
        <f>SUM(I499:I500)</f>
        <v>0</v>
      </c>
      <c r="J501" s="39">
        <f>SUM(J499:J500)</f>
        <v>0</v>
      </c>
      <c r="K501" s="39">
        <f t="shared" si="36"/>
        <v>1237330.8999999999</v>
      </c>
      <c r="L501" s="42" t="s">
        <v>288</v>
      </c>
      <c r="N501" s="131"/>
    </row>
    <row r="502" spans="1:14" ht="12.2" customHeight="1" x14ac:dyDescent="0.2">
      <c r="A502" s="144" t="s">
        <v>651</v>
      </c>
      <c r="B502" s="145">
        <v>20</v>
      </c>
      <c r="C502" s="145">
        <v>12</v>
      </c>
      <c r="D502" s="146" t="s">
        <v>432</v>
      </c>
      <c r="E502" s="145"/>
      <c r="F502" s="147">
        <v>195000</v>
      </c>
      <c r="G502" s="147"/>
      <c r="H502" s="147"/>
      <c r="I502" s="147"/>
      <c r="J502" s="147"/>
      <c r="K502" s="148">
        <f t="shared" si="36"/>
        <v>195000</v>
      </c>
      <c r="L502" s="149" t="s">
        <v>288</v>
      </c>
      <c r="N502" s="131"/>
    </row>
    <row r="503" spans="1:14" ht="12.2" customHeight="1" thickBot="1" x14ac:dyDescent="0.25">
      <c r="A503" s="21" t="s">
        <v>625</v>
      </c>
      <c r="B503" s="22">
        <v>20</v>
      </c>
      <c r="C503" s="22">
        <v>13</v>
      </c>
      <c r="D503" s="2" t="s">
        <v>432</v>
      </c>
      <c r="E503" s="22"/>
      <c r="F503" s="18">
        <v>32198</v>
      </c>
      <c r="G503" s="18"/>
      <c r="H503" s="18"/>
      <c r="I503" s="18"/>
      <c r="J503" s="18"/>
      <c r="K503" s="19">
        <f t="shared" si="36"/>
        <v>32198</v>
      </c>
      <c r="L503" s="23" t="s">
        <v>288</v>
      </c>
      <c r="N503" s="131"/>
    </row>
    <row r="504" spans="1:14" ht="12.2" customHeight="1" thickTop="1" x14ac:dyDescent="0.2">
      <c r="A504" s="97" t="s">
        <v>626</v>
      </c>
      <c r="B504" s="41">
        <v>20</v>
      </c>
      <c r="C504" s="41">
        <v>14</v>
      </c>
      <c r="D504" s="36" t="s">
        <v>432</v>
      </c>
      <c r="E504" s="41"/>
      <c r="F504" s="39">
        <f>SUM(F502:F503)</f>
        <v>227198</v>
      </c>
      <c r="G504" s="39">
        <f>SUM(G502:G503)</f>
        <v>0</v>
      </c>
      <c r="H504" s="39">
        <f>SUM(H502:H503)</f>
        <v>0</v>
      </c>
      <c r="I504" s="39">
        <f>SUM(I502:I503)</f>
        <v>0</v>
      </c>
      <c r="J504" s="39">
        <f>SUM(J502:J503)</f>
        <v>0</v>
      </c>
      <c r="K504" s="39">
        <f t="shared" si="36"/>
        <v>227198</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1970877.41</v>
      </c>
      <c r="G522" s="18">
        <v>1204089.07</v>
      </c>
      <c r="H522" s="18">
        <v>291972.5</v>
      </c>
      <c r="I522" s="18">
        <f>30217.92+141.45</f>
        <v>30359.37</v>
      </c>
      <c r="J522" s="18">
        <v>0</v>
      </c>
      <c r="K522" s="18">
        <v>1132.99</v>
      </c>
      <c r="L522" s="69">
        <f>SUM(F522:K522)</f>
        <v>3498431.3400000003</v>
      </c>
      <c r="N522" s="131"/>
    </row>
    <row r="523" spans="1:14" ht="12.2" customHeight="1" x14ac:dyDescent="0.2">
      <c r="A523" s="21" t="s">
        <v>634</v>
      </c>
      <c r="B523" s="22">
        <v>21</v>
      </c>
      <c r="C523" s="22">
        <v>2</v>
      </c>
      <c r="D523" s="2" t="s">
        <v>432</v>
      </c>
      <c r="E523" s="22"/>
      <c r="F523" s="18">
        <v>1568363.95</v>
      </c>
      <c r="G523" s="18">
        <v>1012207.1</v>
      </c>
      <c r="H523" s="18">
        <v>104847.53</v>
      </c>
      <c r="I523" s="18">
        <v>14667.53</v>
      </c>
      <c r="J523" s="18">
        <v>0</v>
      </c>
      <c r="K523" s="18">
        <v>360</v>
      </c>
      <c r="L523" s="69">
        <f>SUM(F523:K523)</f>
        <v>2700446.1099999994</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3539241.36</v>
      </c>
      <c r="G525" s="81">
        <f t="shared" ref="G525:L525" si="37">SUM(G522:G524)</f>
        <v>2216296.17</v>
      </c>
      <c r="H525" s="81">
        <f t="shared" si="37"/>
        <v>396820.03</v>
      </c>
      <c r="I525" s="81">
        <f t="shared" si="37"/>
        <v>45026.9</v>
      </c>
      <c r="J525" s="81">
        <f t="shared" si="37"/>
        <v>0</v>
      </c>
      <c r="K525" s="81">
        <f t="shared" si="37"/>
        <v>1492.99</v>
      </c>
      <c r="L525" s="70">
        <f t="shared" si="37"/>
        <v>6198877.4499999993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796679.11</v>
      </c>
      <c r="G527" s="18">
        <v>502461.3</v>
      </c>
      <c r="H527" s="18">
        <v>249174.46</v>
      </c>
      <c r="I527" s="18">
        <v>5246.9</v>
      </c>
      <c r="J527" s="18">
        <v>0</v>
      </c>
      <c r="K527" s="18">
        <v>0</v>
      </c>
      <c r="L527" s="69">
        <f>SUM(F527:K527)</f>
        <v>1553561.7699999998</v>
      </c>
      <c r="M527" s="8"/>
      <c r="N527" s="165"/>
    </row>
    <row r="528" spans="1:14" s="3" customFormat="1" ht="12.2" customHeight="1" x14ac:dyDescent="0.15">
      <c r="A528" s="21" t="s">
        <v>634</v>
      </c>
      <c r="B528" s="22">
        <v>21</v>
      </c>
      <c r="C528" s="22">
        <v>6</v>
      </c>
      <c r="D528" s="2" t="s">
        <v>432</v>
      </c>
      <c r="E528" s="22"/>
      <c r="F528" s="18">
        <v>625520.29</v>
      </c>
      <c r="G528" s="18">
        <v>384035.48</v>
      </c>
      <c r="H528" s="18">
        <v>111109.43</v>
      </c>
      <c r="I528" s="18">
        <v>5287.24</v>
      </c>
      <c r="J528" s="18">
        <v>0</v>
      </c>
      <c r="K528" s="18">
        <v>0</v>
      </c>
      <c r="L528" s="69">
        <f>SUM(F528:K528)</f>
        <v>1125952.44</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1422199.4</v>
      </c>
      <c r="G530" s="70">
        <f t="shared" ref="G530:L530" si="38">SUM(G527:G529)</f>
        <v>886496.78</v>
      </c>
      <c r="H530" s="70">
        <f t="shared" si="38"/>
        <v>360283.89</v>
      </c>
      <c r="I530" s="70">
        <f t="shared" si="38"/>
        <v>10534.14</v>
      </c>
      <c r="J530" s="70">
        <f t="shared" si="38"/>
        <v>0</v>
      </c>
      <c r="K530" s="70">
        <f t="shared" si="38"/>
        <v>0</v>
      </c>
      <c r="L530" s="70">
        <f t="shared" si="38"/>
        <v>2679514.21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35570.080000000002</v>
      </c>
      <c r="G532" s="18">
        <v>9598.24</v>
      </c>
      <c r="H532" s="18">
        <v>5355.93</v>
      </c>
      <c r="I532" s="18">
        <v>1529.81</v>
      </c>
      <c r="J532" s="18"/>
      <c r="K532" s="18"/>
      <c r="L532" s="69">
        <f>SUM(F532:K532)</f>
        <v>52054.06</v>
      </c>
      <c r="M532" s="8"/>
      <c r="N532" s="165"/>
    </row>
    <row r="533" spans="1:14" s="3" customFormat="1" ht="12.2" customHeight="1" x14ac:dyDescent="0.15">
      <c r="A533" s="21" t="s">
        <v>634</v>
      </c>
      <c r="B533" s="22">
        <v>21</v>
      </c>
      <c r="C533" s="22">
        <v>10</v>
      </c>
      <c r="D533" s="2" t="s">
        <v>432</v>
      </c>
      <c r="E533" s="22"/>
      <c r="F533" s="18">
        <v>30229.53</v>
      </c>
      <c r="G533" s="18">
        <v>26707.83</v>
      </c>
      <c r="H533" s="18">
        <v>9228.67</v>
      </c>
      <c r="I533" s="18">
        <v>1529.81</v>
      </c>
      <c r="J533" s="18"/>
      <c r="K533" s="18"/>
      <c r="L533" s="69">
        <f>SUM(F533:K533)</f>
        <v>67695.839999999997</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65799.61</v>
      </c>
      <c r="G535" s="70">
        <f t="shared" ref="G535:L535" si="39">SUM(G532:G534)</f>
        <v>36306.07</v>
      </c>
      <c r="H535" s="70">
        <f t="shared" si="39"/>
        <v>14584.6</v>
      </c>
      <c r="I535" s="70">
        <f t="shared" si="39"/>
        <v>3059.62</v>
      </c>
      <c r="J535" s="70">
        <f t="shared" si="39"/>
        <v>0</v>
      </c>
      <c r="K535" s="70">
        <f t="shared" si="39"/>
        <v>0</v>
      </c>
      <c r="L535" s="70">
        <f t="shared" si="39"/>
        <v>119749.9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3381.34</v>
      </c>
      <c r="I537" s="18"/>
      <c r="J537" s="18"/>
      <c r="K537" s="18"/>
      <c r="L537" s="69">
        <f>SUM(F537:K537)</f>
        <v>3381.34</v>
      </c>
      <c r="M537" s="8"/>
      <c r="N537" s="165"/>
    </row>
    <row r="538" spans="1:14" s="3" customFormat="1" ht="12.2" customHeight="1" x14ac:dyDescent="0.15">
      <c r="A538" s="21" t="s">
        <v>634</v>
      </c>
      <c r="B538" s="22">
        <v>21</v>
      </c>
      <c r="C538" s="22">
        <v>14</v>
      </c>
      <c r="D538" s="2" t="s">
        <v>432</v>
      </c>
      <c r="E538" s="22"/>
      <c r="F538" s="18"/>
      <c r="G538" s="18"/>
      <c r="H538" s="18">
        <v>687.34</v>
      </c>
      <c r="I538" s="18"/>
      <c r="J538" s="18"/>
      <c r="K538" s="18"/>
      <c r="L538" s="69">
        <f>SUM(F538:K538)</f>
        <v>687.34</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4068.6800000000003</v>
      </c>
      <c r="I540" s="70">
        <f t="shared" si="40"/>
        <v>0</v>
      </c>
      <c r="J540" s="70">
        <f t="shared" si="40"/>
        <v>0</v>
      </c>
      <c r="K540" s="70">
        <f t="shared" si="40"/>
        <v>0</v>
      </c>
      <c r="L540" s="70">
        <f t="shared" si="40"/>
        <v>4068.6800000000003</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151809.25</v>
      </c>
      <c r="I542" s="18"/>
      <c r="J542" s="18"/>
      <c r="K542" s="18"/>
      <c r="L542" s="69">
        <f>SUM(F542:K542)</f>
        <v>151809.25</v>
      </c>
      <c r="M542" s="8"/>
      <c r="N542" s="165"/>
    </row>
    <row r="543" spans="1:14" s="3" customFormat="1" ht="12.2" customHeight="1" x14ac:dyDescent="0.15">
      <c r="A543" s="21" t="s">
        <v>634</v>
      </c>
      <c r="B543" s="22">
        <v>21</v>
      </c>
      <c r="C543" s="22">
        <v>18</v>
      </c>
      <c r="D543" s="2" t="s">
        <v>432</v>
      </c>
      <c r="E543" s="22"/>
      <c r="F543" s="18"/>
      <c r="G543" s="18"/>
      <c r="H543" s="18">
        <v>94659.53</v>
      </c>
      <c r="I543" s="18"/>
      <c r="J543" s="18"/>
      <c r="K543" s="18"/>
      <c r="L543" s="69">
        <f>SUM(F543:K543)</f>
        <v>94659.53</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246468.78</v>
      </c>
      <c r="I545" s="141">
        <f t="shared" si="41"/>
        <v>0</v>
      </c>
      <c r="J545" s="141">
        <f t="shared" si="41"/>
        <v>0</v>
      </c>
      <c r="K545" s="141">
        <f t="shared" si="41"/>
        <v>0</v>
      </c>
      <c r="L545" s="141">
        <f t="shared" si="41"/>
        <v>246468.78</v>
      </c>
      <c r="M545" s="8"/>
      <c r="N545" s="165"/>
    </row>
    <row r="546" spans="1:14" s="3" customFormat="1" ht="12.2" customHeight="1" thickTop="1" x14ac:dyDescent="0.15">
      <c r="A546" s="75" t="s">
        <v>72</v>
      </c>
      <c r="B546" s="41">
        <v>21</v>
      </c>
      <c r="C546" s="41">
        <v>21</v>
      </c>
      <c r="D546" s="115" t="s">
        <v>432</v>
      </c>
      <c r="E546" s="41"/>
      <c r="F546" s="70">
        <f>F525+F530+F535+F540+F545</f>
        <v>5027240.37</v>
      </c>
      <c r="G546" s="70">
        <f t="shared" ref="G546:L546" si="42">G525+G530+G535+G540+G545</f>
        <v>3139099.02</v>
      </c>
      <c r="H546" s="70">
        <f t="shared" si="42"/>
        <v>1022225.9800000001</v>
      </c>
      <c r="I546" s="70">
        <f t="shared" si="42"/>
        <v>58620.66</v>
      </c>
      <c r="J546" s="70">
        <f t="shared" si="42"/>
        <v>0</v>
      </c>
      <c r="K546" s="70">
        <f t="shared" si="42"/>
        <v>1492.99</v>
      </c>
      <c r="L546" s="70">
        <f t="shared" si="42"/>
        <v>9248679.0199999996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3498431.3400000003</v>
      </c>
      <c r="G550" s="69">
        <f>L527</f>
        <v>1553561.7699999998</v>
      </c>
      <c r="H550" s="69">
        <f>L532</f>
        <v>52054.06</v>
      </c>
      <c r="I550" s="69">
        <f>L537</f>
        <v>3381.34</v>
      </c>
      <c r="J550" s="69">
        <f>L542</f>
        <v>151809.25</v>
      </c>
      <c r="K550" s="69">
        <f>SUM(F550:J550)</f>
        <v>5259237.76</v>
      </c>
      <c r="L550" s="23" t="s">
        <v>288</v>
      </c>
      <c r="M550" s="8"/>
      <c r="N550" s="165"/>
    </row>
    <row r="551" spans="1:14" s="3" customFormat="1" ht="12.2" customHeight="1" x14ac:dyDescent="0.15">
      <c r="A551" s="21" t="s">
        <v>634</v>
      </c>
      <c r="B551" s="22">
        <v>21</v>
      </c>
      <c r="C551" s="22">
        <v>23</v>
      </c>
      <c r="D551" s="2" t="s">
        <v>432</v>
      </c>
      <c r="E551" s="22"/>
      <c r="F551" s="69">
        <f>L523</f>
        <v>2700446.1099999994</v>
      </c>
      <c r="G551" s="69">
        <f>L528</f>
        <v>1125952.44</v>
      </c>
      <c r="H551" s="69">
        <f>L533</f>
        <v>67695.839999999997</v>
      </c>
      <c r="I551" s="69">
        <f>L538</f>
        <v>687.34</v>
      </c>
      <c r="J551" s="69">
        <f>L543</f>
        <v>94659.53</v>
      </c>
      <c r="K551" s="69">
        <f>SUM(F551:J551)</f>
        <v>3989441.2599999988</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6198877.4499999993</v>
      </c>
      <c r="G553" s="70">
        <f t="shared" si="43"/>
        <v>2679514.21</v>
      </c>
      <c r="H553" s="70">
        <f t="shared" si="43"/>
        <v>119749.9</v>
      </c>
      <c r="I553" s="70">
        <f t="shared" si="43"/>
        <v>4068.6800000000003</v>
      </c>
      <c r="J553" s="70">
        <f t="shared" si="43"/>
        <v>246468.78</v>
      </c>
      <c r="K553" s="70">
        <f t="shared" si="43"/>
        <v>9248679.0199999996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33075.01</v>
      </c>
      <c r="G563" s="18">
        <v>21255.84</v>
      </c>
      <c r="H563" s="18">
        <v>374.49</v>
      </c>
      <c r="I563" s="18">
        <v>301.14</v>
      </c>
      <c r="J563" s="18">
        <v>0</v>
      </c>
      <c r="K563" s="18">
        <v>0</v>
      </c>
      <c r="L563" s="69">
        <f>SUM(F563:K563)</f>
        <v>55006.48</v>
      </c>
      <c r="M563" s="8"/>
      <c r="N563" s="165"/>
    </row>
    <row r="564" spans="1:14" s="3" customFormat="1" ht="12.2" customHeight="1" x14ac:dyDescent="0.15">
      <c r="A564" s="21" t="s">
        <v>634</v>
      </c>
      <c r="B564" s="22">
        <v>22</v>
      </c>
      <c r="C564" s="22">
        <v>6</v>
      </c>
      <c r="D564" s="2" t="s">
        <v>432</v>
      </c>
      <c r="E564" s="22"/>
      <c r="F564" s="18">
        <v>40424.99</v>
      </c>
      <c r="G564" s="18">
        <v>26128.33</v>
      </c>
      <c r="H564" s="18">
        <v>313.32</v>
      </c>
      <c r="I564" s="18">
        <v>0</v>
      </c>
      <c r="J564" s="18">
        <v>0</v>
      </c>
      <c r="K564" s="18">
        <v>0</v>
      </c>
      <c r="L564" s="69">
        <f>SUM(F564:K564)</f>
        <v>66866.640000000014</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73500</v>
      </c>
      <c r="G566" s="70">
        <f t="shared" si="45"/>
        <v>47384.17</v>
      </c>
      <c r="H566" s="70">
        <f t="shared" si="45"/>
        <v>687.81</v>
      </c>
      <c r="I566" s="70">
        <f t="shared" si="45"/>
        <v>301.14</v>
      </c>
      <c r="J566" s="70">
        <f t="shared" si="45"/>
        <v>0</v>
      </c>
      <c r="K566" s="70">
        <f t="shared" si="45"/>
        <v>0</v>
      </c>
      <c r="L566" s="70">
        <f t="shared" si="45"/>
        <v>121873.12000000002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73500</v>
      </c>
      <c r="G572" s="70">
        <f t="shared" ref="G572:L572" si="47">G561+G566+G571</f>
        <v>47384.17</v>
      </c>
      <c r="H572" s="70">
        <f t="shared" si="47"/>
        <v>687.81</v>
      </c>
      <c r="I572" s="70">
        <f t="shared" si="47"/>
        <v>301.14</v>
      </c>
      <c r="J572" s="70">
        <f t="shared" si="47"/>
        <v>0</v>
      </c>
      <c r="K572" s="70">
        <f t="shared" si="47"/>
        <v>0</v>
      </c>
      <c r="L572" s="70">
        <f t="shared" si="47"/>
        <v>121873.12000000002</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c r="I580" s="69">
        <f t="shared" si="48"/>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289490.90000000002</v>
      </c>
      <c r="G583" s="18">
        <v>72204.88</v>
      </c>
      <c r="H583" s="18"/>
      <c r="I583" s="69">
        <f t="shared" si="48"/>
        <v>361695.78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395612.15999999997</v>
      </c>
      <c r="I592" s="18">
        <v>218220.4</v>
      </c>
      <c r="J592" s="18"/>
      <c r="K592" s="80">
        <f t="shared" ref="K592:K598" si="49">SUM(H592:J592)</f>
        <v>613832.55999999994</v>
      </c>
      <c r="L592" s="23" t="s">
        <v>288</v>
      </c>
      <c r="M592" s="8"/>
      <c r="N592" s="165"/>
    </row>
    <row r="593" spans="1:14" s="3" customFormat="1" ht="12.2" customHeight="1" x14ac:dyDescent="0.15">
      <c r="A593" s="3" t="s">
        <v>638</v>
      </c>
      <c r="B593" s="22">
        <v>23</v>
      </c>
      <c r="C593" s="22">
        <v>2</v>
      </c>
      <c r="D593" s="2" t="s">
        <v>432</v>
      </c>
      <c r="E593" s="22"/>
      <c r="F593" s="78">
        <v>2722</v>
      </c>
      <c r="G593" s="79" t="s">
        <v>97</v>
      </c>
      <c r="H593" s="18">
        <v>151809.25</v>
      </c>
      <c r="I593" s="18">
        <v>94659.53</v>
      </c>
      <c r="J593" s="18"/>
      <c r="K593" s="80">
        <f t="shared" si="49"/>
        <v>246468.78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12866.97</v>
      </c>
      <c r="J595" s="18"/>
      <c r="K595" s="80">
        <f t="shared" si="49"/>
        <v>12866.97</v>
      </c>
      <c r="L595" s="23" t="s">
        <v>288</v>
      </c>
      <c r="M595" s="8"/>
      <c r="N595" s="165"/>
    </row>
    <row r="596" spans="1:14" s="3" customFormat="1" ht="12.2" customHeight="1" x14ac:dyDescent="0.15">
      <c r="A596" s="103" t="s">
        <v>652</v>
      </c>
      <c r="B596" s="22">
        <v>23</v>
      </c>
      <c r="C596" s="22">
        <v>5</v>
      </c>
      <c r="D596" s="2" t="s">
        <v>432</v>
      </c>
      <c r="E596" s="22"/>
      <c r="F596" s="78">
        <v>2725</v>
      </c>
      <c r="G596" s="79" t="s">
        <v>97</v>
      </c>
      <c r="H596" s="18">
        <v>859.46</v>
      </c>
      <c r="I596" s="18">
        <v>157.19999999999999</v>
      </c>
      <c r="J596" s="18"/>
      <c r="K596" s="80">
        <f t="shared" si="49"/>
        <v>1016.6600000000001</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548280.86999999988</v>
      </c>
      <c r="I599" s="81">
        <f>SUM(I592:I598)</f>
        <v>325904.09999999998</v>
      </c>
      <c r="J599" s="81">
        <f>SUM(J592:J598)</f>
        <v>0</v>
      </c>
      <c r="K599" s="81">
        <f>SUM(K592:K598)</f>
        <v>874184.97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57167.87</v>
      </c>
      <c r="I605" s="18">
        <v>39951.120000000003</v>
      </c>
      <c r="J605" s="18"/>
      <c r="K605" s="80">
        <f>SUM(H605:J605)</f>
        <v>97118.99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57167.87</v>
      </c>
      <c r="I606" s="81">
        <f>SUM(I603:I605)</f>
        <v>39951.120000000003</v>
      </c>
      <c r="J606" s="81">
        <f>SUM(J603:J605)</f>
        <v>0</v>
      </c>
      <c r="K606" s="81">
        <f>SUM(K603:K605)</f>
        <v>97118.99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14651.8</v>
      </c>
      <c r="G612" s="18">
        <v>4152.3599999999997</v>
      </c>
      <c r="H612" s="18">
        <v>0</v>
      </c>
      <c r="I612" s="18">
        <v>0</v>
      </c>
      <c r="J612" s="18">
        <v>0</v>
      </c>
      <c r="K612" s="18">
        <v>0</v>
      </c>
      <c r="L612" s="69">
        <f>SUM(F612:K612)</f>
        <v>18804.16</v>
      </c>
      <c r="M612" s="8"/>
      <c r="N612" s="165"/>
    </row>
    <row r="613" spans="1:14" s="3" customFormat="1" ht="12.2" customHeight="1" x14ac:dyDescent="0.15">
      <c r="A613" s="21" t="s">
        <v>634</v>
      </c>
      <c r="B613" s="22">
        <v>23</v>
      </c>
      <c r="C613" s="22">
        <v>14</v>
      </c>
      <c r="D613" s="2" t="s">
        <v>432</v>
      </c>
      <c r="E613" s="22"/>
      <c r="F613" s="18">
        <v>16665.490000000002</v>
      </c>
      <c r="G613" s="18">
        <v>4795.55</v>
      </c>
      <c r="H613" s="18">
        <v>0</v>
      </c>
      <c r="I613" s="18">
        <v>0</v>
      </c>
      <c r="J613" s="18">
        <v>0</v>
      </c>
      <c r="K613" s="18">
        <v>0</v>
      </c>
      <c r="L613" s="69">
        <f>SUM(F613:K613)</f>
        <v>21461.040000000001</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31317.29</v>
      </c>
      <c r="G615" s="81">
        <f t="shared" si="50"/>
        <v>8947.91</v>
      </c>
      <c r="H615" s="81">
        <f t="shared" si="50"/>
        <v>0</v>
      </c>
      <c r="I615" s="81">
        <f t="shared" si="50"/>
        <v>0</v>
      </c>
      <c r="J615" s="81">
        <f t="shared" si="50"/>
        <v>0</v>
      </c>
      <c r="K615" s="81">
        <f t="shared" si="50"/>
        <v>0</v>
      </c>
      <c r="L615" s="70">
        <f t="shared" si="50"/>
        <v>40265.199999999997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2059645.43</v>
      </c>
      <c r="H618" s="80">
        <f>SUM(F52)</f>
        <v>2059645.4300000002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332154.61</v>
      </c>
      <c r="H619" s="80">
        <f>SUM(G52)</f>
        <v>332154.61</v>
      </c>
      <c r="I619" s="87" t="s">
        <v>875</v>
      </c>
      <c r="J619" s="80">
        <f>G619-H619</f>
        <v>0</v>
      </c>
      <c r="K619" s="80"/>
      <c r="L619" s="80"/>
      <c r="M619" s="8"/>
    </row>
    <row r="620" spans="1:14" s="3" customFormat="1" ht="12.2" customHeight="1" x14ac:dyDescent="0.15">
      <c r="A620" s="74"/>
      <c r="B620" s="22"/>
      <c r="C620" s="22"/>
      <c r="D620" s="22"/>
      <c r="E620" s="22"/>
      <c r="F620" s="87" t="s">
        <v>685</v>
      </c>
      <c r="G620" s="80">
        <f>SUM(H19)</f>
        <v>82687.340000000011</v>
      </c>
      <c r="H620" s="80">
        <f>SUM(H52)</f>
        <v>82687.34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1847172.96</v>
      </c>
      <c r="H622" s="80">
        <f>SUM(J52)</f>
        <v>1847172.9599999997</v>
      </c>
      <c r="I622" s="87" t="s">
        <v>878</v>
      </c>
      <c r="J622" s="80">
        <f>G622-H622</f>
        <v>0</v>
      </c>
      <c r="K622" s="80"/>
      <c r="L622" s="80"/>
      <c r="M622" s="8"/>
    </row>
    <row r="623" spans="1:14" s="3" customFormat="1" ht="12.2" customHeight="1" x14ac:dyDescent="0.15">
      <c r="A623" s="74"/>
      <c r="B623" s="22"/>
      <c r="C623" s="22"/>
      <c r="D623" s="22"/>
      <c r="E623" s="22"/>
      <c r="F623" s="87" t="s">
        <v>864</v>
      </c>
      <c r="G623" s="80">
        <f>F51</f>
        <v>1508140.6</v>
      </c>
      <c r="H623" s="80">
        <f>F477</f>
        <v>1508140.5999999978</v>
      </c>
      <c r="I623" s="87" t="s">
        <v>101</v>
      </c>
      <c r="J623" s="80">
        <f t="shared" ref="J623:J656" si="51">G623-H623</f>
        <v>2.3283064365386963E-9</v>
      </c>
      <c r="K623" s="80"/>
      <c r="L623" s="80"/>
      <c r="M623" s="8"/>
    </row>
    <row r="624" spans="1:14" s="3" customFormat="1" ht="12.2" customHeight="1" x14ac:dyDescent="0.15">
      <c r="A624" s="74"/>
      <c r="B624" s="22"/>
      <c r="C624" s="85"/>
      <c r="D624" s="85"/>
      <c r="E624" s="85"/>
      <c r="F624" s="85" t="s">
        <v>865</v>
      </c>
      <c r="G624" s="80">
        <f>G51</f>
        <v>192000.81</v>
      </c>
      <c r="H624" s="80">
        <f>G477</f>
        <v>192000.80999999994</v>
      </c>
      <c r="I624" s="87" t="s">
        <v>102</v>
      </c>
      <c r="J624" s="80">
        <f t="shared" si="51"/>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1805210.7899999998</v>
      </c>
      <c r="H627" s="80">
        <f>J477</f>
        <v>1805210.79</v>
      </c>
      <c r="I627" s="87" t="s">
        <v>105</v>
      </c>
      <c r="J627" s="80">
        <f t="shared" si="51"/>
        <v>0</v>
      </c>
      <c r="K627" s="67"/>
      <c r="L627" s="69"/>
      <c r="M627" s="8"/>
    </row>
    <row r="628" spans="1:13" s="3" customFormat="1" ht="12.2" customHeight="1" x14ac:dyDescent="0.15">
      <c r="A628" s="21"/>
      <c r="B628" s="22"/>
      <c r="C628" s="22"/>
      <c r="D628" s="22"/>
      <c r="E628" s="22"/>
      <c r="F628" s="86" t="s">
        <v>658</v>
      </c>
      <c r="G628" s="80">
        <f>F194</f>
        <v>30314202.309999999</v>
      </c>
      <c r="H628" s="80">
        <f>SUM(F469)</f>
        <v>30314202.309999999</v>
      </c>
      <c r="I628" s="87" t="s">
        <v>106</v>
      </c>
      <c r="J628" s="80">
        <f>G628-H628</f>
        <v>0</v>
      </c>
      <c r="K628" s="67"/>
      <c r="L628" s="69"/>
      <c r="M628" s="8"/>
    </row>
    <row r="629" spans="1:13" s="3" customFormat="1" ht="12.2" customHeight="1" x14ac:dyDescent="0.15">
      <c r="A629" s="21"/>
      <c r="B629" s="22"/>
      <c r="C629" s="22"/>
      <c r="D629" s="22"/>
      <c r="E629" s="22"/>
      <c r="F629" s="86" t="s">
        <v>659</v>
      </c>
      <c r="G629" s="80">
        <f>G194</f>
        <v>705951.62999999989</v>
      </c>
      <c r="H629" s="80">
        <f>SUM(G469)</f>
        <v>705951.62999999989</v>
      </c>
      <c r="I629" s="87" t="s">
        <v>107</v>
      </c>
      <c r="J629" s="80">
        <f>G629-H629</f>
        <v>0</v>
      </c>
      <c r="K629" s="67"/>
      <c r="L629" s="69"/>
      <c r="M629" s="8"/>
    </row>
    <row r="630" spans="1:13" s="3" customFormat="1" ht="12.2" customHeight="1" x14ac:dyDescent="0.15">
      <c r="A630" s="21"/>
      <c r="B630" s="22"/>
      <c r="C630" s="22"/>
      <c r="D630" s="22"/>
      <c r="E630" s="22"/>
      <c r="F630" s="86" t="s">
        <v>660</v>
      </c>
      <c r="G630" s="80">
        <f>H194</f>
        <v>420348.81000000006</v>
      </c>
      <c r="H630" s="80">
        <f>SUM(H469)</f>
        <v>420348.81000000006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928086.52</v>
      </c>
      <c r="H632" s="80">
        <f>SUM(J469)</f>
        <v>928086.52</v>
      </c>
      <c r="I632" s="87" t="s">
        <v>110</v>
      </c>
      <c r="J632" s="80">
        <f>G632-H632</f>
        <v>0</v>
      </c>
      <c r="K632" s="67"/>
      <c r="L632" s="69"/>
      <c r="M632" s="8"/>
    </row>
    <row r="633" spans="1:13" s="3" customFormat="1" ht="12.2" customHeight="1" x14ac:dyDescent="0.15">
      <c r="A633" s="21"/>
      <c r="B633" s="22"/>
      <c r="C633" s="22"/>
      <c r="D633" s="22"/>
      <c r="E633" s="22"/>
      <c r="F633" s="86" t="s">
        <v>394</v>
      </c>
      <c r="G633" s="80">
        <f>SUM(L272)</f>
        <v>30051699.670000002</v>
      </c>
      <c r="H633" s="80">
        <f>SUM(F473)</f>
        <v>30051699.670000002</v>
      </c>
      <c r="I633" s="87" t="s">
        <v>111</v>
      </c>
      <c r="J633" s="80">
        <f t="shared" si="51"/>
        <v>0</v>
      </c>
      <c r="K633" s="67"/>
      <c r="L633" s="69"/>
      <c r="M633" s="8"/>
    </row>
    <row r="634" spans="1:13" s="3" customFormat="1" ht="12.2" customHeight="1" x14ac:dyDescent="0.15">
      <c r="A634" s="21"/>
      <c r="B634" s="22"/>
      <c r="C634" s="22"/>
      <c r="D634" s="22"/>
      <c r="E634" s="22"/>
      <c r="F634" s="86" t="s">
        <v>395</v>
      </c>
      <c r="G634" s="80">
        <f>SUM(L353)</f>
        <v>420348.80999999994</v>
      </c>
      <c r="H634" s="80">
        <f>SUM(H473)</f>
        <v>420348.80999999994</v>
      </c>
      <c r="I634" s="87" t="s">
        <v>112</v>
      </c>
      <c r="J634" s="80">
        <f>G634-H634</f>
        <v>0</v>
      </c>
      <c r="K634" s="67"/>
      <c r="L634" s="69"/>
      <c r="M634" s="8"/>
    </row>
    <row r="635" spans="1:13" s="124" customFormat="1" ht="12.2" customHeight="1" x14ac:dyDescent="0.15">
      <c r="A635" s="21"/>
      <c r="B635" s="22"/>
      <c r="C635" s="22"/>
      <c r="D635" s="22"/>
      <c r="E635" s="22"/>
      <c r="F635" s="99" t="s">
        <v>247</v>
      </c>
      <c r="G635" s="80">
        <f>I363</f>
        <v>293326.64</v>
      </c>
      <c r="H635" s="80">
        <f>I370</f>
        <v>293326.63999999996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673807.51</v>
      </c>
      <c r="H636" s="80">
        <f>SUM(G473)</f>
        <v>673807.51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928086.52</v>
      </c>
      <c r="H638" s="108">
        <f>SUM(J469)</f>
        <v>928086.52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299342.38</v>
      </c>
      <c r="H639" s="108">
        <f>SUM(J473)</f>
        <v>299342.38</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1"/>
        <v>0</v>
      </c>
      <c r="K640" s="67"/>
      <c r="L640" s="69"/>
      <c r="M640" s="8"/>
    </row>
    <row r="641" spans="1:13" s="3" customFormat="1" ht="12.2" customHeight="1" x14ac:dyDescent="0.15">
      <c r="A641" s="21"/>
      <c r="B641" s="22"/>
      <c r="C641" s="22"/>
      <c r="D641" s="22"/>
      <c r="E641" s="22"/>
      <c r="F641" s="86" t="s">
        <v>119</v>
      </c>
      <c r="G641" s="80">
        <f>SUM(G447)</f>
        <v>1774714.61</v>
      </c>
      <c r="H641" s="80">
        <f>SUM(G462)</f>
        <v>1774714.6099999999</v>
      </c>
      <c r="I641" s="87" t="s">
        <v>841</v>
      </c>
      <c r="J641" s="80">
        <f t="shared" si="51"/>
        <v>0</v>
      </c>
      <c r="K641" s="67"/>
      <c r="L641" s="69"/>
      <c r="M641" s="8"/>
    </row>
    <row r="642" spans="1:13" s="3" customFormat="1" ht="12.2" customHeight="1" x14ac:dyDescent="0.15">
      <c r="A642" s="21"/>
      <c r="B642" s="22"/>
      <c r="C642" s="22"/>
      <c r="D642" s="22"/>
      <c r="E642" s="22"/>
      <c r="F642" s="86" t="s">
        <v>120</v>
      </c>
      <c r="G642" s="80">
        <f>SUM(H447)</f>
        <v>72458.349999999991</v>
      </c>
      <c r="H642" s="80">
        <f>SUM(H462)</f>
        <v>72458.349999999991</v>
      </c>
      <c r="I642" s="87" t="s">
        <v>842</v>
      </c>
      <c r="J642" s="80">
        <f t="shared" si="51"/>
        <v>0</v>
      </c>
      <c r="K642" s="67"/>
      <c r="L642" s="69"/>
      <c r="M642" s="8"/>
    </row>
    <row r="643" spans="1:13" s="3" customFormat="1" ht="12.2" customHeight="1" x14ac:dyDescent="0.15">
      <c r="A643" s="21"/>
      <c r="B643" s="22"/>
      <c r="C643" s="22"/>
      <c r="D643" s="22"/>
      <c r="E643" s="22"/>
      <c r="F643" s="86" t="s">
        <v>121</v>
      </c>
      <c r="G643" s="80">
        <f>SUM(I447)</f>
        <v>1847172.96</v>
      </c>
      <c r="H643" s="80">
        <f>SUM(I462)</f>
        <v>1847172.9599999997</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42716.23</v>
      </c>
      <c r="H645" s="80">
        <f>H409</f>
        <v>42716.229999999996</v>
      </c>
      <c r="I645" s="87" t="s">
        <v>480</v>
      </c>
      <c r="J645" s="80">
        <f t="shared" si="51"/>
        <v>0</v>
      </c>
      <c r="K645" s="67"/>
      <c r="L645" s="69"/>
      <c r="M645" s="8"/>
    </row>
    <row r="646" spans="1:13" s="3" customFormat="1" ht="12.2" customHeight="1" x14ac:dyDescent="0.15">
      <c r="A646" s="21"/>
      <c r="B646" s="22"/>
      <c r="C646" s="22"/>
      <c r="D646" s="22"/>
      <c r="E646" s="22"/>
      <c r="F646" s="86" t="s">
        <v>664</v>
      </c>
      <c r="G646" s="80">
        <f>J184</f>
        <v>650000</v>
      </c>
      <c r="H646" s="80">
        <f>G409</f>
        <v>650000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928086.52</v>
      </c>
      <c r="H647" s="80">
        <f>L409</f>
        <v>928086.52</v>
      </c>
      <c r="I647" s="87" t="s">
        <v>477</v>
      </c>
      <c r="J647" s="80">
        <f t="shared" si="51"/>
        <v>0</v>
      </c>
      <c r="K647" s="67"/>
      <c r="L647" s="69"/>
      <c r="M647" s="8"/>
    </row>
    <row r="648" spans="1:13" s="3" customFormat="1" ht="12.2" customHeight="1" x14ac:dyDescent="0.15">
      <c r="A648" s="21"/>
      <c r="B648" s="22"/>
      <c r="C648" s="22"/>
      <c r="D648" s="22"/>
      <c r="E648" s="22"/>
      <c r="F648" s="86" t="s">
        <v>51</v>
      </c>
      <c r="G648" s="80">
        <f>K599</f>
        <v>874184.97</v>
      </c>
      <c r="H648" s="80">
        <f>L209+L227+L245</f>
        <v>874184.97</v>
      </c>
      <c r="I648" s="87" t="s">
        <v>396</v>
      </c>
      <c r="J648" s="80">
        <f t="shared" si="51"/>
        <v>0</v>
      </c>
      <c r="K648" s="67"/>
      <c r="L648" s="69"/>
      <c r="M648" s="8"/>
    </row>
    <row r="649" spans="1:13" s="3" customFormat="1" ht="12.2" customHeight="1" x14ac:dyDescent="0.15">
      <c r="A649" s="21"/>
      <c r="B649" s="22"/>
      <c r="C649" s="22"/>
      <c r="D649" s="22"/>
      <c r="E649" s="22"/>
      <c r="F649" s="86" t="s">
        <v>52</v>
      </c>
      <c r="G649" s="80">
        <f>K606</f>
        <v>97118.99</v>
      </c>
      <c r="H649" s="80">
        <f>(J258+J339)-(J256+J337)</f>
        <v>97118.989999999991</v>
      </c>
      <c r="I649" s="87" t="s">
        <v>699</v>
      </c>
      <c r="J649" s="80">
        <f t="shared" si="51"/>
        <v>0</v>
      </c>
      <c r="K649" s="67"/>
      <c r="L649" s="69"/>
      <c r="M649" s="8"/>
    </row>
    <row r="650" spans="1:13" s="3" customFormat="1" ht="12.2" customHeight="1" x14ac:dyDescent="0.15">
      <c r="A650" s="21"/>
      <c r="B650" s="22"/>
      <c r="C650" s="22"/>
      <c r="D650" s="22"/>
      <c r="E650" s="22"/>
      <c r="F650" s="86" t="s">
        <v>387</v>
      </c>
      <c r="G650" s="80">
        <f>L209</f>
        <v>548280.87</v>
      </c>
      <c r="H650" s="80">
        <f>H599</f>
        <v>548280.86999999988</v>
      </c>
      <c r="I650" s="87" t="s">
        <v>388</v>
      </c>
      <c r="J650" s="80">
        <f t="shared" si="51"/>
        <v>0</v>
      </c>
      <c r="K650" s="67"/>
      <c r="L650" s="69"/>
      <c r="M650" s="8"/>
    </row>
    <row r="651" spans="1:13" s="3" customFormat="1" ht="12.2" customHeight="1" x14ac:dyDescent="0.15">
      <c r="A651" s="21"/>
      <c r="B651" s="22"/>
      <c r="C651" s="22"/>
      <c r="D651" s="22"/>
      <c r="E651" s="22"/>
      <c r="F651" s="86" t="s">
        <v>392</v>
      </c>
      <c r="G651" s="80">
        <f>L227</f>
        <v>325904.09999999998</v>
      </c>
      <c r="H651" s="80">
        <f>I599</f>
        <v>325904.09999999998</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650000</v>
      </c>
      <c r="H656" s="80">
        <f>K267+K348</f>
        <v>650000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15783188.34</v>
      </c>
      <c r="G661" s="13">
        <f>(L230+L310+L360)</f>
        <v>14477183.140000001</v>
      </c>
      <c r="H661" s="13">
        <f>(L248+L329+L361)</f>
        <v>0</v>
      </c>
      <c r="I661" s="13">
        <f>SUM(F661:H661)</f>
        <v>30260371.48</v>
      </c>
      <c r="J661" s="13"/>
      <c r="K661" s="13"/>
      <c r="L661" s="13"/>
      <c r="M661" s="9"/>
    </row>
    <row r="662" spans="1:13" s="3" customFormat="1" ht="12.2" customHeight="1" x14ac:dyDescent="0.2">
      <c r="A662" s="1" t="s">
        <v>127</v>
      </c>
      <c r="F662" s="13">
        <f>(L359/IF(SUM(L359:L361)=0,1,SUM(L359:L361))*(SUM(G97:G110)))</f>
        <v>236611.63516116046</v>
      </c>
      <c r="G662" s="13">
        <f>(L360/IF(SUM(L359:L361)=0,1,SUM(L359:L361))*(SUM(G97:G110)))</f>
        <v>263947.76483883947</v>
      </c>
      <c r="H662" s="13">
        <f>(L361/IF(SUM(L359:L361)=0,1,SUM(L359:L361))*(SUM(G97:G110)))</f>
        <v>0</v>
      </c>
      <c r="I662" s="13">
        <f>SUM(F662:H662)</f>
        <v>500559.39999999991</v>
      </c>
      <c r="J662"/>
      <c r="K662" s="13"/>
      <c r="L662" s="13"/>
      <c r="M662" s="8"/>
    </row>
    <row r="663" spans="1:13" s="3" customFormat="1" ht="12.2" customHeight="1" x14ac:dyDescent="0.2">
      <c r="A663" s="1" t="s">
        <v>128</v>
      </c>
      <c r="F663" s="13">
        <f>(L209+L288)-(J209+J288)</f>
        <v>548280.87</v>
      </c>
      <c r="G663" s="13">
        <f>(L227+L307)-(J227+J307)</f>
        <v>325904.09999999998</v>
      </c>
      <c r="H663" s="13">
        <f>(L245+L326)-(J245+J326)</f>
        <v>0</v>
      </c>
      <c r="I663" s="13">
        <f>SUM(F663:H663)</f>
        <v>874184.97</v>
      </c>
      <c r="J663"/>
      <c r="K663" s="13"/>
      <c r="L663" s="13"/>
      <c r="M663" s="9"/>
    </row>
    <row r="664" spans="1:13" s="3" customFormat="1" ht="12.2" customHeight="1" x14ac:dyDescent="0.15">
      <c r="A664" s="142" t="s">
        <v>129</v>
      </c>
      <c r="B664" s="124"/>
      <c r="C664" s="124"/>
      <c r="D664" s="124"/>
      <c r="E664" s="124"/>
      <c r="F664" s="143">
        <f>SUM(F576:F588)+SUM(H603:H605)+SUM(L612)</f>
        <v>365462.93</v>
      </c>
      <c r="G664" s="143">
        <f>SUM(G576:G588)+SUM(I603:I605)+L613</f>
        <v>133617.04</v>
      </c>
      <c r="H664" s="143">
        <f>SUM(H576:H588)+SUM(J603:J605)+L614</f>
        <v>0</v>
      </c>
      <c r="I664" s="13">
        <f>SUM(F664:H664)</f>
        <v>499079.97</v>
      </c>
      <c r="J664" s="13"/>
      <c r="K664" s="13"/>
      <c r="L664" s="13"/>
      <c r="M664" s="9"/>
    </row>
    <row r="665" spans="1:13" s="3" customFormat="1" ht="12.2" customHeight="1" x14ac:dyDescent="0.15">
      <c r="A665" s="1" t="s">
        <v>130</v>
      </c>
      <c r="F665" s="13">
        <f>F661-SUM(F662:F664)</f>
        <v>14632832.90483884</v>
      </c>
      <c r="G665" s="13">
        <f>G661-SUM(G662:G664)</f>
        <v>13753714.235161161</v>
      </c>
      <c r="H665" s="13">
        <f>H661-SUM(H662:H664)</f>
        <v>0</v>
      </c>
      <c r="I665" s="13">
        <f>I661-SUM(I662:I664)</f>
        <v>28386547.140000001</v>
      </c>
      <c r="J665" s="13"/>
      <c r="K665" s="13"/>
      <c r="L665" s="13"/>
      <c r="M665" s="8"/>
    </row>
    <row r="666" spans="1:13" s="3" customFormat="1" ht="12.2" customHeight="1" x14ac:dyDescent="0.2">
      <c r="A666" s="1" t="s">
        <v>131</v>
      </c>
      <c r="F666" s="183">
        <v>691.49</v>
      </c>
      <c r="G666" s="184">
        <v>638.85</v>
      </c>
      <c r="H666" s="184"/>
      <c r="I666" s="13">
        <f>SUM(F666:H666)</f>
        <v>1330.3400000000001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21161.31</v>
      </c>
      <c r="G668" s="13">
        <f>ROUND(G665/G666,2)</f>
        <v>21528.86</v>
      </c>
      <c r="H668" s="13" t="e">
        <f>ROUND(H665/H666,2)</f>
        <v>#DIV/0!</v>
      </c>
      <c r="I668" s="13">
        <f>ROUND(I665/I666,2)</f>
        <v>21337.81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21161.31</v>
      </c>
      <c r="G673" s="13">
        <f>ROUND((G665+G670)/(G666+G671),2)</f>
        <v>21528.86</v>
      </c>
      <c r="H673" s="13" t="e">
        <f>ROUND((H665+H670)/(H666+H671),2)</f>
        <v>#DIV/0!</v>
      </c>
      <c r="I673" s="13">
        <f>ROUND((I665+I670)/(I666+I671),2)</f>
        <v>21337.81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90" zoomScaleNormal="90" workbookViewId="0">
      <selection activeCell="C2" sqref="C2:E2"/>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101436.85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62618.14</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38818.71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Amherst</v>
      </c>
      <c r="C5" s="317"/>
      <c r="D5" s="317"/>
      <c r="E5" s="317"/>
      <c r="F5" s="317"/>
    </row>
    <row r="8" spans="1:9" ht="18" x14ac:dyDescent="0.25">
      <c r="A8" s="240" t="s">
        <v>1560</v>
      </c>
      <c r="F8" s="247" t="s">
        <v>1578</v>
      </c>
    </row>
    <row r="9" spans="1:9" ht="15" x14ac:dyDescent="0.2">
      <c r="A9" s="238" t="s">
        <v>1561</v>
      </c>
      <c r="B9" s="241">
        <f>'DOE25'!G97</f>
        <v>500209.86</v>
      </c>
      <c r="F9" s="238" t="s">
        <v>1574</v>
      </c>
    </row>
    <row r="10" spans="1:9" ht="15" x14ac:dyDescent="0.2">
      <c r="A10" s="238" t="s">
        <v>1562</v>
      </c>
      <c r="B10" s="241">
        <f>'DOE25'!G112-'DOE25'!G97</f>
        <v>349.53999999997905</v>
      </c>
      <c r="F10" s="238" t="s">
        <v>1575</v>
      </c>
    </row>
    <row r="11" spans="1:9" ht="15" x14ac:dyDescent="0.2">
      <c r="A11" s="238" t="s">
        <v>1563</v>
      </c>
      <c r="B11" s="241">
        <f>'DOE25'!G140</f>
        <v>7875.05</v>
      </c>
      <c r="F11" s="238" t="s">
        <v>1576</v>
      </c>
    </row>
    <row r="12" spans="1:9" ht="15" x14ac:dyDescent="0.2">
      <c r="A12" s="238" t="s">
        <v>1564</v>
      </c>
      <c r="B12" s="241">
        <f>'DOE25'!G170</f>
        <v>197517.18</v>
      </c>
      <c r="F12" s="238" t="s">
        <v>1577</v>
      </c>
    </row>
    <row r="13" spans="1:9" ht="15" x14ac:dyDescent="0.2">
      <c r="A13" s="238" t="s">
        <v>1565</v>
      </c>
      <c r="B13" s="241">
        <f>'DOE25'!G193-'DOE25'!G180</f>
        <v>0</v>
      </c>
      <c r="F13" s="238" t="s">
        <v>1587</v>
      </c>
    </row>
    <row r="14" spans="1:9" ht="18" x14ac:dyDescent="0.25">
      <c r="A14" s="240" t="s">
        <v>732</v>
      </c>
      <c r="B14" s="242">
        <f>SUM(B9:B13)</f>
        <v>705951.62999999989</v>
      </c>
    </row>
    <row r="16" spans="1:9" ht="18" x14ac:dyDescent="0.25">
      <c r="A16" s="240" t="s">
        <v>786</v>
      </c>
      <c r="F16" s="247" t="s">
        <v>1579</v>
      </c>
    </row>
    <row r="17" spans="1:6" ht="15" x14ac:dyDescent="0.2">
      <c r="A17" s="238" t="s">
        <v>1566</v>
      </c>
      <c r="B17" s="241">
        <f>'DOE25'!L363-'DOE25'!L362</f>
        <v>673807.51</v>
      </c>
      <c r="F17" s="238" t="s">
        <v>1580</v>
      </c>
    </row>
    <row r="18" spans="1:6" ht="15" x14ac:dyDescent="0.2">
      <c r="A18" s="238" t="s">
        <v>1567</v>
      </c>
      <c r="B18" s="251">
        <v>0</v>
      </c>
      <c r="F18" s="247" t="s">
        <v>1604</v>
      </c>
    </row>
    <row r="19" spans="1:6" ht="18" x14ac:dyDescent="0.25">
      <c r="A19" s="240" t="s">
        <v>725</v>
      </c>
      <c r="B19" s="242">
        <f>SUM(B17:B18)</f>
        <v>673807.51</v>
      </c>
    </row>
    <row r="21" spans="1:6" ht="18.75" thickBot="1" x14ac:dyDescent="0.3">
      <c r="A21" s="240" t="s">
        <v>1568</v>
      </c>
    </row>
    <row r="22" spans="1:6" ht="18.75" thickTop="1" x14ac:dyDescent="0.25">
      <c r="A22" s="240" t="s">
        <v>1569</v>
      </c>
      <c r="B22" s="246">
        <f>B14-B19</f>
        <v>32144.119999999879</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166040.07</v>
      </c>
      <c r="F31" s="238" t="s">
        <v>1584</v>
      </c>
    </row>
    <row r="33" spans="1:6" ht="15" x14ac:dyDescent="0.2">
      <c r="A33" s="238" t="s">
        <v>1798</v>
      </c>
      <c r="B33" s="241">
        <f>'DOE25'!G477</f>
        <v>192000.80999999994</v>
      </c>
      <c r="F33" s="238" t="s">
        <v>1585</v>
      </c>
    </row>
    <row r="36" spans="1:6" ht="15" x14ac:dyDescent="0.2">
      <c r="A36" s="238" t="s">
        <v>1571</v>
      </c>
      <c r="B36" s="252">
        <v>33905.629999999997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 sqref="B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Amherst</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7618828.0199999996</v>
      </c>
      <c r="C9" s="167">
        <f>'DOE25'!G198+'DOE25'!G216+'DOE25'!G234+'DOE25'!G277+'DOE25'!G296+'DOE25'!G315</f>
        <v>4228923.9400000004</v>
      </c>
    </row>
    <row r="10" spans="1:3" x14ac:dyDescent="0.2">
      <c r="A10" t="s">
        <v>775</v>
      </c>
      <c r="B10" s="177">
        <f>7319937.56+2102.97</f>
        <v>7322040.5299999993</v>
      </c>
      <c r="C10" s="177">
        <v>4064188.4</v>
      </c>
    </row>
    <row r="11" spans="1:3" x14ac:dyDescent="0.2">
      <c r="A11" t="s">
        <v>776</v>
      </c>
      <c r="B11" s="177">
        <v>231038.46</v>
      </c>
      <c r="C11" s="177">
        <v>128240.73</v>
      </c>
    </row>
    <row r="12" spans="1:3" x14ac:dyDescent="0.2">
      <c r="A12" t="s">
        <v>777</v>
      </c>
      <c r="B12" s="177">
        <v>65749.03</v>
      </c>
      <c r="C12" s="177">
        <v>36494.81</v>
      </c>
    </row>
    <row r="13" spans="1:3" x14ac:dyDescent="0.2">
      <c r="A13" t="str">
        <f>IF(B9=B13,IF(C9=C13,"Check Total OK","Check Total Error"),"Check Total Error")</f>
        <v>Check Total OK</v>
      </c>
      <c r="B13" s="169">
        <f>SUM(B10:B12)</f>
        <v>7618828.0199999996</v>
      </c>
      <c r="C13" s="169">
        <f>SUM(C10:C12)</f>
        <v>4228923.9399999995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3561291.3000000003</v>
      </c>
      <c r="C18" s="167">
        <f>'DOE25'!G199+'DOE25'!G217+'DOE25'!G235+'DOE25'!G278+'DOE25'!G297+'DOE25'!G316</f>
        <v>2230466.5900000003</v>
      </c>
    </row>
    <row r="19" spans="1:3" x14ac:dyDescent="0.2">
      <c r="A19" t="s">
        <v>775</v>
      </c>
      <c r="B19" s="177">
        <f>1781079.89+8508.88</f>
        <v>1789588.7699999998</v>
      </c>
      <c r="C19" s="177">
        <v>1120834.45</v>
      </c>
    </row>
    <row r="20" spans="1:3" x14ac:dyDescent="0.2">
      <c r="A20" t="s">
        <v>776</v>
      </c>
      <c r="B20" s="177">
        <f>1708459.28+29962.66-4379.87</f>
        <v>1734042.0699999998</v>
      </c>
      <c r="C20" s="177">
        <v>1086045.08</v>
      </c>
    </row>
    <row r="21" spans="1:3" x14ac:dyDescent="0.2">
      <c r="A21" t="s">
        <v>777</v>
      </c>
      <c r="B21" s="177">
        <v>37660.46</v>
      </c>
      <c r="C21" s="177">
        <v>23587.06</v>
      </c>
    </row>
    <row r="22" spans="1:3" x14ac:dyDescent="0.2">
      <c r="A22" t="str">
        <f>IF(B18=B22,IF(C18=C22,"Check Total OK","Check Total Error"),"Check Total Error")</f>
        <v>Check Total OK</v>
      </c>
      <c r="B22" s="169">
        <f>SUM(B19:B21)</f>
        <v>3561291.3</v>
      </c>
      <c r="C22" s="169">
        <f>SUM(C19:C21)</f>
        <v>2230466.5900000003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182691.02999999997</v>
      </c>
      <c r="C36" s="173">
        <f>'DOE25'!G201+'DOE25'!G219+'DOE25'!G237+'DOE25'!G280+'DOE25'!G299+'DOE25'!G318</f>
        <v>42223.679999999993</v>
      </c>
    </row>
    <row r="37" spans="1:3" x14ac:dyDescent="0.2">
      <c r="A37" t="s">
        <v>775</v>
      </c>
      <c r="B37" s="177">
        <v>118354.19</v>
      </c>
      <c r="C37" s="177">
        <v>27354.1</v>
      </c>
    </row>
    <row r="38" spans="1:3" x14ac:dyDescent="0.2">
      <c r="A38" t="s">
        <v>776</v>
      </c>
      <c r="B38" s="177">
        <v>26552.84</v>
      </c>
      <c r="C38" s="177">
        <v>6136.91</v>
      </c>
    </row>
    <row r="39" spans="1:3" x14ac:dyDescent="0.2">
      <c r="A39" t="s">
        <v>777</v>
      </c>
      <c r="B39" s="177">
        <v>37784</v>
      </c>
      <c r="C39" s="177">
        <v>8732.67</v>
      </c>
    </row>
    <row r="40" spans="1:3" x14ac:dyDescent="0.2">
      <c r="A40" t="str">
        <f>IF(B36=B40,IF(C36=C40,"Check Total OK","Check Total Error"),"Check Total Error")</f>
        <v>Check Total OK</v>
      </c>
      <c r="B40" s="169">
        <f>SUM(B37:B39)</f>
        <v>182691.03</v>
      </c>
      <c r="C40" s="169">
        <f>SUM(C37:C39)</f>
        <v>42223.679999999993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E44" sqref="E4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Amherst</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18593226.91</v>
      </c>
      <c r="D5" s="19">
        <f>SUM('DOE25'!L198:L201)+SUM('DOE25'!L216:L219)+SUM('DOE25'!L234:L237)-F5-G5-H5</f>
        <v>18509467.640000001</v>
      </c>
      <c r="E5" s="180"/>
      <c r="F5" s="181"/>
      <c r="G5" s="19">
        <f>SUM('DOE25'!J198:J201)+SUM('DOE25'!J216:J219)+SUM('DOE25'!J234:J237)</f>
        <v>78623.78</v>
      </c>
      <c r="H5" s="19">
        <f>SUM('DOE25'!K198:K201)+SUM('DOE25'!K216:K219)+SUM('DOE25'!K234:K237)</f>
        <v>5135.49</v>
      </c>
      <c r="I5" s="192"/>
    </row>
    <row r="6" spans="1:9" x14ac:dyDescent="0.2">
      <c r="A6" s="31">
        <v>2100</v>
      </c>
      <c r="B6" t="s">
        <v>796</v>
      </c>
      <c r="C6" s="206">
        <f t="shared" si="0"/>
        <v>3740275.21</v>
      </c>
      <c r="D6" s="19">
        <f>'DOE25'!L203+'DOE25'!L221+'DOE25'!L239-F6-G6-H6</f>
        <v>3740275.21</v>
      </c>
      <c r="E6" s="180"/>
      <c r="F6" s="181"/>
      <c r="G6" s="19">
        <f>'DOE25'!J203+'DOE25'!J221+'DOE25'!J239</f>
        <v>0</v>
      </c>
      <c r="H6" s="19">
        <f>'DOE25'!K203+'DOE25'!K221+'DOE25'!K239</f>
        <v>0</v>
      </c>
      <c r="I6" s="192"/>
    </row>
    <row r="7" spans="1:9" x14ac:dyDescent="0.2">
      <c r="A7" s="31">
        <v>2200</v>
      </c>
      <c r="B7" t="s">
        <v>820</v>
      </c>
      <c r="C7" s="206">
        <f t="shared" si="0"/>
        <v>551609.73</v>
      </c>
      <c r="D7" s="19">
        <f>'DOE25'!L204+'DOE25'!L222+'DOE25'!L240-F7-G7-H7</f>
        <v>543515.29999999993</v>
      </c>
      <c r="E7" s="180"/>
      <c r="F7" s="181"/>
      <c r="G7" s="19">
        <f>'DOE25'!J204+'DOE25'!J222+'DOE25'!J240</f>
        <v>8094.43</v>
      </c>
      <c r="H7" s="19">
        <f>'DOE25'!K204+'DOE25'!K222+'DOE25'!K240</f>
        <v>0</v>
      </c>
      <c r="I7" s="192"/>
    </row>
    <row r="8" spans="1:9" x14ac:dyDescent="0.2">
      <c r="A8" s="31">
        <v>2300</v>
      </c>
      <c r="B8" t="s">
        <v>797</v>
      </c>
      <c r="C8" s="206">
        <f t="shared" si="0"/>
        <v>1704648.93</v>
      </c>
      <c r="D8" s="180"/>
      <c r="E8" s="19">
        <f>'DOE25'!L205+'DOE25'!L223+'DOE25'!L241-F8-G8-H8-D9-D11</f>
        <v>1699050.19</v>
      </c>
      <c r="F8" s="181"/>
      <c r="G8" s="19">
        <f>'DOE25'!J205+'DOE25'!J223+'DOE25'!J241</f>
        <v>0</v>
      </c>
      <c r="H8" s="19">
        <f>'DOE25'!K205+'DOE25'!K223+'DOE25'!K241</f>
        <v>5598.74</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1524279.19</v>
      </c>
      <c r="D12" s="19">
        <f>'DOE25'!L206+'DOE25'!L224+'DOE25'!L242-F12-G12-H12</f>
        <v>1512924.29</v>
      </c>
      <c r="E12" s="180"/>
      <c r="F12" s="181"/>
      <c r="G12" s="19">
        <f>'DOE25'!J206+'DOE25'!J224+'DOE25'!J242</f>
        <v>5938.9</v>
      </c>
      <c r="H12" s="19">
        <f>'DOE25'!K206+'DOE25'!K224+'DOE25'!K242</f>
        <v>5416</v>
      </c>
      <c r="I12" s="192"/>
    </row>
    <row r="13" spans="1:9" x14ac:dyDescent="0.2">
      <c r="A13" s="31">
        <v>2500</v>
      </c>
      <c r="B13" t="s">
        <v>798</v>
      </c>
      <c r="C13" s="206">
        <f t="shared" si="0"/>
        <v>31479.51</v>
      </c>
      <c r="D13" s="180"/>
      <c r="E13" s="19">
        <f>'DOE25'!L207+'DOE25'!L225+'DOE25'!L243-F13-G13-H13</f>
        <v>31479.51</v>
      </c>
      <c r="F13" s="181"/>
      <c r="G13" s="19">
        <f>'DOE25'!J207+'DOE25'!J225+'DOE25'!J243</f>
        <v>0</v>
      </c>
      <c r="H13" s="19">
        <f>'DOE25'!K207+'DOE25'!K225+'DOE25'!K243</f>
        <v>0</v>
      </c>
      <c r="I13" s="192"/>
    </row>
    <row r="14" spans="1:9" x14ac:dyDescent="0.2">
      <c r="A14" s="31">
        <v>2600</v>
      </c>
      <c r="B14" t="s">
        <v>818</v>
      </c>
      <c r="C14" s="206">
        <f t="shared" si="0"/>
        <v>1756253.74</v>
      </c>
      <c r="D14" s="19">
        <f>'DOE25'!L208+'DOE25'!L226+'DOE25'!L244-F14-G14-H14</f>
        <v>1756253.74</v>
      </c>
      <c r="E14" s="180"/>
      <c r="F14" s="181"/>
      <c r="G14" s="19">
        <f>'DOE25'!J208+'DOE25'!J226+'DOE25'!J244</f>
        <v>0</v>
      </c>
      <c r="H14" s="19">
        <f>'DOE25'!K208+'DOE25'!K226+'DOE25'!K244</f>
        <v>0</v>
      </c>
      <c r="I14" s="192"/>
    </row>
    <row r="15" spans="1:9" x14ac:dyDescent="0.2">
      <c r="A15" s="31">
        <v>2700</v>
      </c>
      <c r="B15" t="s">
        <v>799</v>
      </c>
      <c r="C15" s="206">
        <f t="shared" si="0"/>
        <v>874184.97</v>
      </c>
      <c r="D15" s="19">
        <f>'DOE25'!L209+'DOE25'!L227+'DOE25'!L245-F15-G15-H15</f>
        <v>874184.97</v>
      </c>
      <c r="E15" s="180"/>
      <c r="F15" s="181"/>
      <c r="G15" s="19">
        <f>'DOE25'!J209+'DOE25'!J227+'DOE25'!J245</f>
        <v>0</v>
      </c>
      <c r="H15" s="19">
        <f>'DOE25'!K209+'DOE25'!K227+'DOE25'!K245</f>
        <v>0</v>
      </c>
      <c r="I15" s="192"/>
    </row>
    <row r="16" spans="1:9" x14ac:dyDescent="0.2">
      <c r="A16" s="31">
        <v>2800</v>
      </c>
      <c r="B16" t="s">
        <v>800</v>
      </c>
      <c r="C16" s="206">
        <f t="shared" si="0"/>
        <v>390256.97</v>
      </c>
      <c r="D16" s="180"/>
      <c r="E16" s="19">
        <f>'DOE25'!L210+'DOE25'!L228+'DOE25'!L246-F16-G16-H16</f>
        <v>388294.04</v>
      </c>
      <c r="F16" s="181"/>
      <c r="G16" s="19">
        <f>'DOE25'!J210+'DOE25'!J228+'DOE25'!J246</f>
        <v>1962.9299999999998</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235484.51</v>
      </c>
      <c r="D25" s="180"/>
      <c r="E25" s="180"/>
      <c r="F25" s="191"/>
      <c r="G25" s="180"/>
      <c r="H25" s="180"/>
      <c r="I25" s="190">
        <f>'DOE25'!L261+'DOE25'!L262+'DOE25'!L342+'DOE25'!L343</f>
        <v>235484.51</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400701.28</v>
      </c>
      <c r="D29" s="212">
        <f>'DOE25'!L359+'DOE25'!L360+'DOE25'!L361-'DOE25'!I368-F29-G29-H29-F39</f>
        <v>385421.72000000003</v>
      </c>
      <c r="E29" s="180"/>
      <c r="F29" s="180"/>
      <c r="G29" s="19">
        <f>'DOE25'!J359+'DOE25'!J360+'DOE25'!J361</f>
        <v>15046.22</v>
      </c>
      <c r="H29" s="19">
        <f>'DOE25'!K359+'DOE25'!K360+'DOE25'!K361</f>
        <v>233.34</v>
      </c>
      <c r="I29" s="192"/>
    </row>
    <row r="30" spans="1:9" x14ac:dyDescent="0.2">
      <c r="A30" s="31"/>
      <c r="C30" s="207"/>
      <c r="D30" s="19"/>
      <c r="F30" s="201"/>
      <c r="G30" s="19"/>
      <c r="H30" s="19"/>
      <c r="I30" s="192"/>
    </row>
    <row r="31" spans="1:9" x14ac:dyDescent="0.2">
      <c r="A31" s="31" t="s">
        <v>817</v>
      </c>
      <c r="B31" t="s">
        <v>816</v>
      </c>
      <c r="C31" s="206">
        <f>SUM(D31:I31)</f>
        <v>420348.80999999994</v>
      </c>
      <c r="D31" s="19">
        <f>'DOE25'!L291+'DOE25'!L310+'DOE25'!L329+'DOE25'!L334+'DOE25'!L335+'DOE25'!L336-F31-G31-H31</f>
        <v>415922.63999999996</v>
      </c>
      <c r="E31" s="180"/>
      <c r="F31" s="181"/>
      <c r="G31" s="19">
        <f>'DOE25'!J291+'DOE25'!J310+'DOE25'!J329+'DOE25'!J334+'DOE25'!J335+'DOE25'!J336</f>
        <v>2498.9499999999998</v>
      </c>
      <c r="H31" s="19">
        <f>'DOE25'!K291+'DOE25'!K310+'DOE25'!K329+'DOE25'!K334+'DOE25'!K335+'DOE25'!K336</f>
        <v>1927.22</v>
      </c>
      <c r="I31" s="192"/>
    </row>
    <row r="32" spans="1:9" ht="12" thickBot="1" x14ac:dyDescent="0.25">
      <c r="C32" s="207"/>
      <c r="G32" s="188"/>
      <c r="H32" s="188"/>
      <c r="I32" s="194"/>
    </row>
    <row r="33" spans="1:9" ht="12" thickTop="1" x14ac:dyDescent="0.2">
      <c r="B33" t="s">
        <v>809</v>
      </c>
      <c r="D33" s="182">
        <f t="shared" ref="D33:I33" si="1">SUM(D5:D31)</f>
        <v>27737965.509999998</v>
      </c>
      <c r="E33" s="182">
        <f t="shared" si="1"/>
        <v>2118823.7399999998</v>
      </c>
      <c r="F33" s="182">
        <f t="shared" si="1"/>
        <v>0</v>
      </c>
      <c r="G33" s="182">
        <f t="shared" si="1"/>
        <v>112165.20999999998</v>
      </c>
      <c r="H33" s="182">
        <f t="shared" si="1"/>
        <v>18310.79</v>
      </c>
      <c r="I33" s="182">
        <f t="shared" si="1"/>
        <v>235484.51</v>
      </c>
    </row>
    <row r="34" spans="1:9" ht="12" thickBot="1" x14ac:dyDescent="0.25"/>
    <row r="35" spans="1:9" ht="12" thickBot="1" x14ac:dyDescent="0.25">
      <c r="B35" s="188" t="s">
        <v>830</v>
      </c>
      <c r="D35" s="189">
        <f>E33</f>
        <v>2118823.7399999998</v>
      </c>
      <c r="E35" s="185"/>
      <c r="F35" s="295" t="s">
        <v>1608</v>
      </c>
      <c r="G35" s="296"/>
      <c r="H35" s="296"/>
      <c r="I35" s="297"/>
    </row>
    <row r="36" spans="1:9" ht="12" thickTop="1" x14ac:dyDescent="0.2">
      <c r="B36" t="s">
        <v>810</v>
      </c>
      <c r="D36" s="19">
        <f>D33</f>
        <v>27737965.509999998</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20000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B24" sqref="B2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Amherst</v>
      </c>
      <c r="B2">
        <f>'DOE25'!B2</f>
        <v>17</v>
      </c>
      <c r="J2" s="224" t="s">
        <v>1808</v>
      </c>
      <c r="K2" s="309">
        <f>SUM('DOE25'!L198:L201)+SUM('DOE25'!L216:L219)+SUM('DOE25'!L234:L237)+SUM('DOE25'!L277:L280)+SUM('DOE25'!L296:L299)+SUM('DOE25'!L315:L318)</f>
        <v>18784520.870000001</v>
      </c>
      <c r="L2" s="309">
        <f>'DOE25'!L203+'DOE25'!L221+'DOE25'!L239+'DOE25'!L282+'DOE25'!L301+'DOE25'!L320</f>
        <v>3841454.29</v>
      </c>
      <c r="M2" s="309">
        <f>'DOE25'!L204+'DOE25'!L222+'DOE25'!L240+'DOE25'!L283+'DOE25'!L302+'DOE25'!L321</f>
        <v>658452.14</v>
      </c>
      <c r="N2" s="309">
        <f>'DOE25'!L206+'DOE25'!L224+'DOE25'!L242+'DOE25'!L285+'DOE25'!L304+'DOE25'!L323</f>
        <v>1532326.55</v>
      </c>
      <c r="O2" s="309">
        <f>'Salaries-Benefits'!B10+'Salaries-Benefits'!B12+'Salaries-Benefits'!B19+'Salaries-Benefits'!B21+'Salaries-Benefits'!B28+'Salaries-Benefits'!B30+'Salaries-Benefits'!B37+'Salaries-Benefits'!B39</f>
        <v>9371176.9800000004</v>
      </c>
      <c r="P2" s="309">
        <f>'Salaries-Benefits'!B11+'Salaries-Benefits'!B20+'Salaries-Benefits'!B29+'Salaries-Benefits'!B38</f>
        <v>1991633.3699999999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-18784520.870000001</v>
      </c>
      <c r="L3" s="311">
        <f t="shared" ref="L3:P3" si="0">L21+L33+L43-L2</f>
        <v>-3841454.29</v>
      </c>
      <c r="M3" s="311">
        <f t="shared" si="0"/>
        <v>-658452.14</v>
      </c>
      <c r="N3" s="311">
        <f t="shared" si="0"/>
        <v>-1532326.55</v>
      </c>
      <c r="O3" s="311">
        <f t="shared" si="0"/>
        <v>-9371176.9800000004</v>
      </c>
      <c r="P3" s="311">
        <f t="shared" si="0"/>
        <v>-1991633.3699999999</v>
      </c>
      <c r="Q3" s="310"/>
      <c r="R3" s="306"/>
      <c r="S3" s="215"/>
      <c r="T3" s="215"/>
      <c r="U3" s="216"/>
    </row>
    <row r="4" spans="1:21" ht="55.5" customHeight="1" thickBot="1" x14ac:dyDescent="0.25">
      <c r="A4" s="224" t="s">
        <v>1522</v>
      </c>
      <c r="B4" s="224" t="s">
        <v>1523</v>
      </c>
      <c r="C4" s="224" t="s">
        <v>896</v>
      </c>
      <c r="D4" s="224" t="s">
        <v>786</v>
      </c>
      <c r="E4" s="224" t="s">
        <v>786</v>
      </c>
      <c r="F4" s="228">
        <f>SUM(F5:F20)</f>
        <v>15464683.289999999</v>
      </c>
      <c r="G4" s="229">
        <f>'DOE25'!L212+'DOE25'!L291</f>
        <v>15464683.289999999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Clark-Wilkins School</v>
      </c>
      <c r="B6" s="230">
        <f>IFERROR(VLOOKUP(A6,'School Tables'!$C$3:$D$365,2,FALSE),"")</f>
        <v>21750</v>
      </c>
      <c r="C6" s="223" t="str">
        <f>IFERROR(INDEX('School Tables'!$B$3:$B$365,MATCH('School Level Expenditures'!B6,'School Tables'!$D$3:$D$365,0)),"")</f>
        <v>Amherst</v>
      </c>
      <c r="D6" s="220">
        <f>G4-E6</f>
        <v>15073080.25</v>
      </c>
      <c r="E6" s="220">
        <f>59858.62+331744.42</f>
        <v>391603.04</v>
      </c>
      <c r="F6" s="232">
        <f t="shared" ref="F6:F20" si="1">D6+E6</f>
        <v>15464683.289999999</v>
      </c>
      <c r="G6" s="223"/>
      <c r="H6" s="223"/>
      <c r="J6" t="str">
        <f>A6</f>
        <v>Clark-Wilkins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15073080.25</v>
      </c>
      <c r="E21" s="262">
        <f>SUM(E5:E20)</f>
        <v>391603.04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14121880.68</v>
      </c>
      <c r="G24" s="229">
        <f>'DOE25'!L230+'DOE25'!L310</f>
        <v>14121880.68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Amherst Middle School</v>
      </c>
      <c r="B26" s="230">
        <f>IFERROR(VLOOKUP(A26,'School Tables'!$N$4:$O$75,2,FALSE),"")</f>
        <v>21745</v>
      </c>
      <c r="C26" s="223" t="str">
        <f>IFERROR(INDEX('School Tables'!$M$4:$M$75,MATCH('School Level Expenditures'!A26,'School Tables'!$N$4:$N$75,0)),"")</f>
        <v>Amherst</v>
      </c>
      <c r="D26" s="220">
        <f>G24-E26</f>
        <v>13953329.039999999</v>
      </c>
      <c r="E26" s="220">
        <f>103963.03+64588.61</f>
        <v>168551.64</v>
      </c>
      <c r="F26" s="232">
        <f t="shared" ref="F26:F32" si="4">D26+E26</f>
        <v>14121880.68</v>
      </c>
      <c r="G26" s="223"/>
      <c r="H26" s="223"/>
      <c r="J26" t="str">
        <f t="shared" ref="J26:J32" si="5">A26</f>
        <v>Amherst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13953329.039999999</v>
      </c>
      <c r="E33" s="262">
        <f>SUM(E25:E32)</f>
        <v>168551.64</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Amherst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1544909.33</v>
      </c>
      <c r="D8" s="73">
        <f>'DOE25'!G9</f>
        <v>0</v>
      </c>
      <c r="E8" s="73">
        <f>'DOE25'!H9</f>
        <v>0</v>
      </c>
      <c r="F8" s="73">
        <f>'DOE25'!I9</f>
        <v>0</v>
      </c>
      <c r="G8" s="73">
        <f>'DOE25'!J9</f>
        <v>72041.95</v>
      </c>
      <c r="H8" s="13">
        <f>SUM(C8:G8)</f>
        <v>1616951.28</v>
      </c>
      <c r="I8" s="90"/>
    </row>
    <row r="9" spans="1:9" x14ac:dyDescent="0.2">
      <c r="A9" s="1" t="s">
        <v>140</v>
      </c>
      <c r="B9" s="6">
        <v>110</v>
      </c>
      <c r="C9" s="73">
        <f>'DOE25'!F10</f>
        <v>383441.15</v>
      </c>
      <c r="D9" s="73">
        <f>'DOE25'!G10</f>
        <v>0</v>
      </c>
      <c r="E9" s="73">
        <f>'DOE25'!H10</f>
        <v>0</v>
      </c>
      <c r="F9" s="73">
        <f>'DOE25'!I10</f>
        <v>0</v>
      </c>
      <c r="G9" s="73">
        <f>'DOE25'!J10</f>
        <v>0</v>
      </c>
      <c r="H9" s="13">
        <f t="shared" ref="H9:H18" si="0">SUM(C9:G9)</f>
        <v>383441.15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137628.37</v>
      </c>
      <c r="E11" s="73">
        <f>'DOE25'!H12</f>
        <v>0</v>
      </c>
      <c r="F11" s="73">
        <f>'DOE25'!I12</f>
        <v>0</v>
      </c>
      <c r="G11" s="73">
        <f>'DOE25'!J12</f>
        <v>0</v>
      </c>
      <c r="H11" s="13">
        <f t="shared" si="0"/>
        <v>137628.37</v>
      </c>
      <c r="I11" s="90"/>
    </row>
    <row r="12" spans="1:9" x14ac:dyDescent="0.2">
      <c r="A12" s="1" t="s">
        <v>143</v>
      </c>
      <c r="B12" s="6">
        <v>140</v>
      </c>
      <c r="C12" s="73">
        <f>'DOE25'!F13</f>
        <v>126349.5</v>
      </c>
      <c r="D12" s="73">
        <f>'DOE25'!G13</f>
        <v>194526.24</v>
      </c>
      <c r="E12" s="73">
        <f>'DOE25'!H13</f>
        <v>80408.350000000006</v>
      </c>
      <c r="F12" s="73">
        <f>'DOE25'!I13</f>
        <v>0</v>
      </c>
      <c r="G12" s="73">
        <f>'DOE25'!J13</f>
        <v>1775131.01</v>
      </c>
      <c r="H12" s="13">
        <f t="shared" si="0"/>
        <v>2176415.1</v>
      </c>
      <c r="I12" s="90"/>
    </row>
    <row r="13" spans="1:9" x14ac:dyDescent="0.2">
      <c r="A13" s="1" t="s">
        <v>144</v>
      </c>
      <c r="B13" s="6">
        <v>150</v>
      </c>
      <c r="C13" s="73">
        <f>'DOE25'!F14</f>
        <v>4945.45</v>
      </c>
      <c r="D13" s="73">
        <f>'DOE25'!G14</f>
        <v>0</v>
      </c>
      <c r="E13" s="73">
        <f>'DOE25'!H14</f>
        <v>2278.9899999999998</v>
      </c>
      <c r="F13" s="73">
        <f>'DOE25'!I14</f>
        <v>0</v>
      </c>
      <c r="G13" s="73">
        <f>'DOE25'!J14</f>
        <v>0</v>
      </c>
      <c r="H13" s="13">
        <f t="shared" si="0"/>
        <v>7224.44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2059645.43</v>
      </c>
      <c r="D18" s="38">
        <f>SUM(D8:D17)</f>
        <v>332154.61</v>
      </c>
      <c r="E18" s="38">
        <f>SUM(E8:E17)</f>
        <v>82687.340000000011</v>
      </c>
      <c r="F18" s="38">
        <f>SUM(F8:F17)</f>
        <v>0</v>
      </c>
      <c r="G18" s="38">
        <f>SUM(G8:G17)</f>
        <v>1847172.96</v>
      </c>
      <c r="H18" s="38">
        <f t="shared" si="0"/>
        <v>4321660.34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33192.230000000003</v>
      </c>
      <c r="D21" s="73">
        <f>'DOE25'!G22</f>
        <v>0</v>
      </c>
      <c r="E21" s="73">
        <f>'DOE25'!H22</f>
        <v>62674.86</v>
      </c>
      <c r="F21" s="73">
        <f>'DOE25'!I22</f>
        <v>0</v>
      </c>
      <c r="G21" s="73">
        <f>'DOE25'!J22</f>
        <v>41761.279999999999</v>
      </c>
      <c r="H21" s="13">
        <f t="shared" ref="H21:H31" si="1">SUM(C21:G21)</f>
        <v>137628.37</v>
      </c>
      <c r="I21" s="90"/>
    </row>
    <row r="22" spans="1:9" x14ac:dyDescent="0.2">
      <c r="A22" s="1" t="s">
        <v>151</v>
      </c>
      <c r="B22" s="6">
        <v>410</v>
      </c>
      <c r="C22" s="73">
        <f>'DOE25'!F23</f>
        <v>101981.73</v>
      </c>
      <c r="D22" s="73">
        <f>'DOE25'!G23</f>
        <v>67512.14</v>
      </c>
      <c r="E22" s="73">
        <f>'DOE25'!H23</f>
        <v>0</v>
      </c>
      <c r="F22" s="73">
        <f>'DOE25'!I23</f>
        <v>0</v>
      </c>
      <c r="G22" s="73">
        <f>'DOE25'!J23</f>
        <v>200.89</v>
      </c>
      <c r="H22" s="13">
        <f t="shared" si="1"/>
        <v>169694.76</v>
      </c>
      <c r="I22" s="90"/>
    </row>
    <row r="23" spans="1:9" x14ac:dyDescent="0.2">
      <c r="A23" s="1" t="s">
        <v>152</v>
      </c>
      <c r="B23" s="6">
        <v>420</v>
      </c>
      <c r="C23" s="73">
        <f>'DOE25'!F24</f>
        <v>152891.28</v>
      </c>
      <c r="D23" s="73">
        <f>'DOE25'!G24</f>
        <v>1065.76</v>
      </c>
      <c r="E23" s="73">
        <f>'DOE25'!H24</f>
        <v>0</v>
      </c>
      <c r="F23" s="73">
        <f>'DOE25'!I24</f>
        <v>0</v>
      </c>
      <c r="G23" s="73">
        <f>'DOE25'!J24</f>
        <v>0</v>
      </c>
      <c r="H23" s="13">
        <f t="shared" si="1"/>
        <v>153957.04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166992.31</v>
      </c>
      <c r="D27" s="73">
        <f>'DOE25'!G28</f>
        <v>0</v>
      </c>
      <c r="E27" s="73">
        <f>'DOE25'!H28</f>
        <v>0</v>
      </c>
      <c r="F27" s="73">
        <f>'DOE25'!I28</f>
        <v>0</v>
      </c>
      <c r="G27" s="23" t="s">
        <v>288</v>
      </c>
      <c r="H27" s="13">
        <f t="shared" si="1"/>
        <v>166992.31</v>
      </c>
      <c r="I27" s="90"/>
    </row>
    <row r="28" spans="1:9" x14ac:dyDescent="0.2">
      <c r="A28" s="1" t="s">
        <v>157</v>
      </c>
      <c r="B28" s="6">
        <v>470</v>
      </c>
      <c r="C28" s="73">
        <f>'DOE25'!F29</f>
        <v>92837.22</v>
      </c>
      <c r="D28" s="73">
        <f>'DOE25'!G29</f>
        <v>0</v>
      </c>
      <c r="E28" s="73">
        <f>'DOE25'!H29</f>
        <v>0</v>
      </c>
      <c r="F28" s="73">
        <f>'DOE25'!I29</f>
        <v>0</v>
      </c>
      <c r="G28" s="23" t="s">
        <v>288</v>
      </c>
      <c r="H28" s="13">
        <f t="shared" si="1"/>
        <v>92837.22</v>
      </c>
      <c r="I28" s="90"/>
    </row>
    <row r="29" spans="1:9" x14ac:dyDescent="0.2">
      <c r="A29" s="1" t="s">
        <v>158</v>
      </c>
      <c r="B29" s="6">
        <v>480</v>
      </c>
      <c r="C29" s="73">
        <f>'DOE25'!F30</f>
        <v>3610.06</v>
      </c>
      <c r="D29" s="73">
        <f>'DOE25'!G30</f>
        <v>71575.899999999994</v>
      </c>
      <c r="E29" s="73">
        <f>'DOE25'!H30</f>
        <v>20012.48</v>
      </c>
      <c r="F29" s="73">
        <f>'DOE25'!I30</f>
        <v>0</v>
      </c>
      <c r="G29" s="23" t="s">
        <v>288</v>
      </c>
      <c r="H29" s="13">
        <f t="shared" si="1"/>
        <v>95198.439999999988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551504.83000000007</v>
      </c>
      <c r="D31" s="38">
        <f>SUM(D21:D30)</f>
        <v>140153.79999999999</v>
      </c>
      <c r="E31" s="38">
        <f>SUM(E21:E30)</f>
        <v>82687.34</v>
      </c>
      <c r="F31" s="38">
        <f>SUM(F21:F30)</f>
        <v>0</v>
      </c>
      <c r="G31" s="38">
        <f>SUM(G21:G30)</f>
        <v>41962.17</v>
      </c>
      <c r="H31" s="38">
        <f t="shared" si="1"/>
        <v>816308.14000000013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605000</v>
      </c>
      <c r="D43" s="73">
        <f>'DOE25'!G44</f>
        <v>0</v>
      </c>
      <c r="E43" s="73">
        <f>'DOE25'!H44</f>
        <v>0</v>
      </c>
      <c r="F43" s="73">
        <f>'DOE25'!I44</f>
        <v>0</v>
      </c>
      <c r="G43" s="23" t="s">
        <v>288</v>
      </c>
      <c r="H43" s="13">
        <f t="shared" si="2"/>
        <v>605000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192000.81</v>
      </c>
      <c r="E47" s="73">
        <f>'DOE25'!H48</f>
        <v>0</v>
      </c>
      <c r="F47" s="73">
        <f>'DOE25'!I48</f>
        <v>0</v>
      </c>
      <c r="G47" s="73">
        <f>'DOE25'!J48</f>
        <v>1805210.7899999998</v>
      </c>
      <c r="H47" s="13">
        <f t="shared" si="2"/>
        <v>1997211.5999999999</v>
      </c>
      <c r="I47" s="90"/>
    </row>
    <row r="48" spans="1:9" x14ac:dyDescent="0.2">
      <c r="A48" s="1" t="s">
        <v>881</v>
      </c>
      <c r="B48" s="6">
        <v>753</v>
      </c>
      <c r="C48" s="73">
        <f>'DOE25'!F49</f>
        <v>130911.22</v>
      </c>
      <c r="D48" s="73">
        <f>'DOE25'!G49</f>
        <v>0</v>
      </c>
      <c r="E48" s="73">
        <f>'DOE25'!H49</f>
        <v>0</v>
      </c>
      <c r="F48" s="73">
        <f>'DOE25'!I49</f>
        <v>0</v>
      </c>
      <c r="G48" s="73">
        <f>'DOE25'!J49</f>
        <v>0</v>
      </c>
      <c r="H48" s="13">
        <f t="shared" si="2"/>
        <v>130911.22</v>
      </c>
      <c r="I48" s="90"/>
    </row>
    <row r="49" spans="1:9" ht="12" thickBot="1" x14ac:dyDescent="0.25">
      <c r="A49" s="28" t="s">
        <v>882</v>
      </c>
      <c r="B49" s="56">
        <v>770</v>
      </c>
      <c r="C49" s="73">
        <f>'DOE25'!F50</f>
        <v>772229.38</v>
      </c>
      <c r="D49" s="23" t="s">
        <v>288</v>
      </c>
      <c r="E49" s="23" t="s">
        <v>288</v>
      </c>
      <c r="F49" s="23" t="s">
        <v>288</v>
      </c>
      <c r="G49" s="23" t="s">
        <v>288</v>
      </c>
      <c r="H49" s="13">
        <f t="shared" si="2"/>
        <v>772229.38</v>
      </c>
      <c r="I49" s="90"/>
    </row>
    <row r="50" spans="1:9" ht="12.75" thickTop="1" thickBot="1" x14ac:dyDescent="0.25">
      <c r="A50" s="35" t="s">
        <v>883</v>
      </c>
      <c r="B50" s="44"/>
      <c r="C50" s="38">
        <f>SUM(C34:C49)</f>
        <v>1508140.6</v>
      </c>
      <c r="D50" s="38">
        <f>SUM(D34:D49)</f>
        <v>192000.81</v>
      </c>
      <c r="E50" s="38">
        <f>SUM(E34:E49)</f>
        <v>0</v>
      </c>
      <c r="F50" s="38">
        <f>SUM(F34:F49)</f>
        <v>0</v>
      </c>
      <c r="G50" s="38">
        <f>SUM(G34:G49)</f>
        <v>1805210.7899999998</v>
      </c>
      <c r="H50" s="38">
        <f t="shared" si="2"/>
        <v>3505352.2</v>
      </c>
      <c r="I50" s="90"/>
    </row>
    <row r="51" spans="1:9" ht="12" thickTop="1" x14ac:dyDescent="0.2">
      <c r="A51" s="35" t="s">
        <v>884</v>
      </c>
      <c r="B51" s="2"/>
      <c r="C51" s="38">
        <f>C50+C31</f>
        <v>2059645.4300000002</v>
      </c>
      <c r="D51" s="38">
        <f>D50+D31</f>
        <v>332154.61</v>
      </c>
      <c r="E51" s="38">
        <f>E50+E31</f>
        <v>82687.34</v>
      </c>
      <c r="F51" s="38">
        <f>F50+F31</f>
        <v>0</v>
      </c>
      <c r="G51" s="38">
        <f>G50+G31</f>
        <v>1847172.9599999997</v>
      </c>
      <c r="H51" s="38">
        <f t="shared" si="2"/>
        <v>4321660.34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22436063</v>
      </c>
      <c r="D56" s="73">
        <f>'DOE25'!G60</f>
        <v>0</v>
      </c>
      <c r="E56" s="73">
        <f>'DOE25'!H60</f>
        <v>0</v>
      </c>
      <c r="F56" s="73">
        <f>'DOE25'!I60</f>
        <v>0</v>
      </c>
      <c r="G56" s="73">
        <f>'DOE25'!J60</f>
        <v>0</v>
      </c>
      <c r="H56" s="13">
        <f t="shared" ref="H56:H63" si="3">SUM(C56:G56)</f>
        <v>22436063</v>
      </c>
      <c r="I56"/>
    </row>
    <row r="57" spans="1:9" x14ac:dyDescent="0.2">
      <c r="A57" s="1" t="s">
        <v>164</v>
      </c>
      <c r="B57" s="6" t="s">
        <v>165</v>
      </c>
      <c r="C57" s="73">
        <f>'DOE25'!F79</f>
        <v>1483602.91</v>
      </c>
      <c r="D57" s="23" t="s">
        <v>288</v>
      </c>
      <c r="E57" s="73">
        <f>'DOE25'!H79</f>
        <v>0</v>
      </c>
      <c r="F57" s="23" t="s">
        <v>288</v>
      </c>
      <c r="G57" s="23" t="s">
        <v>288</v>
      </c>
      <c r="H57" s="13">
        <f t="shared" si="3"/>
        <v>1483602.91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57201.33</v>
      </c>
      <c r="D59" s="73">
        <f>'DOE25'!G96</f>
        <v>0</v>
      </c>
      <c r="E59" s="73">
        <f>'DOE25'!H96</f>
        <v>0</v>
      </c>
      <c r="F59" s="73">
        <f>'DOE25'!I96</f>
        <v>0</v>
      </c>
      <c r="G59" s="73">
        <f>'DOE25'!J96</f>
        <v>42716.23</v>
      </c>
      <c r="H59" s="13">
        <f t="shared" si="3"/>
        <v>99917.56</v>
      </c>
      <c r="I59"/>
    </row>
    <row r="60" spans="1:9" x14ac:dyDescent="0.2">
      <c r="A60" s="1" t="s">
        <v>170</v>
      </c>
      <c r="B60" s="22" t="s">
        <v>171</v>
      </c>
      <c r="C60" s="23" t="s">
        <v>288</v>
      </c>
      <c r="D60" s="73">
        <f>'DOE25'!G97</f>
        <v>500209.86</v>
      </c>
      <c r="E60" s="23" t="s">
        <v>288</v>
      </c>
      <c r="F60" s="23" t="s">
        <v>288</v>
      </c>
      <c r="G60" s="23" t="s">
        <v>288</v>
      </c>
      <c r="H60" s="13">
        <f t="shared" si="3"/>
        <v>500209.86</v>
      </c>
      <c r="I60"/>
    </row>
    <row r="61" spans="1:9" ht="12" thickBot="1" x14ac:dyDescent="0.25">
      <c r="A61" s="1" t="s">
        <v>172</v>
      </c>
      <c r="B61" s="22" t="s">
        <v>173</v>
      </c>
      <c r="C61" s="73">
        <f>SUM('DOE25'!F98:F110)</f>
        <v>308952.26</v>
      </c>
      <c r="D61" s="73">
        <f>SUM('DOE25'!G98:G110)</f>
        <v>349.54</v>
      </c>
      <c r="E61" s="73">
        <f>SUM('DOE25'!H98:H110)</f>
        <v>24015.78</v>
      </c>
      <c r="F61" s="73">
        <f>SUM('DOE25'!I98:I110)</f>
        <v>0</v>
      </c>
      <c r="G61" s="73">
        <f>SUM('DOE25'!J98:J110)</f>
        <v>235370.28999999998</v>
      </c>
      <c r="H61" s="13">
        <f t="shared" si="3"/>
        <v>568687.86999999988</v>
      </c>
      <c r="I61"/>
    </row>
    <row r="62" spans="1:9" ht="12.75" thickTop="1" thickBot="1" x14ac:dyDescent="0.25">
      <c r="A62" s="28" t="s">
        <v>174</v>
      </c>
      <c r="B62" s="6"/>
      <c r="C62" s="93">
        <f>SUM(C57:C61)</f>
        <v>1849756.5</v>
      </c>
      <c r="D62" s="93">
        <f>SUM(D57:D61)</f>
        <v>500559.39999999997</v>
      </c>
      <c r="E62" s="93">
        <f>SUM(E57:E61)</f>
        <v>24015.78</v>
      </c>
      <c r="F62" s="93">
        <f>SUM(F57:F61)</f>
        <v>0</v>
      </c>
      <c r="G62" s="93">
        <f>SUM(G57:G61)</f>
        <v>278086.51999999996</v>
      </c>
      <c r="H62" s="13">
        <f t="shared" si="3"/>
        <v>2652418.1999999997</v>
      </c>
      <c r="I62"/>
    </row>
    <row r="63" spans="1:9" ht="12" thickTop="1" x14ac:dyDescent="0.2">
      <c r="A63" s="28" t="s">
        <v>175</v>
      </c>
      <c r="B63" s="6"/>
      <c r="C63" s="21">
        <f>C56+C62</f>
        <v>24285819.5</v>
      </c>
      <c r="D63" s="21">
        <f>D56+D62</f>
        <v>500559.39999999997</v>
      </c>
      <c r="E63" s="21">
        <f>E56+E62</f>
        <v>24015.78</v>
      </c>
      <c r="F63" s="21">
        <f>F56+F62</f>
        <v>0</v>
      </c>
      <c r="G63" s="21">
        <f>G56+G62</f>
        <v>278086.51999999996</v>
      </c>
      <c r="H63" s="13">
        <f t="shared" si="3"/>
        <v>25088481.199999999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3390609.73</v>
      </c>
      <c r="D66" s="23" t="s">
        <v>288</v>
      </c>
      <c r="E66" s="23" t="s">
        <v>288</v>
      </c>
      <c r="F66" s="23" t="s">
        <v>288</v>
      </c>
      <c r="G66" s="23" t="s">
        <v>288</v>
      </c>
      <c r="H66" s="13">
        <f t="shared" ref="H66:H81" si="4">SUM(C66:G66)</f>
        <v>3390609.73</v>
      </c>
      <c r="I66"/>
    </row>
    <row r="67" spans="1:9" x14ac:dyDescent="0.2">
      <c r="A67" s="1" t="s">
        <v>770</v>
      </c>
      <c r="B67" s="6">
        <v>3112</v>
      </c>
      <c r="C67" s="73">
        <f>'DOE25'!F118</f>
        <v>1830315</v>
      </c>
      <c r="D67" s="23"/>
      <c r="E67" s="23"/>
      <c r="F67" s="23"/>
      <c r="G67" s="23"/>
      <c r="H67" s="13">
        <f t="shared" si="4"/>
        <v>1830315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182008.80000000002</v>
      </c>
      <c r="D69" s="73">
        <f>'DOE25'!G120</f>
        <v>0</v>
      </c>
      <c r="E69" s="73">
        <f>'DOE25'!H120</f>
        <v>0</v>
      </c>
      <c r="F69" s="73">
        <f>'DOE25'!I120</f>
        <v>0</v>
      </c>
      <c r="G69" s="73">
        <f>'DOE25'!J120</f>
        <v>0</v>
      </c>
      <c r="H69" s="13">
        <f t="shared" si="4"/>
        <v>182008.80000000002</v>
      </c>
      <c r="I69"/>
    </row>
    <row r="70" spans="1:9" ht="12" thickTop="1" x14ac:dyDescent="0.2">
      <c r="A70" s="28" t="s">
        <v>252</v>
      </c>
      <c r="B70" s="2"/>
      <c r="C70" s="97">
        <f>SUM(C66:C69)</f>
        <v>5402933.5300000003</v>
      </c>
      <c r="D70" s="97">
        <f>D69</f>
        <v>0</v>
      </c>
      <c r="E70" s="97">
        <f>E69</f>
        <v>0</v>
      </c>
      <c r="F70" s="97">
        <f>F69</f>
        <v>0</v>
      </c>
      <c r="G70" s="97">
        <f>G69</f>
        <v>0</v>
      </c>
      <c r="H70" s="13">
        <f t="shared" si="4"/>
        <v>5402933.5300000003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85415.7</v>
      </c>
      <c r="D72" s="23" t="s">
        <v>288</v>
      </c>
      <c r="E72" s="23" t="s">
        <v>288</v>
      </c>
      <c r="F72" s="73">
        <f>'DOE25'!I123</f>
        <v>0</v>
      </c>
      <c r="G72" s="23" t="s">
        <v>288</v>
      </c>
      <c r="H72" s="13">
        <f t="shared" si="4"/>
        <v>85415.7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313958</v>
      </c>
      <c r="D75" s="23" t="s">
        <v>288</v>
      </c>
      <c r="E75" s="23" t="s">
        <v>288</v>
      </c>
      <c r="F75" s="23" t="s">
        <v>288</v>
      </c>
      <c r="G75" s="23" t="s">
        <v>288</v>
      </c>
      <c r="H75" s="13">
        <f t="shared" si="4"/>
        <v>313958</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62253.93</v>
      </c>
      <c r="D77" s="73">
        <f>SUM('DOE25'!G131:G135)</f>
        <v>7875.05</v>
      </c>
      <c r="E77" s="73">
        <f>SUM('DOE25'!H131:H135)</f>
        <v>0</v>
      </c>
      <c r="F77" s="73">
        <f>SUM('DOE25'!I131:I135)</f>
        <v>0</v>
      </c>
      <c r="G77" s="73">
        <f>SUM('DOE25'!J131:J135)</f>
        <v>0</v>
      </c>
      <c r="H77" s="13">
        <f t="shared" si="4"/>
        <v>70128.98</v>
      </c>
      <c r="I77"/>
    </row>
    <row r="78" spans="1:9" ht="12.75" thickTop="1" thickBot="1" x14ac:dyDescent="0.25">
      <c r="A78" s="28" t="s">
        <v>259</v>
      </c>
      <c r="B78" s="6"/>
      <c r="C78" s="93">
        <f>SUM(C72:C77)</f>
        <v>461627.63</v>
      </c>
      <c r="D78" s="93">
        <f>SUM(D72:D77)</f>
        <v>7875.05</v>
      </c>
      <c r="E78" s="93">
        <f>SUM(E72:E77)</f>
        <v>0</v>
      </c>
      <c r="F78" s="93">
        <f>SUM(F72:F77)</f>
        <v>0</v>
      </c>
      <c r="G78" s="93">
        <f>SUM(G72:G77)</f>
        <v>0</v>
      </c>
      <c r="H78" s="13">
        <f t="shared" si="4"/>
        <v>469502.68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5864561.1600000001</v>
      </c>
      <c r="D81" s="93">
        <f>SUM(D79:D80)+D78+D70</f>
        <v>7875.05</v>
      </c>
      <c r="E81" s="93">
        <f>SUM(E79:E80)+E78+E70</f>
        <v>0</v>
      </c>
      <c r="F81" s="93">
        <f>SUM(F79:F80)+F78+F70</f>
        <v>0</v>
      </c>
      <c r="G81" s="93">
        <f>SUM(G79:G80)+G78+G70</f>
        <v>0</v>
      </c>
      <c r="H81" s="93">
        <f t="shared" si="4"/>
        <v>5872436.21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163821.65</v>
      </c>
      <c r="D88" s="253">
        <f>SUM('DOE25'!G153:G162)</f>
        <v>197517.18</v>
      </c>
      <c r="E88" s="253">
        <f>SUM('DOE25'!H153:H162)</f>
        <v>396333.03</v>
      </c>
      <c r="F88" s="253">
        <f>SUM('DOE25'!I153:I162)</f>
        <v>0</v>
      </c>
      <c r="G88" s="23" t="s">
        <v>288</v>
      </c>
      <c r="H88" s="13">
        <f t="shared" si="5"/>
        <v>757671.86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163821.65</v>
      </c>
      <c r="D91" s="94">
        <f>SUM(D85:D90)</f>
        <v>197517.18</v>
      </c>
      <c r="E91" s="94">
        <f>SUM(E85:E90)</f>
        <v>396333.03</v>
      </c>
      <c r="F91" s="94">
        <f>SUM(F85:F90)</f>
        <v>0</v>
      </c>
      <c r="G91" s="23" t="s">
        <v>288</v>
      </c>
      <c r="H91" s="13">
        <f t="shared" si="5"/>
        <v>757671.86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650000</v>
      </c>
      <c r="H96" s="13">
        <f t="shared" si="5"/>
        <v>650000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650000</v>
      </c>
      <c r="H103" s="68">
        <f t="shared" si="5"/>
        <v>650000</v>
      </c>
    </row>
    <row r="104" spans="1:8" ht="12.75" thickTop="1" thickBot="1" x14ac:dyDescent="0.25">
      <c r="A104" s="32" t="s">
        <v>761</v>
      </c>
      <c r="C104" s="68">
        <f>C63+C81+C91+C103</f>
        <v>30314202.309999999</v>
      </c>
      <c r="D104" s="68">
        <f>D63+D81+D91+D103</f>
        <v>705951.62999999989</v>
      </c>
      <c r="E104" s="68">
        <f>E63+E81+E91+E103</f>
        <v>420348.81000000006</v>
      </c>
      <c r="F104" s="68">
        <f>F63+F81+F91+F103</f>
        <v>0</v>
      </c>
      <c r="G104" s="68">
        <f>G63+G81+G103</f>
        <v>928086.52</v>
      </c>
      <c r="H104" s="68">
        <f t="shared" si="5"/>
        <v>32368589.269999996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12264088.68</v>
      </c>
      <c r="D109" s="23" t="s">
        <v>288</v>
      </c>
      <c r="E109" s="73">
        <f>('DOE25'!L277)+('DOE25'!L296)+('DOE25'!L315)</f>
        <v>30690.63</v>
      </c>
      <c r="F109" s="23" t="s">
        <v>288</v>
      </c>
      <c r="G109" s="23" t="s">
        <v>288</v>
      </c>
      <c r="H109" s="13">
        <f t="shared" ref="H109:H115" si="6">SUM(C109:G109)</f>
        <v>12294779.310000001</v>
      </c>
    </row>
    <row r="110" spans="1:8" x14ac:dyDescent="0.2">
      <c r="A110" t="s">
        <v>198</v>
      </c>
      <c r="B110" s="31" t="s">
        <v>199</v>
      </c>
      <c r="C110" s="73">
        <f>('DOE25'!L199)+('DOE25'!L217)+('DOE25'!L235)</f>
        <v>6108014.0600000005</v>
      </c>
      <c r="D110" s="23" t="s">
        <v>288</v>
      </c>
      <c r="E110" s="73">
        <f>('DOE25'!L278)+('DOE25'!L297)+('DOE25'!L316)</f>
        <v>127083.75</v>
      </c>
      <c r="F110" s="23" t="s">
        <v>288</v>
      </c>
      <c r="G110" s="23" t="s">
        <v>288</v>
      </c>
      <c r="H110" s="13">
        <f t="shared" si="6"/>
        <v>6235097.8100000005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221124.16999999998</v>
      </c>
      <c r="D112" s="23" t="s">
        <v>288</v>
      </c>
      <c r="E112" s="73">
        <f>+('DOE25'!L280)+('DOE25'!L299)+('DOE25'!L318)</f>
        <v>33519.58</v>
      </c>
      <c r="F112" s="23" t="s">
        <v>288</v>
      </c>
      <c r="G112" s="23" t="s">
        <v>288</v>
      </c>
      <c r="H112" s="13">
        <f t="shared" si="6"/>
        <v>254643.75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18593226.910000004</v>
      </c>
      <c r="D115" s="68">
        <f>SUM(D109:D114)</f>
        <v>0</v>
      </c>
      <c r="E115" s="68">
        <f>SUM(E109:E114)</f>
        <v>191293.96000000002</v>
      </c>
      <c r="F115" s="68">
        <f>SUM(F109:F114)</f>
        <v>0</v>
      </c>
      <c r="G115" s="68">
        <f>SUM(G109:G114)</f>
        <v>0</v>
      </c>
      <c r="H115" s="68">
        <f t="shared" si="6"/>
        <v>18784520.870000005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3740275.21</v>
      </c>
      <c r="D118" s="23" t="s">
        <v>288</v>
      </c>
      <c r="E118" s="73">
        <f>+('DOE25'!L282)+('DOE25'!L301)+('DOE25'!L320)</f>
        <v>101179.08</v>
      </c>
      <c r="F118" s="23" t="s">
        <v>288</v>
      </c>
      <c r="G118" s="23" t="s">
        <v>288</v>
      </c>
      <c r="H118" s="13">
        <f t="shared" ref="H118:H145" si="7">SUM(C118:G118)</f>
        <v>3841454.29</v>
      </c>
    </row>
    <row r="119" spans="1:8" x14ac:dyDescent="0.2">
      <c r="A119" t="s">
        <v>208</v>
      </c>
      <c r="B119" s="31" t="s">
        <v>209</v>
      </c>
      <c r="C119" s="73">
        <f>('DOE25'!L204)+('DOE25'!L222)+('DOE25'!L240)</f>
        <v>551609.73</v>
      </c>
      <c r="D119" s="23" t="s">
        <v>288</v>
      </c>
      <c r="E119" s="73">
        <f>+('DOE25'!L283)+('DOE25'!L302)+('DOE25'!L321)</f>
        <v>106842.41</v>
      </c>
      <c r="F119" s="23" t="s">
        <v>288</v>
      </c>
      <c r="G119" s="23" t="s">
        <v>288</v>
      </c>
      <c r="H119" s="13">
        <f t="shared" si="7"/>
        <v>658452.14</v>
      </c>
    </row>
    <row r="120" spans="1:8" x14ac:dyDescent="0.2">
      <c r="A120" t="s">
        <v>210</v>
      </c>
      <c r="B120" s="31" t="s">
        <v>211</v>
      </c>
      <c r="C120" s="73">
        <f>('DOE25'!L205)+('DOE25'!L223)+('DOE25'!L241)</f>
        <v>1704648.93</v>
      </c>
      <c r="D120" s="23" t="s">
        <v>288</v>
      </c>
      <c r="E120" s="73">
        <f>+('DOE25'!L284)+('DOE25'!L303)+('DOE25'!L322)</f>
        <v>0</v>
      </c>
      <c r="F120" s="23" t="s">
        <v>288</v>
      </c>
      <c r="G120" s="23" t="s">
        <v>288</v>
      </c>
      <c r="H120" s="13">
        <f t="shared" si="7"/>
        <v>1704648.93</v>
      </c>
    </row>
    <row r="121" spans="1:8" x14ac:dyDescent="0.2">
      <c r="A121" t="s">
        <v>212</v>
      </c>
      <c r="B121" s="31" t="s">
        <v>213</v>
      </c>
      <c r="C121" s="73">
        <f>('DOE25'!L206)+('DOE25'!L224)+('DOE25'!L242)</f>
        <v>1524279.19</v>
      </c>
      <c r="D121" s="23" t="s">
        <v>288</v>
      </c>
      <c r="E121" s="73">
        <f>+('DOE25'!L285)+('DOE25'!L304)+('DOE25'!L323)</f>
        <v>8047.3600000000006</v>
      </c>
      <c r="F121" s="23" t="s">
        <v>288</v>
      </c>
      <c r="G121" s="23" t="s">
        <v>288</v>
      </c>
      <c r="H121" s="13">
        <f t="shared" si="7"/>
        <v>1532326.55</v>
      </c>
    </row>
    <row r="122" spans="1:8" x14ac:dyDescent="0.2">
      <c r="A122" t="s">
        <v>214</v>
      </c>
      <c r="B122" s="31" t="s">
        <v>215</v>
      </c>
      <c r="C122" s="73">
        <f>('DOE25'!L207)+('DOE25'!L225)+('DOE25'!L243)</f>
        <v>31479.51</v>
      </c>
      <c r="D122" s="23" t="s">
        <v>288</v>
      </c>
      <c r="E122" s="73">
        <f>+('DOE25'!L286)+('DOE25'!L305)+('DOE25'!L324)</f>
        <v>0</v>
      </c>
      <c r="F122" s="23" t="s">
        <v>288</v>
      </c>
      <c r="G122" s="23" t="s">
        <v>288</v>
      </c>
      <c r="H122" s="13">
        <f t="shared" si="7"/>
        <v>31479.51</v>
      </c>
    </row>
    <row r="123" spans="1:8" x14ac:dyDescent="0.2">
      <c r="A123" t="s">
        <v>216</v>
      </c>
      <c r="B123" s="31" t="s">
        <v>217</v>
      </c>
      <c r="C123" s="73">
        <f>('DOE25'!L208)+('DOE25'!L226)+('DOE25'!L244)</f>
        <v>1756253.74</v>
      </c>
      <c r="D123" s="23" t="s">
        <v>288</v>
      </c>
      <c r="E123" s="73">
        <f>+('DOE25'!L287)+('DOE25'!L306)+('DOE25'!L325)</f>
        <v>7322</v>
      </c>
      <c r="F123" s="23" t="s">
        <v>288</v>
      </c>
      <c r="G123" s="23" t="s">
        <v>288</v>
      </c>
      <c r="H123" s="13">
        <f t="shared" si="7"/>
        <v>1763575.74</v>
      </c>
    </row>
    <row r="124" spans="1:8" x14ac:dyDescent="0.2">
      <c r="A124" t="s">
        <v>218</v>
      </c>
      <c r="B124" s="31" t="s">
        <v>219</v>
      </c>
      <c r="C124" s="73">
        <f>('DOE25'!L209)+('DOE25'!L227)+('DOE25'!L245+'DOE25'!L255)</f>
        <v>874184.97</v>
      </c>
      <c r="D124" s="23" t="s">
        <v>288</v>
      </c>
      <c r="E124" s="73">
        <f>+('DOE25'!L288)+('DOE25'!L307)+('DOE25'!L326)</f>
        <v>0</v>
      </c>
      <c r="F124" s="23" t="s">
        <v>288</v>
      </c>
      <c r="G124" s="23" t="s">
        <v>288</v>
      </c>
      <c r="H124" s="13">
        <f t="shared" si="7"/>
        <v>874184.97</v>
      </c>
    </row>
    <row r="125" spans="1:8" x14ac:dyDescent="0.2">
      <c r="A125" t="s">
        <v>220</v>
      </c>
      <c r="B125" s="31" t="s">
        <v>221</v>
      </c>
      <c r="C125" s="73">
        <f>('DOE25'!L210)+('DOE25'!L228)+('DOE25'!L246)</f>
        <v>390256.97</v>
      </c>
      <c r="D125" s="23" t="s">
        <v>288</v>
      </c>
      <c r="E125" s="73">
        <f>+('DOE25'!L289)+('DOE25'!L308)+('DOE25'!L327)</f>
        <v>5664</v>
      </c>
      <c r="F125" s="23" t="s">
        <v>288</v>
      </c>
      <c r="G125" s="23" t="s">
        <v>288</v>
      </c>
      <c r="H125" s="13">
        <f t="shared" si="7"/>
        <v>395920.97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673807.51</v>
      </c>
      <c r="E127" s="23" t="s">
        <v>288</v>
      </c>
      <c r="F127" s="23" t="s">
        <v>288</v>
      </c>
      <c r="G127" s="23" t="s">
        <v>288</v>
      </c>
      <c r="H127" s="13">
        <f t="shared" si="7"/>
        <v>673807.51</v>
      </c>
    </row>
    <row r="128" spans="1:8" ht="12.75" thickTop="1" thickBot="1" x14ac:dyDescent="0.25">
      <c r="A128" s="32" t="s">
        <v>226</v>
      </c>
      <c r="C128" s="68">
        <f>SUM(C118:C127)</f>
        <v>10572988.25</v>
      </c>
      <c r="D128" s="68">
        <f>SUM(D118:D127)</f>
        <v>673807.51</v>
      </c>
      <c r="E128" s="68">
        <f>SUM(E118:E127)</f>
        <v>229054.84999999998</v>
      </c>
      <c r="F128" s="68">
        <f>SUM(F118:F127)</f>
        <v>0</v>
      </c>
      <c r="G128" s="68">
        <f>SUM(G118:G127)</f>
        <v>0</v>
      </c>
      <c r="H128" s="68">
        <f t="shared" si="7"/>
        <v>11475850.609999999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195000</v>
      </c>
      <c r="D131" s="23" t="s">
        <v>288</v>
      </c>
      <c r="E131" s="92">
        <f>'DOE25'!L342</f>
        <v>0</v>
      </c>
      <c r="F131" s="23" t="s">
        <v>288</v>
      </c>
      <c r="G131" s="23" t="s">
        <v>288</v>
      </c>
      <c r="H131" s="13">
        <f t="shared" si="7"/>
        <v>195000</v>
      </c>
    </row>
    <row r="132" spans="1:8" x14ac:dyDescent="0.2">
      <c r="A132" t="s">
        <v>230</v>
      </c>
      <c r="B132" s="31">
        <v>5120</v>
      </c>
      <c r="C132" s="73">
        <f>'DOE25'!L262</f>
        <v>40484.51</v>
      </c>
      <c r="D132" s="23" t="s">
        <v>288</v>
      </c>
      <c r="E132" s="92">
        <f>'DOE25'!L343</f>
        <v>0</v>
      </c>
      <c r="F132" s="23" t="s">
        <v>288</v>
      </c>
      <c r="G132" s="23" t="s">
        <v>288</v>
      </c>
      <c r="H132" s="13">
        <f t="shared" si="7"/>
        <v>40484.51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251546.1</v>
      </c>
      <c r="H134" s="13">
        <f t="shared" si="7"/>
        <v>251546.1</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692716.23</v>
      </c>
      <c r="D139" s="23" t="s">
        <v>288</v>
      </c>
      <c r="E139" s="23" t="s">
        <v>288</v>
      </c>
      <c r="F139" s="23" t="s">
        <v>288</v>
      </c>
      <c r="G139" s="23" t="s">
        <v>288</v>
      </c>
      <c r="H139" s="13">
        <f t="shared" si="7"/>
        <v>692716.23</v>
      </c>
    </row>
    <row r="140" spans="1:8" x14ac:dyDescent="0.2">
      <c r="A140" t="s">
        <v>240</v>
      </c>
      <c r="B140" s="31">
        <v>5253</v>
      </c>
      <c r="C140" s="73">
        <f>'DOE25'!L408</f>
        <v>235370.28999999998</v>
      </c>
      <c r="D140" s="23" t="s">
        <v>288</v>
      </c>
      <c r="E140" s="23" t="s">
        <v>288</v>
      </c>
      <c r="F140" s="23" t="s">
        <v>288</v>
      </c>
      <c r="G140" s="23" t="s">
        <v>288</v>
      </c>
      <c r="H140" s="13">
        <f t="shared" si="7"/>
        <v>235370.28999999998</v>
      </c>
    </row>
    <row r="141" spans="1:8" x14ac:dyDescent="0.2">
      <c r="A141" t="s">
        <v>762</v>
      </c>
      <c r="B141" s="31">
        <v>5254</v>
      </c>
      <c r="C141" s="73">
        <f>('DOE25'!L267+'DOE25'!K348) - (C138+C139+C140)</f>
        <v>-278086.52</v>
      </c>
      <c r="D141" s="23" t="s">
        <v>288</v>
      </c>
      <c r="E141" s="23" t="s">
        <v>288</v>
      </c>
      <c r="F141" s="23" t="s">
        <v>288</v>
      </c>
      <c r="G141" s="23" t="s">
        <v>288</v>
      </c>
      <c r="H141" s="13">
        <f t="shared" si="7"/>
        <v>-278086.52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885484.51</v>
      </c>
      <c r="D144" s="98">
        <f>SUM(D130:D143)</f>
        <v>0</v>
      </c>
      <c r="E144" s="98">
        <f>SUM(E130:E143)</f>
        <v>0</v>
      </c>
      <c r="F144" s="98">
        <f>SUM(F130:F143)</f>
        <v>0</v>
      </c>
      <c r="G144" s="98">
        <f>SUM(G130:G143)</f>
        <v>251546.1</v>
      </c>
      <c r="H144" s="98">
        <f t="shared" si="7"/>
        <v>1137030.6100000001</v>
      </c>
    </row>
    <row r="145" spans="1:9" ht="12.75" thickTop="1" thickBot="1" x14ac:dyDescent="0.25">
      <c r="A145" s="32" t="s">
        <v>244</v>
      </c>
      <c r="C145" s="68">
        <f>(C115+C128+C144)</f>
        <v>30051699.670000006</v>
      </c>
      <c r="D145" s="68">
        <f>(D115+D128+D144)</f>
        <v>673807.51</v>
      </c>
      <c r="E145" s="68">
        <f>(E115+E128+E144)</f>
        <v>420348.81</v>
      </c>
      <c r="F145" s="68">
        <f>(F115+F128+F144)</f>
        <v>0</v>
      </c>
      <c r="G145" s="68">
        <f>(G115+G128+G144)</f>
        <v>251546.1</v>
      </c>
      <c r="H145" s="68">
        <f t="shared" si="7"/>
        <v>31397402.090000007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07/08</v>
      </c>
      <c r="C152" s="109">
        <f>'DOE25'!G492</f>
        <v>0</v>
      </c>
      <c r="D152" s="109">
        <f>'DOE25'!H492</f>
        <v>0</v>
      </c>
      <c r="E152" s="109">
        <f>'DOE25'!I492</f>
        <v>0</v>
      </c>
      <c r="F152" s="109">
        <f>'DOE25'!J492</f>
        <v>0</v>
      </c>
      <c r="G152" s="23" t="s">
        <v>288</v>
      </c>
    </row>
    <row r="153" spans="1:9" x14ac:dyDescent="0.2">
      <c r="A153" s="21" t="s">
        <v>29</v>
      </c>
      <c r="B153" s="109" t="str">
        <f>'DOE25'!F493</f>
        <v>8/28</v>
      </c>
      <c r="C153" s="109">
        <f>'DOE25'!G493</f>
        <v>0</v>
      </c>
      <c r="D153" s="109">
        <f>'DOE25'!H493</f>
        <v>0</v>
      </c>
      <c r="E153" s="109">
        <f>'DOE25'!I493</f>
        <v>0</v>
      </c>
      <c r="F153" s="109">
        <f>'DOE25'!J493</f>
        <v>0</v>
      </c>
      <c r="G153" s="23" t="s">
        <v>288</v>
      </c>
    </row>
    <row r="154" spans="1:9" x14ac:dyDescent="0.2">
      <c r="A154" s="21" t="s">
        <v>30</v>
      </c>
      <c r="B154" s="19">
        <f>'DOE25'!F494</f>
        <v>3883620</v>
      </c>
      <c r="C154" s="19">
        <f>'DOE25'!G494</f>
        <v>0</v>
      </c>
      <c r="D154" s="19">
        <f>'DOE25'!H494</f>
        <v>0</v>
      </c>
      <c r="E154" s="19">
        <f>'DOE25'!I494</f>
        <v>0</v>
      </c>
      <c r="F154" s="19">
        <f>'DOE25'!J494</f>
        <v>0</v>
      </c>
      <c r="G154" s="23" t="s">
        <v>288</v>
      </c>
    </row>
    <row r="155" spans="1:9" x14ac:dyDescent="0.2">
      <c r="A155" s="21" t="s">
        <v>31</v>
      </c>
      <c r="B155" s="19">
        <f>'DOE25'!F495</f>
        <v>4.24</v>
      </c>
      <c r="C155" s="19">
        <f>'DOE25'!G495</f>
        <v>0</v>
      </c>
      <c r="D155" s="19">
        <f>'DOE25'!H495</f>
        <v>0</v>
      </c>
      <c r="E155" s="19">
        <f>'DOE25'!I495</f>
        <v>0</v>
      </c>
      <c r="F155" s="19">
        <f>'DOE25'!J495</f>
        <v>0</v>
      </c>
      <c r="G155" s="23" t="s">
        <v>288</v>
      </c>
    </row>
    <row r="156" spans="1:9" x14ac:dyDescent="0.2">
      <c r="A156" s="21" t="s">
        <v>32</v>
      </c>
      <c r="B156" s="19">
        <f>'DOE25'!F496</f>
        <v>1350000</v>
      </c>
      <c r="C156" s="19">
        <f>'DOE25'!G496</f>
        <v>0</v>
      </c>
      <c r="D156" s="19">
        <f>'DOE25'!H496</f>
        <v>0</v>
      </c>
      <c r="E156" s="19">
        <f>'DOE25'!I496</f>
        <v>0</v>
      </c>
      <c r="F156" s="19">
        <f>'DOE25'!J496</f>
        <v>0</v>
      </c>
      <c r="G156" s="96">
        <f>SUM(B156:F156)</f>
        <v>1350000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195000</v>
      </c>
      <c r="C158" s="19">
        <f>'DOE25'!G498</f>
        <v>0</v>
      </c>
      <c r="D158" s="19">
        <f>'DOE25'!H498</f>
        <v>0</v>
      </c>
      <c r="E158" s="19">
        <f>'DOE25'!I498</f>
        <v>0</v>
      </c>
      <c r="F158" s="19">
        <f>'DOE25'!J498</f>
        <v>0</v>
      </c>
      <c r="G158" s="96">
        <f t="shared" si="8"/>
        <v>195000</v>
      </c>
    </row>
    <row r="159" spans="1:9" x14ac:dyDescent="0.2">
      <c r="A159" s="21" t="s">
        <v>35</v>
      </c>
      <c r="B159" s="19">
        <f>'DOE25'!F499</f>
        <v>1155000</v>
      </c>
      <c r="C159" s="19">
        <f>'DOE25'!G499</f>
        <v>0</v>
      </c>
      <c r="D159" s="19">
        <f>'DOE25'!H499</f>
        <v>0</v>
      </c>
      <c r="E159" s="19">
        <f>'DOE25'!I499</f>
        <v>0</v>
      </c>
      <c r="F159" s="19">
        <f>'DOE25'!J499</f>
        <v>0</v>
      </c>
      <c r="G159" s="96">
        <f t="shared" si="8"/>
        <v>1155000</v>
      </c>
    </row>
    <row r="160" spans="1:9" x14ac:dyDescent="0.2">
      <c r="A160" s="21" t="s">
        <v>36</v>
      </c>
      <c r="B160" s="19">
        <f>'DOE25'!F500</f>
        <v>82330.899999999994</v>
      </c>
      <c r="C160" s="19">
        <f>'DOE25'!G500</f>
        <v>0</v>
      </c>
      <c r="D160" s="19">
        <f>'DOE25'!H500</f>
        <v>0</v>
      </c>
      <c r="E160" s="19">
        <f>'DOE25'!I500</f>
        <v>0</v>
      </c>
      <c r="F160" s="19">
        <f>'DOE25'!J500</f>
        <v>0</v>
      </c>
      <c r="G160" s="96">
        <f t="shared" si="8"/>
        <v>82330.899999999994</v>
      </c>
    </row>
    <row r="161" spans="1:7" x14ac:dyDescent="0.2">
      <c r="A161" s="21" t="s">
        <v>37</v>
      </c>
      <c r="B161" s="19">
        <f>'DOE25'!F501</f>
        <v>1237330.8999999999</v>
      </c>
      <c r="C161" s="19">
        <f>'DOE25'!G501</f>
        <v>0</v>
      </c>
      <c r="D161" s="19">
        <f>'DOE25'!H501</f>
        <v>0</v>
      </c>
      <c r="E161" s="19">
        <f>'DOE25'!I501</f>
        <v>0</v>
      </c>
      <c r="F161" s="19">
        <f>'DOE25'!J501</f>
        <v>0</v>
      </c>
      <c r="G161" s="96">
        <f t="shared" si="8"/>
        <v>1237330.8999999999</v>
      </c>
    </row>
    <row r="162" spans="1:7" x14ac:dyDescent="0.2">
      <c r="A162" s="21" t="s">
        <v>38</v>
      </c>
      <c r="B162" s="19">
        <f>'DOE25'!F502</f>
        <v>195000</v>
      </c>
      <c r="C162" s="19">
        <f>'DOE25'!G502</f>
        <v>0</v>
      </c>
      <c r="D162" s="19">
        <f>'DOE25'!H502</f>
        <v>0</v>
      </c>
      <c r="E162" s="19">
        <f>'DOE25'!I502</f>
        <v>0</v>
      </c>
      <c r="F162" s="19">
        <f>'DOE25'!J502</f>
        <v>0</v>
      </c>
      <c r="G162" s="96">
        <f t="shared" si="8"/>
        <v>195000</v>
      </c>
    </row>
    <row r="163" spans="1:7" x14ac:dyDescent="0.2">
      <c r="A163" s="21" t="s">
        <v>39</v>
      </c>
      <c r="B163" s="19">
        <f>'DOE25'!F503</f>
        <v>32198</v>
      </c>
      <c r="C163" s="19">
        <f>'DOE25'!G503</f>
        <v>0</v>
      </c>
      <c r="D163" s="19">
        <f>'DOE25'!H503</f>
        <v>0</v>
      </c>
      <c r="E163" s="19">
        <f>'DOE25'!I503</f>
        <v>0</v>
      </c>
      <c r="F163" s="19">
        <f>'DOE25'!J503</f>
        <v>0</v>
      </c>
      <c r="G163" s="96">
        <f t="shared" si="8"/>
        <v>32198</v>
      </c>
    </row>
    <row r="164" spans="1:7" x14ac:dyDescent="0.2">
      <c r="A164" s="21" t="s">
        <v>246</v>
      </c>
      <c r="B164" s="19">
        <f>'DOE25'!F504</f>
        <v>227198</v>
      </c>
      <c r="C164" s="19">
        <f>'DOE25'!G504</f>
        <v>0</v>
      </c>
      <c r="D164" s="19">
        <f>'DOE25'!H504</f>
        <v>0</v>
      </c>
      <c r="E164" s="19">
        <f>'DOE25'!I504</f>
        <v>0</v>
      </c>
      <c r="F164" s="19">
        <f>'DOE25'!J504</f>
        <v>0</v>
      </c>
      <c r="G164" s="96">
        <f t="shared" si="8"/>
        <v>227198</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Amherst</v>
      </c>
    </row>
    <row r="3" spans="1:4" x14ac:dyDescent="0.2">
      <c r="B3" s="137" t="s">
        <v>1799</v>
      </c>
    </row>
    <row r="4" spans="1:4" x14ac:dyDescent="0.2">
      <c r="B4" t="s">
        <v>61</v>
      </c>
      <c r="C4" s="129">
        <f>IF('DOE25'!F666+'DOE25'!F671=0,0,ROUND('DOE25'!F673,0))</f>
        <v>21161</v>
      </c>
    </row>
    <row r="5" spans="1:4" x14ac:dyDescent="0.2">
      <c r="B5" t="s">
        <v>700</v>
      </c>
      <c r="C5" s="129">
        <f>IF('DOE25'!G666+'DOE25'!G671=0,0,ROUND('DOE25'!G673,0))</f>
        <v>21529</v>
      </c>
    </row>
    <row r="6" spans="1:4" x14ac:dyDescent="0.2">
      <c r="B6" t="s">
        <v>62</v>
      </c>
      <c r="C6" s="129">
        <f>IF('DOE25'!H666+'DOE25'!H671=0,0,ROUND('DOE25'!H673,0))</f>
        <v>0</v>
      </c>
    </row>
    <row r="7" spans="1:4" x14ac:dyDescent="0.2">
      <c r="B7" t="s">
        <v>701</v>
      </c>
      <c r="C7" s="129">
        <f>IF('DOE25'!I666+'DOE25'!I671=0,0,ROUND('DOE25'!I673,0))</f>
        <v>21338</v>
      </c>
    </row>
    <row r="9" spans="1:4" x14ac:dyDescent="0.2">
      <c r="A9" s="136" t="s">
        <v>94</v>
      </c>
      <c r="B9" s="137" t="s">
        <v>1800</v>
      </c>
      <c r="C9" s="131" t="s">
        <v>720</v>
      </c>
      <c r="D9" s="131" t="s">
        <v>721</v>
      </c>
    </row>
    <row r="10" spans="1:4" x14ac:dyDescent="0.2">
      <c r="A10">
        <v>1100</v>
      </c>
      <c r="B10" t="s">
        <v>702</v>
      </c>
      <c r="C10" s="129">
        <f>ROUND('DOE25'!L198+'DOE25'!L216+'DOE25'!L234+'DOE25'!L277+'DOE25'!L296+'DOE25'!L315,0)</f>
        <v>12294779</v>
      </c>
      <c r="D10" s="132">
        <f>ROUND((C10/$C$28)*100,1)</f>
        <v>41.3</v>
      </c>
    </row>
    <row r="11" spans="1:4" x14ac:dyDescent="0.2">
      <c r="A11">
        <v>1200</v>
      </c>
      <c r="B11" t="s">
        <v>703</v>
      </c>
      <c r="C11" s="129">
        <f>ROUND('DOE25'!L199+'DOE25'!L217+'DOE25'!L235+'DOE25'!L278+'DOE25'!L297+'DOE25'!L316,0)</f>
        <v>6235098</v>
      </c>
      <c r="D11" s="132">
        <f>ROUND((C11/$C$28)*100,1)</f>
        <v>20.9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254644</v>
      </c>
      <c r="D13" s="132">
        <f>ROUND((C13/$C$28)*100,1)</f>
        <v>0.9</v>
      </c>
    </row>
    <row r="14" spans="1:4" x14ac:dyDescent="0.2">
      <c r="D14" s="132"/>
    </row>
    <row r="15" spans="1:4" x14ac:dyDescent="0.2">
      <c r="A15">
        <v>2100</v>
      </c>
      <c r="B15" t="s">
        <v>706</v>
      </c>
      <c r="C15" s="129">
        <f>ROUND('DOE25'!L203+'DOE25'!L221+'DOE25'!L239+'DOE25'!L282+'DOE25'!L301+'DOE25'!L320,0)</f>
        <v>3841454</v>
      </c>
      <c r="D15" s="132">
        <f t="shared" ref="D15:D27" si="0">ROUND((C15/$C$28)*100,1)</f>
        <v>12.9</v>
      </c>
    </row>
    <row r="16" spans="1:4" x14ac:dyDescent="0.2">
      <c r="A16">
        <v>2200</v>
      </c>
      <c r="B16" t="s">
        <v>707</v>
      </c>
      <c r="C16" s="129">
        <f>ROUND('DOE25'!L204+'DOE25'!L222+'DOE25'!L240+'DOE25'!L283+'DOE25'!L302+'DOE25'!L321,0)</f>
        <v>658452</v>
      </c>
      <c r="D16" s="132">
        <f t="shared" si="0"/>
        <v>2.2000000000000002</v>
      </c>
    </row>
    <row r="17" spans="1:4" x14ac:dyDescent="0.2">
      <c r="A17" s="133" t="s">
        <v>723</v>
      </c>
      <c r="B17" t="s">
        <v>738</v>
      </c>
      <c r="C17" s="129">
        <f>ROUND('DOE25'!L205+'DOE25'!L210+'DOE25'!L223+'DOE25'!L228+'DOE25'!L241+'DOE25'!L246+'DOE25'!L284+'DOE25'!L289+'DOE25'!L303+'DOE25'!L308+'DOE25'!L322+'DOE25'!L327,0)</f>
        <v>2100570</v>
      </c>
      <c r="D17" s="132">
        <f t="shared" si="0"/>
        <v>7</v>
      </c>
    </row>
    <row r="18" spans="1:4" x14ac:dyDescent="0.2">
      <c r="A18">
        <v>2400</v>
      </c>
      <c r="B18" t="s">
        <v>711</v>
      </c>
      <c r="C18" s="129">
        <f>ROUND('DOE25'!L206+'DOE25'!L224+'DOE25'!L242+'DOE25'!L285+'DOE25'!L304+'DOE25'!L323,0)</f>
        <v>1532327</v>
      </c>
      <c r="D18" s="132">
        <f t="shared" si="0"/>
        <v>5.0999999999999996</v>
      </c>
    </row>
    <row r="19" spans="1:4" x14ac:dyDescent="0.2">
      <c r="A19">
        <v>2500</v>
      </c>
      <c r="B19" t="s">
        <v>708</v>
      </c>
      <c r="C19" s="129">
        <f>ROUND('DOE25'!L207+'DOE25'!L225+'DOE25'!L243+'DOE25'!L286+'DOE25'!L305+'DOE25'!L324,0)</f>
        <v>31480</v>
      </c>
      <c r="D19" s="132">
        <f t="shared" si="0"/>
        <v>0.1</v>
      </c>
    </row>
    <row r="20" spans="1:4" x14ac:dyDescent="0.2">
      <c r="A20">
        <v>2600</v>
      </c>
      <c r="B20" t="s">
        <v>709</v>
      </c>
      <c r="C20" s="129">
        <f>ROUND('DOE25'!L208+'DOE25'!L226+'DOE25'!L244+'DOE25'!L287+'DOE25'!L306+'DOE25'!L325,0)</f>
        <v>1763576</v>
      </c>
      <c r="D20" s="132">
        <f t="shared" si="0"/>
        <v>5.9</v>
      </c>
    </row>
    <row r="21" spans="1:4" x14ac:dyDescent="0.2">
      <c r="A21">
        <v>2700</v>
      </c>
      <c r="B21" t="s">
        <v>710</v>
      </c>
      <c r="C21" s="129">
        <f>ROUND('DOE25'!L209+'DOE25'!L227+'DOE25'!L245+'DOE25'!L288+'DOE25'!L307+'DOE25'!L326,0)</f>
        <v>874185</v>
      </c>
      <c r="D21" s="132">
        <f t="shared" si="0"/>
        <v>2.9</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40485</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173248.60000000003</v>
      </c>
      <c r="D27" s="132">
        <f t="shared" si="0"/>
        <v>0.6</v>
      </c>
    </row>
    <row r="28" spans="1:4" x14ac:dyDescent="0.2">
      <c r="B28" s="136" t="s">
        <v>719</v>
      </c>
      <c r="C28" s="130">
        <f>SUM(C10:C27)</f>
        <v>29800298.600000001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29800298.600000001</v>
      </c>
    </row>
    <row r="31" spans="1:4" x14ac:dyDescent="0.2">
      <c r="B31" s="32"/>
      <c r="C31" s="130"/>
    </row>
    <row r="32" spans="1:4" x14ac:dyDescent="0.2">
      <c r="A32">
        <v>5100</v>
      </c>
      <c r="B32" s="32" t="s">
        <v>726</v>
      </c>
      <c r="C32" s="130">
        <f>ROUND('DOE25'!L261+'DOE25'!L342,0)</f>
        <v>195000</v>
      </c>
    </row>
    <row r="34" spans="1:4" x14ac:dyDescent="0.2">
      <c r="A34" s="136" t="s">
        <v>94</v>
      </c>
      <c r="B34" s="137" t="s">
        <v>1801</v>
      </c>
      <c r="C34" s="131" t="s">
        <v>720</v>
      </c>
      <c r="D34" s="131" t="s">
        <v>721</v>
      </c>
    </row>
    <row r="35" spans="1:4" x14ac:dyDescent="0.2">
      <c r="A35">
        <v>1100</v>
      </c>
      <c r="B35" s="71" t="s">
        <v>727</v>
      </c>
      <c r="C35" s="129">
        <f>ROUND('DOE25'!F60+'DOE25'!G60+'DOE25'!H60+'DOE25'!I60+'DOE25'!J60,0)</f>
        <v>22436063</v>
      </c>
      <c r="D35" s="132">
        <f t="shared" ref="D35:D40" si="1">ROUND((C35/$C$41)*100,1)</f>
        <v>71.900000000000006</v>
      </c>
    </row>
    <row r="36" spans="1:4" x14ac:dyDescent="0.2">
      <c r="B36" s="71" t="s">
        <v>739</v>
      </c>
      <c r="C36" s="129">
        <f>SUM('DOE25'!F112:J112)-SUM('DOE25'!G97:G110)+('DOE25'!F175+'DOE25'!F176+'DOE25'!I175+'DOE25'!I176)-C35</f>
        <v>2151858.8000000007</v>
      </c>
      <c r="D36" s="132">
        <f t="shared" si="1"/>
        <v>6.9</v>
      </c>
    </row>
    <row r="37" spans="1:4" x14ac:dyDescent="0.2">
      <c r="A37" s="133" t="s">
        <v>834</v>
      </c>
      <c r="B37" s="71" t="s">
        <v>728</v>
      </c>
      <c r="C37" s="129">
        <f>ROUND('DOE25'!F117+'DOE25'!F118,0)</f>
        <v>5220925</v>
      </c>
      <c r="D37" s="132">
        <f t="shared" si="1"/>
        <v>16.7</v>
      </c>
    </row>
    <row r="38" spans="1:4" x14ac:dyDescent="0.2">
      <c r="A38" s="133" t="s">
        <v>734</v>
      </c>
      <c r="B38" s="71" t="s">
        <v>729</v>
      </c>
      <c r="C38" s="129">
        <f>ROUND(SUM('DOE25'!F140:J140)-SUM('DOE25'!F117:F119),0)</f>
        <v>651511</v>
      </c>
      <c r="D38" s="132">
        <f t="shared" si="1"/>
        <v>2.1</v>
      </c>
    </row>
    <row r="39" spans="1:4" x14ac:dyDescent="0.2">
      <c r="A39">
        <v>4000</v>
      </c>
      <c r="B39" s="71" t="s">
        <v>730</v>
      </c>
      <c r="C39" s="129">
        <f>ROUND('DOE25'!F170+'DOE25'!G170+'DOE25'!H170+'DOE25'!I170,0)</f>
        <v>757672</v>
      </c>
      <c r="D39" s="132">
        <f t="shared" si="1"/>
        <v>2.4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31218029.800000001</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Amherst</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49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3</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f>IF('School Level Expenditures'!$B$2='School Tables'!L6,'School Tables'!S6,"")</f>
        <v>3</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f>IF('School Level Expenditures'!$B$2=A52,'School Tables'!H52,"")</f>
        <v>49</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2023-08-24T15:46:24Z</cp:lastPrinted>
  <dcterms:created xsi:type="dcterms:W3CDTF">1997-12-04T19:04:30Z</dcterms:created>
  <dcterms:modified xsi:type="dcterms:W3CDTF">2023-09-11T13:51:02Z</dcterms:modified>
</cp:coreProperties>
</file>