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C48DF2F-63E5-4E99-B7FE-94852A3849D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80" i="1" l="1"/>
  <c r="C19" i="12" l="1"/>
  <c r="C20" i="12"/>
  <c r="B19" i="12"/>
  <c r="B20" i="12"/>
  <c r="D7" i="14"/>
  <c r="E7" i="14"/>
  <c r="K38" i="14"/>
  <c r="K26" i="14"/>
  <c r="K7" i="14"/>
  <c r="E6" i="14"/>
  <c r="Q6" i="14"/>
  <c r="N6" i="14"/>
  <c r="M6" i="14"/>
  <c r="L6" i="14"/>
  <c r="L7" i="14"/>
  <c r="M26" i="14"/>
  <c r="L26" i="14"/>
  <c r="H582" i="1"/>
  <c r="H576" i="1"/>
  <c r="G523" i="1"/>
  <c r="F523" i="1"/>
  <c r="G522" i="1"/>
  <c r="F522" i="1"/>
  <c r="G534" i="1"/>
  <c r="G533" i="1"/>
  <c r="G532" i="1"/>
  <c r="F534" i="1"/>
  <c r="F533" i="1"/>
  <c r="F532" i="1"/>
  <c r="H527" i="1"/>
  <c r="G527" i="1"/>
  <c r="F527" i="1"/>
  <c r="H544" i="1"/>
  <c r="H543" i="1"/>
  <c r="H542" i="1"/>
  <c r="H605" i="1"/>
  <c r="I605" i="1"/>
  <c r="H596" i="1"/>
  <c r="I593" i="1"/>
  <c r="H593" i="1"/>
  <c r="J592" i="1"/>
  <c r="I592" i="1"/>
  <c r="H592" i="1"/>
  <c r="H256" i="1"/>
  <c r="F96" i="1"/>
  <c r="F473" i="1"/>
  <c r="I226" i="1"/>
  <c r="G217" i="1" l="1"/>
  <c r="F217" i="1"/>
  <c r="G199" i="1"/>
  <c r="F199" i="1"/>
  <c r="I208" i="1"/>
  <c r="H208" i="1"/>
  <c r="H226" i="1"/>
  <c r="J226" i="1"/>
  <c r="J208" i="1"/>
  <c r="G226" i="1"/>
  <c r="F226" i="1"/>
  <c r="G208" i="1"/>
  <c r="F208" i="1"/>
  <c r="F287" i="1"/>
  <c r="H227" i="1"/>
  <c r="H245" i="1"/>
  <c r="H209" i="1"/>
  <c r="I243" i="1"/>
  <c r="H243" i="1"/>
  <c r="G243" i="1"/>
  <c r="F243" i="1"/>
  <c r="I207" i="1"/>
  <c r="H207" i="1"/>
  <c r="G207" i="1"/>
  <c r="F207" i="1"/>
  <c r="I225" i="1"/>
  <c r="H225" i="1"/>
  <c r="G225" i="1"/>
  <c r="F225" i="1"/>
  <c r="K224" i="1"/>
  <c r="J224" i="1"/>
  <c r="I224" i="1"/>
  <c r="H224" i="1"/>
  <c r="G224" i="1"/>
  <c r="F224" i="1"/>
  <c r="K206" i="1"/>
  <c r="J206" i="1"/>
  <c r="I206" i="1"/>
  <c r="H206" i="1"/>
  <c r="G206" i="1"/>
  <c r="F206" i="1"/>
  <c r="G241" i="1"/>
  <c r="G223" i="1"/>
  <c r="G205" i="1"/>
  <c r="K205" i="1"/>
  <c r="K223" i="1"/>
  <c r="K241" i="1"/>
  <c r="J241" i="1"/>
  <c r="J223" i="1"/>
  <c r="J205" i="1"/>
  <c r="I205" i="1"/>
  <c r="I223" i="1"/>
  <c r="I241" i="1"/>
  <c r="H241" i="1"/>
  <c r="H205" i="1"/>
  <c r="H223" i="1"/>
  <c r="F241" i="1"/>
  <c r="F223" i="1"/>
  <c r="F205" i="1"/>
  <c r="J222" i="1"/>
  <c r="I222" i="1"/>
  <c r="G222" i="1"/>
  <c r="F222" i="1"/>
  <c r="J204" i="1"/>
  <c r="I204" i="1"/>
  <c r="G204" i="1"/>
  <c r="F204" i="1"/>
  <c r="H222" i="1"/>
  <c r="K222" i="1"/>
  <c r="K204" i="1"/>
  <c r="H204" i="1"/>
  <c r="G221" i="1"/>
  <c r="F221" i="1"/>
  <c r="G203" i="1"/>
  <c r="F203" i="1"/>
  <c r="K221" i="1"/>
  <c r="K203" i="1"/>
  <c r="H203" i="1"/>
  <c r="I221" i="1"/>
  <c r="H221" i="1"/>
  <c r="I203" i="1"/>
  <c r="J203" i="1"/>
  <c r="K219" i="1"/>
  <c r="I219" i="1"/>
  <c r="H219" i="1"/>
  <c r="G219" i="1"/>
  <c r="F219" i="1"/>
  <c r="J235" i="1"/>
  <c r="H235" i="1"/>
  <c r="J217" i="1"/>
  <c r="I217" i="1"/>
  <c r="H217" i="1"/>
  <c r="J199" i="1"/>
  <c r="I199" i="1"/>
  <c r="I216" i="1"/>
  <c r="G216" i="1"/>
  <c r="F216" i="1"/>
  <c r="I198" i="1"/>
  <c r="G198" i="1"/>
  <c r="F198" i="1"/>
  <c r="H234" i="1"/>
  <c r="K216" i="1"/>
  <c r="H216" i="1"/>
  <c r="H198" i="1"/>
  <c r="H159" i="1"/>
  <c r="H155" i="1"/>
  <c r="E13" i="17"/>
  <c r="E9" i="17"/>
  <c r="F9" i="1"/>
  <c r="F110" i="1"/>
  <c r="F29" i="1"/>
  <c r="F120" i="1" l="1"/>
  <c r="F302" i="1"/>
  <c r="F296" i="1"/>
  <c r="I302" i="1"/>
  <c r="H302" i="1"/>
  <c r="G302" i="1"/>
  <c r="G297" i="1"/>
  <c r="F297" i="1"/>
  <c r="J296" i="1"/>
  <c r="I296" i="1"/>
  <c r="H296" i="1"/>
  <c r="G296" i="1"/>
  <c r="I283" i="1"/>
  <c r="H283" i="1"/>
  <c r="G283" i="1"/>
  <c r="F283" i="1"/>
  <c r="J277" i="1"/>
  <c r="I277" i="1"/>
  <c r="H277" i="1"/>
  <c r="G278" i="1"/>
  <c r="G277" i="1"/>
  <c r="F278" i="1"/>
  <c r="F277" i="1"/>
  <c r="G287" i="1"/>
  <c r="H162" i="1"/>
  <c r="H154" i="1"/>
  <c r="G9" i="1"/>
  <c r="H360" i="1"/>
  <c r="H359" i="1"/>
  <c r="G161" i="1"/>
  <c r="J360" i="1"/>
  <c r="K360" i="1"/>
  <c r="K359" i="1"/>
  <c r="J359" i="1"/>
  <c r="J96" i="1"/>
  <c r="J469" i="1"/>
  <c r="P2" i="14" l="1"/>
  <c r="Q43" i="14"/>
  <c r="P43" i="14"/>
  <c r="O43" i="14"/>
  <c r="N43" i="14"/>
  <c r="M43" i="14"/>
  <c r="L43" i="14"/>
  <c r="K43" i="14"/>
  <c r="Q33" i="14"/>
  <c r="P33" i="14"/>
  <c r="O33" i="14"/>
  <c r="N33" i="14"/>
  <c r="M33" i="14"/>
  <c r="L33" i="14"/>
  <c r="K33" i="14"/>
  <c r="Q21" i="14"/>
  <c r="P21" i="14"/>
  <c r="O21" i="14"/>
  <c r="N21" i="14"/>
  <c r="M21" i="14"/>
  <c r="L21" i="14"/>
  <c r="K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H47" i="2" s="1"/>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0" i="12" s="1"/>
  <c r="O2" i="14" s="1"/>
  <c r="O3" i="14" s="1"/>
  <c r="C9" i="12"/>
  <c r="C10" i="12" s="1"/>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H24" i="2" s="1"/>
  <c r="D24" i="2"/>
  <c r="E24" i="2"/>
  <c r="F24" i="2"/>
  <c r="C25" i="2"/>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D89" i="2"/>
  <c r="E89" i="2"/>
  <c r="F89" i="2"/>
  <c r="C90" i="2"/>
  <c r="H90" i="2" s="1"/>
  <c r="C93" i="2"/>
  <c r="H93" i="2" s="1"/>
  <c r="F93" i="2"/>
  <c r="C94" i="2"/>
  <c r="H94" i="2" s="1"/>
  <c r="F94" i="2"/>
  <c r="D96" i="2"/>
  <c r="E96" i="2"/>
  <c r="F96" i="2"/>
  <c r="G96" i="2"/>
  <c r="H96" i="2" s="1"/>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C112" i="2"/>
  <c r="H112" i="2" s="1"/>
  <c r="E112" i="2"/>
  <c r="D115" i="2"/>
  <c r="F115" i="2"/>
  <c r="G115" i="2"/>
  <c r="C119" i="2"/>
  <c r="E120"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I409" i="1" l="1"/>
  <c r="H69" i="2"/>
  <c r="H30" i="2"/>
  <c r="H28" i="2"/>
  <c r="H25" i="2"/>
  <c r="H17" i="2"/>
  <c r="B13" i="12"/>
  <c r="A13" i="12" s="1"/>
  <c r="D144" i="2"/>
  <c r="H102" i="2"/>
  <c r="H100" i="2"/>
  <c r="H98" i="2"/>
  <c r="H73" i="2"/>
  <c r="H23" i="2"/>
  <c r="H15" i="2"/>
  <c r="H11" i="2"/>
  <c r="E124" i="2"/>
  <c r="G663" i="1"/>
  <c r="H137" i="2"/>
  <c r="H80" i="2"/>
  <c r="D18" i="13"/>
  <c r="C18" i="13" s="1"/>
  <c r="C12" i="10"/>
  <c r="H9" i="2"/>
  <c r="H89" i="2"/>
  <c r="H34" i="2"/>
  <c r="H113" i="2"/>
  <c r="H132" i="2"/>
  <c r="H36" i="2"/>
  <c r="H44" i="2"/>
  <c r="H13" i="2"/>
  <c r="E121" i="2"/>
  <c r="H35" i="2"/>
  <c r="H101" i="2"/>
  <c r="H99" i="2"/>
  <c r="H79" i="2"/>
  <c r="H76" i="2"/>
  <c r="H58" i="2"/>
  <c r="J652" i="1"/>
  <c r="D15" i="13"/>
  <c r="C15" i="13" s="1"/>
  <c r="N2" i="14"/>
  <c r="N3" i="14" s="1"/>
  <c r="C121" i="2"/>
  <c r="H121" i="2" s="1"/>
  <c r="C120" i="2"/>
  <c r="H120" i="2" s="1"/>
  <c r="M2" i="14"/>
  <c r="M3" i="14" s="1"/>
  <c r="D6" i="13"/>
  <c r="C6" i="13" s="1"/>
  <c r="L2" i="14"/>
  <c r="L3" i="14" s="1"/>
  <c r="A40" i="12"/>
  <c r="C110" i="2"/>
  <c r="H59" i="2"/>
  <c r="H12" i="2"/>
  <c r="H48" i="2"/>
  <c r="K2" i="14"/>
  <c r="K3" i="14" s="1"/>
  <c r="H477" i="1"/>
  <c r="H625" i="1" s="1"/>
  <c r="H8" i="2"/>
  <c r="D78" i="2"/>
  <c r="H77" i="2"/>
  <c r="G662" i="1"/>
  <c r="D29" i="13"/>
  <c r="C29" i="13" s="1"/>
  <c r="G409" i="1"/>
  <c r="H646" i="1" s="1"/>
  <c r="J646" i="1" s="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H42" i="2"/>
  <c r="H16" i="2"/>
  <c r="H21" i="2"/>
  <c r="H31" i="2"/>
  <c r="H57" i="2"/>
  <c r="H134" i="2"/>
  <c r="H85" i="2"/>
  <c r="H123" i="2"/>
  <c r="H110" i="2"/>
  <c r="H103" i="2"/>
  <c r="H91" i="2"/>
  <c r="G24" i="14"/>
  <c r="H24" i="14" s="1"/>
  <c r="I24" i="14" s="1"/>
  <c r="E128" i="2"/>
  <c r="H18" i="2"/>
  <c r="H50" i="2"/>
  <c r="D51" i="2"/>
  <c r="H62" i="2"/>
  <c r="I662" i="1"/>
  <c r="D128" i="2"/>
  <c r="H127" i="2"/>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D145" i="2"/>
  <c r="H128" i="2"/>
  <c r="H104" i="2"/>
  <c r="H63"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rgb="FF000000"/>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rgb="FF000000"/>
            <rFont val="Tahoma"/>
            <family val="2"/>
          </rPr>
          <t>Total Current Trust Assets equal Total Liabilities and Equity on Page 18, column 1 for Capital Reserves</t>
        </r>
        <r>
          <rPr>
            <sz val="9"/>
            <color rgb="FF000000"/>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rgb="FF000000"/>
            <rFont val="Tahoma"/>
            <family val="2"/>
          </rPr>
          <t>Total Current Trust Assets equal Total Liabilities and Equity on Page 18, column 3 for Non-Expendable</t>
        </r>
        <r>
          <rPr>
            <sz val="9"/>
            <color rgb="FF000000"/>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rgb="FF000000"/>
            <rFont val="Tahoma"/>
            <family val="2"/>
          </rPr>
          <t>Welch, Matthew:</t>
        </r>
        <r>
          <rPr>
            <sz val="9"/>
            <color rgb="FF000000"/>
            <rFont val="Tahoma"/>
            <family val="2"/>
          </rPr>
          <t xml:space="preserve">
</t>
        </r>
        <r>
          <rPr>
            <sz val="9"/>
            <color rgb="FF000000"/>
            <rFont val="Tahoma"/>
            <family val="2"/>
          </rPr>
          <t>Fund tranfer to Spec Revenue Fund on Page 6 equals Special Revenue transfers reported on page 10</t>
        </r>
      </text>
    </comment>
    <comment ref="J655" authorId="1" shapeId="0" xr:uid="{57017603-5086-47ED-9A04-E74E69AFB10E}">
      <text>
        <r>
          <rPr>
            <b/>
            <sz val="9"/>
            <color rgb="FF000000"/>
            <rFont val="Tahoma"/>
            <family val="2"/>
          </rPr>
          <t>Welch, Matthew:</t>
        </r>
        <r>
          <rPr>
            <sz val="9"/>
            <color rgb="FF000000"/>
            <rFont val="Tahoma"/>
            <family val="2"/>
          </rPr>
          <t xml:space="preserve">
</t>
        </r>
        <r>
          <rPr>
            <sz val="9"/>
            <color rgb="FF000000"/>
            <rFont val="Tahoma"/>
            <family val="2"/>
          </rPr>
          <t>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rgb="FF000000"/>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<sst xmlns="http://schemas.openxmlformats.org/spreadsheetml/2006/main" count="6577" uniqueCount="1814">
  <si>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</si>
  <si>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</si>
  <si>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</si>
  <si>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</si>
  <si>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</si>
  <si>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</si>
  <si>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</si>
  <si>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</si>
  <si>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</si>
  <si>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</si>
  <si>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</si>
  <si>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</si>
  <si>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</si>
  <si>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</si>
  <si>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</si>
  <si>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</si>
  <si>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</si>
  <si>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</si>
  <si>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</si>
  <si>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</si>
  <si>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</si>
  <si>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</si>
  <si>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</si>
  <si>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</si>
  <si>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</si>
  <si>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</si>
  <si>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</si>
  <si>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</si>
  <si>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</si>
  <si>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</si>
  <si>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</si>
  <si>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</si>
  <si>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</si>
  <si>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</si>
  <si>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</si>
  <si>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</si>
  <si>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</si>
  <si>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</si>
  <si>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</si>
  <si>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</si>
  <si>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</si>
  <si>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</si>
  <si>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</si>
  <si>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</si>
  <si>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</si>
  <si>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</si>
  <si>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</si>
  <si>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</si>
  <si>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</si>
  <si>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</si>
  <si>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</si>
  <si>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</si>
  <si>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</si>
  <si>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</si>
  <si>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</si>
  <si>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</si>
  <si>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</si>
  <si>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</si>
  <si>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</si>
  <si>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</si>
  <si>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</si>
  <si>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</si>
  <si>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</si>
  <si>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</si>
  <si>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</si>
  <si>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</si>
  <si>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</si>
  <si>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</si>
  <si>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</si>
  <si>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</si>
  <si>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</si>
  <si>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</si>
  <si>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</si>
  <si>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</si>
  <si>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</si>
  <si>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</si>
  <si>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</si>
  <si>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</si>
  <si>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</si>
  <si>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</si>
  <si>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</si>
  <si>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</si>
  <si>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</si>
  <si>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</si>
  <si>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</si>
  <si>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</si>
  <si>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</si>
  <si>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</si>
  <si>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</si>
  <si>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</si>
  <si>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</si>
  <si>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</si>
  <si>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</si>
  <si>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</si>
  <si>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</si>
  <si>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</si>
  <si>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</si>
  <si>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</si>
  <si>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</si>
  <si>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</si>
  <si>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</si>
  <si>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</si>
  <si>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</si>
  <si>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</si>
  <si>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</si>
  <si>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</si>
  <si>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</si>
  <si>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</si>
  <si>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</si>
  <si>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</si>
  <si>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</si>
  <si>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</si>
  <si>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</si>
  <si>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</si>
  <si>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</si>
  <si>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</si>
  <si>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</si>
  <si>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</si>
  <si>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</si>
  <si>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</si>
  <si>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</si>
  <si>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</si>
  <si>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</si>
  <si>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</si>
  <si>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</si>
  <si>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</si>
  <si>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</si>
  <si>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</si>
  <si>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</si>
  <si>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</si>
  <si>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</si>
  <si>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</si>
  <si>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</si>
  <si>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</si>
  <si>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</si>
  <si>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</si>
  <si>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</si>
  <si>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</si>
  <si>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</si>
  <si>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</si>
  <si>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</si>
  <si>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</si>
  <si>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</si>
  <si>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</si>
  <si>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</si>
  <si>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</si>
  <si>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</si>
  <si>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</si>
  <si>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</si>
  <si>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</si>
  <si>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</si>
  <si>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</si>
  <si>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</si>
  <si>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</si>
  <si>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</si>
  <si>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</si>
  <si>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</si>
  <si>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</si>
  <si>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</si>
  <si>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</si>
  <si>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</si>
  <si>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</si>
  <si>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</si>
  <si>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</si>
  <si>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</si>
  <si>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</si>
  <si>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</si>
  <si>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</si>
  <si>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</si>
  <si>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</si>
  <si>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</si>
  <si>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</si>
  <si>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</si>
  <si>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</si>
  <si>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</si>
  <si>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</si>
  <si>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</si>
  <si>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</si>
  <si>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</si>
  <si>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</si>
  <si>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</si>
  <si>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</si>
  <si>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</si>
  <si>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</si>
  <si>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</si>
  <si>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</si>
  <si>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</si>
  <si>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</si>
  <si>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</si>
  <si>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</si>
  <si>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</si>
  <si>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</si>
  <si>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</si>
  <si>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</si>
  <si>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</si>
  <si>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</si>
  <si>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</si>
  <si>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</si>
  <si>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</si>
  <si>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</si>
  <si>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</si>
  <si>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</si>
  <si>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</si>
  <si>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</si>
  <si>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</si>
  <si>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</si>
  <si>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</si>
  <si>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</si>
  <si>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</si>
  <si>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</si>
  <si>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</si>
  <si>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</si>
  <si>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</si>
  <si>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</si>
  <si>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</si>
  <si>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</si>
  <si>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</si>
  <si>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</si>
  <si>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</si>
  <si>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</si>
  <si>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</si>
  <si>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</si>
  <si>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</si>
  <si>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</si>
  <si>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</si>
  <si>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</si>
  <si>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</si>
  <si>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</si>
  <si>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</si>
  <si>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</si>
  <si>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</si>
  <si>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</si>
  <si>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</si>
  <si>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</si>
  <si>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</si>
  <si>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</si>
  <si>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</si>
  <si>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</si>
  <si>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</si>
  <si>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</si>
  <si>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</si>
  <si>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</si>
  <si>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</si>
  <si>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</si>
  <si>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</si>
  <si>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</si>
  <si>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</si>
  <si>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</si>
  <si>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</si>
  <si>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</si>
  <si>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</si>
  <si>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</si>
  <si>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</si>
  <si>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</si>
  <si>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</si>
  <si>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</si>
  <si>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</si>
  <si>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</si>
  <si>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</si>
  <si>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</si>
  <si>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</si>
  <si>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</si>
  <si>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</si>
  <si>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</si>
  <si>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</si>
  <si>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</si>
  <si>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</si>
  <si>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</si>
  <si>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</si>
  <si>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</si>
  <si>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</si>
  <si>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</si>
  <si>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</si>
  <si>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</si>
  <si>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</si>
  <si>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</si>
  <si>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</si>
  <si>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</si>
  <si>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</si>
  <si>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</si>
  <si>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</si>
  <si>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</si>
  <si>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</si>
  <si>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</si>
  <si>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</si>
  <si>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</si>
  <si>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</si>
  <si>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</si>
  <si>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</si>
  <si>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</si>
  <si>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</si>
  <si>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</si>
  <si>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</si>
  <si>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</si>
  <si>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</si>
  <si>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</si>
  <si>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</si>
  <si>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</si>
  <si>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</si>
  <si>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</si>
  <si>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</si>
  <si>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</si>
  <si>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</si>
  <si>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</si>
  <si>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</si>
  <si>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</si>
  <si>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</si>
  <si>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</si>
  <si>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</si>
  <si>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</si>
  <si>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</si>
  <si>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</si>
  <si>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</si>
  <si>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</si>
  <si>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</si>
  <si>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</si>
  <si>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</si>
  <si>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</si>
  <si>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</si>
  <si>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</si>
  <si>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</si>
  <si>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</si>
  <si>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</si>
  <si>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</si>
  <si>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</si>
  <si>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</si>
  <si>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</si>
  <si>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</si>
  <si>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</si>
  <si>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</si>
  <si>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</si>
  <si>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</si>
  <si>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</si>
  <si>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</si>
  <si>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</si>
  <si>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</si>
  <si>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</si>
  <si>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</si>
  <si>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</si>
  <si>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</si>
  <si>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</si>
  <si>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</si>
  <si>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</si>
  <si>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</si>
  <si>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</si>
  <si>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</si>
  <si>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</si>
  <si>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</si>
  <si>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</si>
  <si>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</si>
  <si>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</si>
  <si>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</si>
  <si>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</si>
  <si>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</si>
  <si>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</si>
  <si>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</si>
  <si>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</si>
  <si>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</si>
  <si>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</si>
  <si>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</si>
  <si>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</si>
  <si>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</si>
  <si>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</si>
  <si>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</si>
  <si>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</si>
  <si>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</si>
  <si>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</si>
  <si>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</si>
  <si>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</si>
  <si>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</si>
  <si>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</si>
  <si>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</si>
  <si>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</si>
  <si>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</si>
  <si>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</si>
  <si>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</si>
  <si>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</si>
  <si>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</si>
  <si>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</si>
  <si>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</si>
  <si>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</si>
  <si>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</si>
  <si>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</si>
  <si>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</si>
  <si>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</si>
  <si>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</si>
  <si>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</si>
  <si>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</si>
  <si>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</si>
  <si>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</si>
  <si>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</si>
  <si>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</si>
  <si>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</si>
  <si>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</si>
  <si>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</si>
  <si>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</si>
  <si>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</si>
  <si>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</si>
  <si>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</si>
  <si>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</si>
  <si>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</si>
  <si>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</si>
  <si>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</si>
  <si>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</si>
  <si>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</si>
  <si>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</si>
  <si>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</si>
  <si>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</si>
  <si>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</si>
  <si>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</si>
  <si>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</si>
  <si>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</si>
  <si>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</si>
  <si>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</si>
  <si>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</si>
  <si>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</si>
  <si>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</si>
  <si>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</si>
  <si>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</si>
  <si>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</si>
  <si>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</si>
  <si>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</si>
  <si>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</si>
  <si>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</si>
  <si>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</si>
  <si>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</si>
  <si>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</si>
  <si>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</si>
  <si>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</si>
  <si>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</si>
  <si>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</si>
  <si>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</si>
  <si>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</si>
  <si>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</si>
  <si>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</si>
  <si>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</si>
  <si>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</si>
  <si>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</si>
  <si>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</si>
  <si>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</si>
  <si>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</si>
  <si>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</si>
  <si>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</si>
  <si>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</si>
  <si>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</si>
  <si>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</si>
  <si>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</si>
  <si>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</si>
  <si>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</si>
  <si>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</si>
  <si>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</si>
  <si>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</si>
  <si>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</si>
  <si>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</si>
  <si>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</si>
  <si>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</si>
  <si>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</si>
  <si>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</si>
  <si>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</si>
  <si>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</si>
  <si>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</si>
  <si>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</si>
  <si>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</si>
  <si>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</si>
  <si>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</si>
  <si>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</si>
  <si>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</si>
  <si>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</si>
  <si>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</si>
  <si>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</si>
  <si>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</si>
  <si>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</si>
  <si>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</si>
  <si>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</si>
  <si>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</si>
  <si>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</si>
  <si>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</si>
  <si>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</si>
  <si>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</si>
  <si>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</si>
  <si>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</si>
  <si>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</si>
  <si>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</si>
  <si>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</si>
  <si>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</si>
  <si>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</si>
  <si>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</si>
  <si>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</si>
  <si>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</si>
  <si>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</si>
  <si>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</si>
  <si>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</si>
  <si>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</si>
  <si>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</si>
  <si>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</si>
  <si>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</si>
  <si>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</si>
  <si>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</si>
  <si>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</si>
  <si>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</si>
  <si>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</si>
  <si>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</si>
  <si>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</si>
  <si>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</si>
  <si>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</si>
  <si>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</si>
  <si>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</si>
  <si>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</si>
  <si>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</si>
  <si>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</si>
  <si>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</si>
  <si>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</si>
  <si>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</si>
  <si>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</si>
  <si>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</si>
  <si>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</si>
  <si>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</si>
  <si>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</si>
  <si>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</si>
  <si>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</si>
  <si>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</si>
  <si>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</si>
  <si>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</si>
  <si>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</si>
  <si>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</si>
  <si>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</si>
  <si>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</si>
  <si>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</si>
  <si>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</si>
  <si>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</si>
  <si>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</si>
  <si>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</si>
  <si>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</si>
  <si>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</si>
  <si>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</si>
  <si>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</si>
  <si>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</si>
  <si>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</si>
  <si>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</si>
  <si>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</si>
  <si>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</si>
  <si>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</si>
  <si>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</si>
  <si>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</si>
  <si>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</si>
  <si>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</si>
  <si>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</si>
  <si>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</si>
  <si>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</si>
  <si>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</si>
  <si>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</si>
  <si>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</si>
  <si>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</si>
  <si>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</si>
  <si>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</si>
  <si>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</si>
  <si>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</si>
  <si>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</si>
  <si>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</si>
  <si>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</si>
  <si>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</si>
  <si>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</si>
  <si>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</si>
  <si>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</si>
  <si>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</si>
  <si>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</si>
  <si>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</si>
  <si>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</si>
  <si>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</si>
  <si>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</si>
  <si>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</si>
  <si>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</si>
  <si>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</si>
  <si>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</si>
  <si>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</si>
  <si>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</si>
  <si>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</si>
  <si>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</si>
  <si>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</si>
  <si>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</si>
  <si>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</si>
  <si>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</si>
  <si>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</si>
  <si>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</si>
  <si>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</si>
  <si>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</si>
  <si>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</si>
  <si>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</si>
  <si>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</si>
  <si>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</si>
  <si>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</si>
  <si>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</si>
  <si>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</si>
  <si>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</si>
  <si>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</si>
  <si>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</si>
  <si>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</si>
  <si>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</si>
  <si>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</si>
  <si>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</si>
  <si>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</si>
  <si>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</si>
  <si>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</si>
  <si>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</si>
  <si>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</si>
  <si>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</si>
  <si>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</si>
  <si>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</si>
  <si>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</si>
  <si>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</si>
  <si>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</si>
  <si>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</si>
  <si>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</si>
  <si>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</si>
  <si>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</si>
  <si>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</si>
  <si>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</si>
  <si>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</si>
  <si>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</si>
  <si>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</si>
  <si>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</si>
  <si>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</si>
  <si>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</si>
  <si>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</si>
  <si>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</si>
  <si>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</si>
  <si>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</si>
  <si>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</si>
  <si>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</si>
  <si>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</si>
  <si>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</si>
  <si>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</si>
  <si>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</si>
  <si>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</si>
  <si>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</si>
  <si>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</si>
  <si>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</si>
  <si>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</si>
  <si>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</si>
  <si>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</si>
  <si>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</si>
  <si>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</si>
  <si>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</si>
  <si>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</si>
  <si>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</si>
  <si>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</si>
  <si>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</si>
  <si>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</si>
  <si>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</si>
  <si>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</si>
  <si>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</si>
  <si>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</si>
  <si>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</si>
  <si>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</si>
  <si>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</si>
  <si>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</si>
  <si>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</si>
  <si>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</si>
  <si>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</si>
  <si>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</si>
  <si>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</si>
  <si>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</si>
  <si>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</si>
  <si>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</si>
  <si>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</si>
  <si>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</si>
  <si>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</si>
  <si>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</si>
  <si>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</si>
  <si>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</si>
  <si>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</si>
  <si>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</si>
  <si>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</si>
  <si>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</si>
  <si>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</si>
  <si>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</si>
  <si>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</si>
  <si>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</si>
  <si>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</si>
  <si>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</si>
  <si>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</si>
  <si>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</si>
  <si>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</si>
  <si>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</si>
  <si>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</si>
  <si>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</si>
  <si>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</si>
  <si>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</si>
  <si>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</si>
  <si>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</si>
  <si>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</si>
  <si>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</si>
  <si>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</si>
  <si>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</si>
  <si>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</si>
  <si>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</si>
  <si>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</si>
  <si>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</si>
  <si>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</si>
  <si>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</si>
  <si>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</si>
  <si>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</si>
  <si>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</si>
  <si>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</si>
  <si>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</si>
  <si>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</si>
  <si>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</si>
  <si>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</si>
  <si>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</si>
  <si>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</si>
  <si>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</si>
  <si>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</si>
  <si>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</si>
  <si>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</si>
  <si>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</si>
  <si>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</si>
  <si>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</si>
  <si>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</si>
  <si>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</si>
  <si>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</si>
  <si>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</si>
  <si>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</si>
  <si>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</si>
  <si>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</si>
  <si>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</si>
  <si>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</si>
  <si>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</si>
  <si>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</si>
  <si>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</si>
  <si>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</si>
  <si>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</si>
  <si>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</si>
  <si>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</si>
  <si>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</si>
  <si>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</si>
  <si>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</si>
  <si>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</si>
  <si>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</si>
  <si>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</si>
  <si>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</si>
  <si>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</si>
  <si>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</si>
  <si>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</si>
  <si>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</si>
  <si>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</si>
  <si>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</si>
  <si>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</si>
  <si>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</si>
  <si>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</si>
  <si>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</si>
  <si>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</si>
  <si>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</si>
  <si>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</si>
  <si>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</si>
  <si>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</si>
  <si>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</si>
  <si>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</si>
  <si>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</si>
  <si>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</si>
  <si>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</si>
  <si>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</si>
  <si>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</si>
  <si>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</si>
  <si>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</si>
  <si>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</si>
  <si>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</si>
  <si>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</si>
  <si>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</si>
  <si>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</si>
  <si>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</si>
  <si>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</si>
  <si>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</si>
  <si>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</si>
  <si>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</si>
  <si>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</si>
  <si>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</si>
  <si>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</si>
  <si>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</si>
  <si>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</si>
  <si>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</si>
  <si>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</si>
  <si>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</si>
  <si>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</si>
  <si>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</si>
  <si>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</si>
  <si>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</si>
  <si>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</si>
  <si>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</si>
  <si>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</si>
  <si>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</si>
  <si>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</si>
  <si>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</si>
  <si>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</si>
  <si>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</si>
  <si>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</si>
  <si>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</si>
  <si>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</si>
  <si>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</si>
  <si>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</si>
  <si>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</si>
  <si>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</si>
  <si>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</si>
  <si>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</si>
  <si>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</si>
  <si>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</si>
  <si>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</si>
  <si>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</si>
  <si>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</si>
  <si>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</si>
  <si>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</si>
  <si>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</si>
  <si>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</si>
  <si>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</si>
  <si>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</si>
  <si>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</si>
  <si>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</si>
  <si>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</si>
  <si>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</si>
  <si>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</si>
  <si>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</si>
  <si>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</si>
  <si>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</si>
  <si>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</si>
  <si>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</si>
  <si>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</si>
  <si>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</si>
  <si>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</si>
  <si>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</si>
  <si>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</si>
  <si>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</si>
  <si>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</si>
  <si>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</si>
  <si>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</si>
  <si>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</si>
  <si>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</si>
  <si>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</si>
  <si>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</si>
  <si>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</si>
  <si>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</si>
  <si>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</si>
  <si>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</si>
  <si>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</si>
  <si>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</si>
  <si>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</si>
  <si>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</si>
  <si>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</si>
  <si>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</si>
  <si>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</si>
  <si>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</si>
  <si>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</si>
  <si>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</si>
  <si>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</si>
  <si>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</si>
  <si>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</si>
  <si>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</si>
  <si>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</si>
  <si>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</si>
  <si>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</si>
  <si>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</si>
  <si>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</si>
  <si>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</si>
  <si>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</si>
  <si>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</si>
  <si>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</si>
  <si>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</si>
  <si>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</si>
  <si>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</si>
  <si>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</si>
  <si>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</si>
  <si>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</si>
  <si>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</si>
  <si>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</si>
  <si>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</si>
  <si>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</si>
  <si>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</si>
  <si>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</si>
  <si>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</si>
  <si>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</si>
  <si>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</si>
  <si>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</si>
  <si>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</si>
  <si>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</si>
  <si>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</si>
  <si>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</si>
  <si>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</si>
  <si>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</si>
  <si>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</si>
  <si>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</si>
  <si>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</si>
  <si>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</si>
  <si>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</si>
  <si>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</si>
  <si>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</si>
  <si>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</si>
  <si>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</si>
  <si>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</si>
  <si>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</si>
  <si>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</si>
  <si>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</si>
  <si>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</si>
  <si>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</si>
  <si>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</si>
  <si>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</si>
  <si>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</si>
  <si>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</si>
  <si>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</si>
  <si>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</si>
  <si>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</si>
  <si>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</si>
  <si>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</si>
  <si>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</si>
  <si>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</si>
  <si>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</si>
  <si>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</si>
  <si>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</si>
  <si>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</si>
  <si>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</si>
  <si>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</si>
  <si>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</si>
  <si>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</si>
  <si>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</si>
  <si>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</si>
  <si>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</si>
  <si>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</si>
  <si>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</si>
  <si>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</si>
  <si>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</si>
  <si>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</si>
  <si>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</si>
  <si>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</si>
  <si>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</si>
  <si>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</si>
  <si>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</si>
  <si>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</si>
  <si>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</si>
  <si>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</si>
  <si>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</si>
  <si>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</si>
  <si>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</si>
  <si>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</si>
  <si>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</si>
  <si>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</si>
  <si>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</si>
  <si>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</si>
  <si>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</si>
  <si>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</si>
  <si>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</si>
  <si>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</si>
  <si>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</si>
  <si>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</si>
  <si>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</si>
  <si>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</si>
  <si>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</si>
  <si>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</si>
  <si>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</si>
  <si>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</si>
  <si>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</si>
  <si>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</si>
  <si>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</si>
  <si>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</si>
  <si>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</si>
  <si>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</si>
  <si>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</si>
  <si>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</si>
  <si>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</si>
  <si>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</si>
  <si>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</si>
  <si>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</si>
  <si>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</si>
  <si>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</si>
  <si>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</si>
  <si>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</si>
  <si>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</si>
  <si>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</si>
  <si>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</si>
  <si>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</si>
  <si>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</si>
  <si>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</si>
  <si>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</si>
  <si>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</si>
  <si>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</si>
  <si>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</si>
  <si>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</si>
  <si>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</si>
  <si>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</si>
  <si>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</si>
  <si>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</si>
  <si>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</si>
  <si>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</si>
  <si>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</si>
  <si>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</si>
  <si>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</si>
  <si>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</si>
  <si>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</si>
  <si>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</si>
  <si>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</si>
  <si>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</si>
  <si>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</si>
  <si>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</si>
  <si>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</si>
  <si>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</si>
  <si>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</si>
  <si>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</si>
  <si>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</si>
  <si>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</si>
  <si>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</si>
  <si>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</si>
  <si>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</si>
  <si>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</si>
  <si>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</si>
  <si>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</si>
  <si>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</si>
  <si>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</si>
  <si>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</si>
  <si>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</si>
  <si>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</si>
  <si>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</si>
  <si>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</si>
  <si>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</si>
  <si>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</si>
  <si>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</si>
  <si>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</si>
  <si>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</si>
  <si>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</si>
  <si>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</si>
  <si>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</si>
  <si>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</si>
  <si>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</si>
  <si>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</si>
  <si>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</si>
  <si>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</si>
  <si>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</si>
  <si>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</si>
  <si>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</si>
  <si>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</si>
  <si>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</si>
  <si>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</si>
  <si>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</si>
  <si>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</si>
  <si>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</si>
  <si>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</si>
  <si>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</si>
  <si>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</si>
  <si>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</si>
  <si>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</si>
  <si>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</si>
  <si>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</si>
  <si>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</si>
  <si>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</si>
  <si>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</si>
  <si>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</si>
  <si>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</si>
  <si>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</si>
  <si>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</si>
  <si>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</si>
  <si>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</si>
  <si>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</si>
  <si>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</si>
  <si>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</si>
  <si>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</si>
  <si>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</si>
  <si>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</si>
  <si>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</si>
  <si>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</si>
  <si>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</si>
  <si>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</si>
  <si>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</si>
  <si>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</si>
  <si>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</si>
  <si>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</si>
  <si>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</si>
  <si>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</si>
  <si>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</si>
  <si>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</si>
  <si>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</si>
  <si>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</si>
  <si>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</si>
  <si>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</si>
  <si>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</si>
  <si>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</si>
  <si>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</si>
  <si>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</si>
  <si>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</si>
  <si>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</si>
  <si>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</si>
  <si>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</si>
  <si>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</si>
  <si>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</si>
  <si>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</si>
  <si>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</si>
  <si>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</si>
  <si>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</si>
  <si>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</si>
  <si>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</si>
  <si>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</si>
  <si>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</si>
  <si>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</si>
  <si>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</si>
  <si>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</si>
  <si>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</si>
  <si>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</si>
  <si>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</si>
  <si>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</si>
  <si>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</si>
  <si>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</si>
  <si>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</si>
  <si>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</si>
  <si>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</si>
  <si>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</si>
  <si>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</si>
  <si>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</si>
  <si>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</si>
  <si>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</si>
  <si>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</si>
  <si>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</si>
  <si>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</si>
  <si>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</si>
  <si>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</si>
  <si>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</si>
  <si>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</si>
  <si>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</si>
  <si>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</si>
  <si>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</si>
  <si>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</si>
  <si>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</si>
  <si>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</si>
  <si>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</si>
  <si>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</si>
  <si>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</si>
  <si>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</si>
  <si>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</si>
  <si>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</si>
  <si>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</si>
  <si>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</si>
  <si>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</si>
  <si>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</si>
  <si>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</si>
  <si>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</si>
  <si>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</si>
  <si>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</si>
  <si>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</si>
  <si>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</si>
  <si>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</si>
  <si>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</si>
  <si>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</si>
  <si>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</si>
  <si>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</si>
  <si>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</si>
  <si>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</si>
  <si>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</si>
  <si>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</si>
  <si>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</si>
  <si>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</si>
  <si>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</si>
  <si>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</si>
  <si>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</si>
  <si>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</si>
  <si>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</si>
  <si>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</si>
  <si>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</si>
  <si>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</si>
  <si>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</si>
  <si>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</si>
  <si>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</si>
  <si>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</si>
  <si>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</si>
  <si>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</si>
  <si>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</si>
  <si>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</si>
  <si>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</si>
  <si>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</si>
  <si>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</si>
  <si>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</si>
  <si>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</si>
  <si>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</si>
  <si>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</si>
  <si>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</si>
  <si>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</si>
  <si>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</si>
  <si>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</si>
  <si>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</si>
  <si>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</si>
  <si>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</si>
  <si>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</si>
  <si>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</si>
  <si>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</si>
  <si>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</si>
  <si>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</si>
  <si>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</si>
  <si>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</si>
  <si>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</si>
  <si>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</si>
  <si>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</si>
  <si>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</si>
  <si>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</si>
  <si>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</si>
  <si>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</si>
  <si>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</si>
  <si>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</si>
  <si>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</si>
  <si>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</si>
  <si>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</si>
  <si>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</si>
  <si>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</si>
  <si>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</si>
  <si>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</si>
  <si>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</si>
  <si>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</si>
  <si>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</si>
  <si>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</si>
  <si>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</si>
  <si>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</si>
  <si>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</si>
  <si>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</si>
  <si>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</si>
  <si>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</si>
  <si>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</si>
  <si>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</si>
  <si>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</si>
  <si>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</si>
  <si>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</si>
  <si>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</si>
  <si>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</si>
  <si>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</si>
  <si>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</si>
  <si>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</si>
  <si>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</si>
  <si>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</si>
  <si>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</si>
  <si>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</si>
  <si>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</si>
  <si>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</si>
  <si>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</si>
  <si>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</si>
  <si>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</si>
  <si>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</si>
  <si>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</si>
  <si>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</si>
  <si>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</si>
  <si>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</si>
  <si>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</si>
  <si>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</si>
  <si>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</si>
  <si>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</si>
  <si>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</si>
  <si>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</si>
  <si>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</si>
  <si>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</si>
  <si>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</si>
  <si>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</si>
  <si>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</si>
  <si>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</si>
  <si>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</si>
  <si>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</si>
  <si>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</si>
  <si>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</si>
  <si>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</si>
  <si>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</si>
  <si>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</si>
  <si>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</si>
  <si>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</si>
  <si>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</si>
  <si>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</si>
  <si>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</si>
  <si>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</si>
  <si>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</si>
  <si>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</si>
  <si>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</si>
  <si>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</si>
  <si>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</si>
  <si>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</si>
  <si>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</si>
  <si>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</si>
  <si>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</si>
  <si>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</si>
  <si>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</si>
  <si>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</si>
  <si>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</si>
  <si>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</si>
  <si>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</si>
  <si>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</si>
  <si>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</si>
  <si>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</si>
  <si>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</si>
  <si>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</si>
  <si>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</si>
  <si>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</si>
  <si>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</si>
  <si>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</si>
  <si>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</si>
  <si>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</si>
  <si>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</si>
  <si>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</si>
  <si>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</si>
  <si>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</si>
  <si>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</si>
  <si>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</si>
  <si>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</si>
  <si>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</si>
  <si>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</si>
  <si>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</si>
  <si>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</si>
  <si>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</si>
  <si>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</si>
  <si>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</si>
  <si>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</si>
  <si>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</si>
  <si>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</si>
  <si>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</si>
  <si>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</si>
  <si>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</si>
  <si>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</si>
  <si>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</si>
  <si>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</si>
  <si>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</si>
  <si>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</si>
  <si>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</si>
  <si>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</si>
  <si>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</si>
  <si>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</si>
  <si>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</si>
  <si>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</si>
  <si>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</si>
  <si>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</si>
  <si>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</si>
  <si>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</si>
  <si>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</si>
  <si>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</si>
  <si>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</si>
  <si>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</si>
  <si>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</si>
  <si>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</si>
  <si>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</si>
  <si>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</si>
  <si>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</si>
  <si>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</si>
  <si>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</si>
  <si>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</si>
  <si>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</si>
  <si>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</si>
  <si>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</si>
  <si>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</si>
  <si>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</si>
  <si>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</si>
  <si>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</si>
  <si>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</si>
  <si>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</si>
  <si>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</si>
  <si>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</si>
  <si>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</si>
  <si>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</si>
  <si>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</si>
  <si>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</si>
  <si>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</si>
  <si>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</si>
  <si>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</si>
  <si>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</si>
  <si>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</si>
  <si>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</si>
  <si>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</si>
  <si>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</si>
  <si>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</si>
  <si>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</si>
  <si>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</si>
  <si>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</si>
  <si>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</si>
  <si>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</si>
  <si>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</si>
  <si>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</si>
  <si>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</si>
  <si>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</si>
  <si>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</si>
  <si>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</si>
  <si>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</si>
  <si>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</si>
  <si>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</si>
  <si>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</si>
  <si>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</si>
  <si>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</si>
  <si>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</si>
  <si>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</si>
  <si>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</si>
  <si>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</si>
  <si>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</si>
  <si>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</si>
  <si>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</si>
  <si>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</si>
  <si>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</si>
  <si>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</si>
  <si>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</si>
  <si>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</si>
  <si>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</si>
  <si>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</si>
  <si>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</si>
  <si>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</si>
  <si>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</si>
  <si>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</si>
  <si>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</si>
  <si>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</si>
  <si>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</si>
  <si>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</si>
  <si>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</si>
  <si>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</si>
  <si>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</si>
  <si>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</si>
  <si>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</si>
  <si>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</si>
  <si>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</si>
  <si>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</si>
  <si>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</si>
  <si>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</si>
  <si>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</si>
  <si>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</si>
  <si>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</si>
  <si>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</si>
  <si>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</si>
  <si>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</si>
  <si>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</si>
  <si>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</si>
  <si>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</si>
  <si>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</si>
  <si>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</si>
  <si>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</si>
  <si>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</si>
  <si>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</si>
  <si>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</si>
  <si>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</si>
  <si>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</si>
  <si>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</si>
  <si>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</si>
  <si>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</si>
  <si>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</si>
  <si>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</si>
  <si>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</si>
  <si>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</si>
  <si>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</si>
  <si>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</si>
  <si>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</si>
  <si>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</si>
  <si>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</si>
  <si>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</si>
  <si>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</si>
  <si>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</si>
  <si>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</si>
  <si>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</si>
  <si>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</si>
  <si>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</si>
  <si>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</si>
  <si>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</si>
  <si>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</si>
  <si>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</si>
  <si>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</si>
  <si>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</si>
  <si>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</si>
  <si>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</si>
  <si>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</si>
  <si>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</si>
  <si>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</si>
  <si>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</si>
  <si>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</si>
  <si>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</si>
  <si>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</si>
  <si>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</si>
  <si>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</si>
  <si>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</si>
  <si>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</si>
  <si>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</si>
  <si>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</si>
  <si>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</si>
  <si>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</si>
  <si>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</si>
  <si>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</si>
  <si>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</si>
  <si>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</si>
  <si>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</si>
  <si>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</si>
  <si>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</si>
  <si>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</si>
  <si>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</si>
  <si>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</si>
  <si>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</si>
  <si>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</si>
  <si>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</si>
  <si>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</si>
  <si>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</si>
  <si>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</si>
  <si>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</si>
  <si>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</si>
  <si>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</si>
  <si>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</si>
  <si>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</si>
  <si>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</si>
  <si>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</si>
  <si>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</si>
  <si>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</si>
  <si>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</si>
  <si>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</si>
  <si>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</si>
  <si>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</si>
  <si>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</si>
  <si>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</si>
  <si>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</si>
  <si>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</si>
  <si>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</si>
  <si>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</si>
  <si>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</si>
  <si>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</si>
  <si>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</si>
  <si>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</si>
  <si>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</si>
  <si>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</si>
  <si>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</si>
  <si>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</si>
  <si>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</si>
  <si>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</si>
  <si>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</si>
  <si>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</si>
  <si>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</si>
  <si>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</si>
  <si>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</si>
  <si>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</si>
  <si>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</si>
  <si>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</si>
  <si>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</si>
  <si>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</si>
  <si>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</si>
  <si>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</si>
  <si>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</si>
  <si>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</si>
  <si>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</si>
  <si>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</si>
  <si>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</si>
  <si>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</si>
  <si>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</si>
  <si>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</si>
  <si>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</si>
  <si>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</si>
  <si>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</si>
  <si>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</si>
  <si>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</si>
  <si>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</si>
  <si>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</si>
  <si>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</si>
  <si>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</si>
  <si>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</si>
  <si>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</si>
  <si>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</si>
  <si>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</si>
  <si>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</si>
  <si>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</si>
  <si>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</si>
  <si>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</si>
  <si>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</si>
  <si>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</si>
  <si>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</si>
  <si>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</si>
  <si>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</si>
  <si>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</si>
  <si>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</si>
  <si>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</si>
  <si>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</si>
  <si>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</si>
  <si>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</si>
  <si>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</si>
  <si>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</si>
  <si>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</si>
  <si>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</si>
  <si>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</si>
  <si>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</si>
  <si>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</si>
  <si>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</si>
  <si>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</si>
  <si>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</si>
  <si>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</si>
  <si>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</si>
  <si>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</si>
  <si>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</si>
  <si>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</si>
  <si>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</si>
  <si>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</si>
  <si>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</si>
  <si>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</si>
  <si>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</si>
  <si>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</si>
  <si>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</si>
  <si>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</si>
  <si>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</si>
  <si>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</si>
  <si>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</si>
  <si>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</si>
  <si>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</si>
  <si>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</si>
  <si>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</si>
  <si>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</si>
  <si>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</si>
  <si>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</si>
  <si>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</si>
  <si>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</si>
  <si>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</si>
  <si>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</si>
  <si>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</si>
  <si>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</si>
  <si>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</si>
  <si>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</si>
  <si>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</si>
  <si>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</si>
  <si>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</si>
  <si>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</si>
  <si>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</si>
  <si>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</si>
  <si>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</si>
  <si>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</si>
  <si>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</si>
  <si>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</si>
  <si>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</si>
  <si>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</si>
  <si>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</si>
  <si>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</si>
  <si>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</si>
  <si>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</si>
  <si>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</si>
  <si>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</si>
  <si>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</si>
  <si>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</si>
  <si>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</si>
  <si>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</si>
  <si>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</si>
  <si>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</si>
  <si>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</si>
  <si>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</si>
  <si>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</si>
  <si>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</si>
  <si>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</si>
  <si>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</si>
  <si>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</si>
  <si>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</si>
  <si>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</si>
  <si>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</si>
  <si>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</si>
  <si>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</si>
  <si>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</si>
  <si>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</si>
  <si>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</si>
  <si>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</si>
  <si>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</si>
  <si>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</si>
  <si>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</si>
  <si>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</si>
  <si>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</si>
  <si>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</si>
  <si>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</si>
  <si>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</si>
  <si>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</si>
  <si>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</si>
  <si>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</si>
  <si>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</si>
  <si>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</si>
  <si>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</si>
  <si>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</si>
  <si>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</si>
  <si>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</si>
  <si>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</si>
  <si>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</si>
  <si>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</si>
  <si>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</si>
  <si>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</si>
  <si>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</si>
  <si>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</si>
  <si>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</si>
  <si>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</si>
  <si>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</si>
  <si>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</si>
  <si>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</si>
  <si>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</si>
  <si>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</si>
  <si>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</si>
  <si>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</si>
  <si>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</si>
  <si>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</si>
  <si>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</si>
  <si>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</si>
  <si>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</si>
  <si>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</si>
  <si>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</si>
  <si>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</si>
  <si>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</si>
  <si>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</si>
  <si>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</si>
  <si>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</si>
  <si>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</si>
  <si>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</si>
  <si>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</si>
  <si>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</si>
  <si>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</si>
  <si>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</si>
  <si>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</si>
  <si>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</si>
  <si>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</si>
  <si>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</si>
  <si>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</si>
  <si>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</si>
  <si>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</si>
  <si>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</si>
  <si>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</si>
  <si>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</si>
  <si>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</si>
  <si>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</si>
  <si>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</si>
  <si>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</si>
  <si>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</si>
  <si>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</si>
  <si>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</si>
  <si>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</si>
  <si>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</si>
  <si>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</si>
  <si>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</si>
  <si>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</si>
  <si>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</si>
  <si>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</si>
  <si>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</si>
  <si>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</si>
  <si>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</si>
  <si>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</si>
  <si>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</si>
  <si>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</si>
  <si>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</si>
  <si>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</si>
  <si>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</si>
  <si>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</si>
  <si>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</si>
  <si>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</si>
  <si>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</si>
  <si>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</si>
  <si>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</si>
  <si>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</si>
  <si>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</si>
  <si>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</si>
  <si>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</si>
  <si>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</si>
  <si>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</si>
  <si>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</si>
  <si>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</si>
  <si>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</si>
  <si>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</si>
  <si>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</si>
  <si>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</si>
  <si>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</si>
  <si>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</si>
  <si>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</si>
  <si>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</si>
  <si>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</si>
  <si>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</si>
  <si>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</si>
  <si>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</si>
  <si>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</si>
  <si>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</si>
  <si>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</si>
  <si>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</si>
  <si>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</si>
  <si>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</si>
  <si>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</si>
  <si>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</si>
  <si>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</si>
  <si>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</si>
  <si>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</si>
  <si>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</si>
  <si>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</si>
  <si>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</si>
  <si>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</si>
  <si>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</si>
  <si>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</si>
  <si>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</si>
  <si>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</si>
  <si>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</si>
  <si>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</si>
  <si>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</si>
  <si>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</si>
  <si>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</si>
  <si>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</si>
  <si>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</si>
  <si>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</si>
  <si>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</si>
  <si>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</si>
  <si>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</si>
  <si>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</si>
  <si>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</si>
  <si>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</si>
  <si>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</si>
  <si>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</si>
  <si>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</si>
  <si>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</si>
  <si>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</si>
  <si>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</si>
  <si>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</si>
  <si>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</si>
  <si>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</si>
  <si>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</si>
  <si>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</si>
  <si>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</si>
  <si>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</si>
  <si>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</si>
  <si>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</si>
  <si>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</si>
  <si>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</si>
  <si>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</si>
  <si>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</si>
  <si>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</si>
  <si>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</si>
  <si>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</si>
  <si>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</si>
  <si>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</si>
  <si>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</si>
  <si>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12/02</t>
  </si>
  <si>
    <t>10/22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</si>
</sst>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b/>
      <sz val="9"/>
      <color rgb="FF000000"/>
      <name val="Tahoma"/>
      <family val="2"/>
    </font>
    <font>
      <sz val="9"/>
      <color rgb="FF000000"/>
      <name val="Tahoma"/>
      <family val="2"/>
    </font>
    <font>
      <sz val="8"/>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Normal="100" workbookViewId="0">
      <selection activeCell="G667" sqref="G667"/>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7.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918</v>
      </c>
      <c r="B2">
        <f>INDEX('School Tables'!$AH$3:$AH$209,MATCH('DOE25'!A2,'School Tables'!$AJ$3:$AJ$209,0))</f>
        <v>33</v>
      </c>
      <c r="C2">
        <f>INDEX('School Tables'!$AI$3:$AI$209,MATCH('DOE25'!A2,'School Tables'!$AJ$3:$AJ$209,0))</f>
        <v>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2397570.75</f>
        <v>2397570.75</v>
      </c>
      <c r="G9" s="18">
        <f>197773.28-G13</f>
        <v>172817.02</v>
      </c>
      <c r="H9" s="18"/>
      <c r="I9" s="18"/>
      <c r="J9" s="13">
        <f>SUM(I440)</f>
        <v>1832187.35</v>
      </c>
      <c r="K9" s="23" t="s">
        <v>288</v>
      </c>
      <c r="L9" s="23" t="s">
        <v>288</v>
      </c>
      <c r="M9" s="8"/>
      <c r="N9" s="165"/>
    </row>
    <row r="10" spans="1:14" s="3" customFormat="1" ht="12.2" customHeight="1" x14ac:dyDescent="0.15">
      <c r="A10" s="1" t="s">
        <v>562</v>
      </c>
      <c r="B10" s="2" t="s">
        <v>289</v>
      </c>
      <c r="C10" s="6">
        <v>2</v>
      </c>
      <c r="D10" s="2" t="s">
        <v>428</v>
      </c>
      <c r="E10" s="6">
        <v>110</v>
      </c>
      <c r="F10" s="18" t="s">
        <v>286</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103508</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t="s">
        <v>286</v>
      </c>
      <c r="G13" s="18">
        <v>24956.26</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t="s">
        <v>286</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27621</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2528699.75</v>
      </c>
      <c r="G19" s="38">
        <f>SUM(G9:G18)</f>
        <v>197773.28</v>
      </c>
      <c r="H19" s="38">
        <f>SUM(H9:H18)</f>
        <v>0</v>
      </c>
      <c r="I19" s="38">
        <f>SUM(I9:I18)</f>
        <v>0</v>
      </c>
      <c r="J19" s="38">
        <f>SUM(J9:J18)</f>
        <v>1832187.35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556437</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183383</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331224</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52010+106145+183900+9855+3414+52+6352-83</f>
        <v>361645</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t="s">
        <v>286</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1432689</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27621</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197773.28</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521277</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t="s">
        <v>286</v>
      </c>
      <c r="G49" s="18"/>
      <c r="H49" s="18"/>
      <c r="I49" s="18"/>
      <c r="J49" s="13">
        <f>I455</f>
        <v>1832187.35</v>
      </c>
      <c r="K49" s="23"/>
      <c r="L49" s="23"/>
      <c r="M49" s="8"/>
      <c r="N49" s="165"/>
    </row>
    <row r="50" spans="1:14" s="3" customFormat="1" ht="12.2" customHeight="1" thickBot="1" x14ac:dyDescent="0.2">
      <c r="A50" s="28" t="s">
        <v>839</v>
      </c>
      <c r="B50" s="2" t="s">
        <v>289</v>
      </c>
      <c r="C50" s="56">
        <v>35</v>
      </c>
      <c r="D50" s="2" t="s">
        <v>653</v>
      </c>
      <c r="E50" s="6">
        <v>770</v>
      </c>
      <c r="F50" s="18">
        <v>347112.75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1096010.75</v>
      </c>
      <c r="G51" s="38">
        <f>SUM(G35:G50)</f>
        <v>197773.28</v>
      </c>
      <c r="H51" s="38">
        <f>SUM(H35:H50)</f>
        <v>0</v>
      </c>
      <c r="I51" s="38">
        <f>SUM(I35:I50)</f>
        <v>0</v>
      </c>
      <c r="J51" s="38">
        <f>SUM(J35:J50)</f>
        <v>1832187.35</v>
      </c>
      <c r="K51" s="42" t="s">
        <v>288</v>
      </c>
      <c r="L51" s="42" t="s">
        <v>288</v>
      </c>
      <c r="N51" s="131"/>
    </row>
    <row r="52" spans="1:14" s="3" customFormat="1" ht="12.2" customHeight="1" thickTop="1" x14ac:dyDescent="0.15">
      <c r="A52" s="35" t="s">
        <v>455</v>
      </c>
      <c r="B52" s="36" t="s">
        <v>289</v>
      </c>
      <c r="C52" s="6">
        <v>37</v>
      </c>
      <c r="D52" s="36" t="s">
        <v>653</v>
      </c>
      <c r="E52" s="36"/>
      <c r="F52" s="38">
        <f>F51+F32</f>
        <v>2528699.75</v>
      </c>
      <c r="G52" s="38">
        <f>G51+G32</f>
        <v>197773.28</v>
      </c>
      <c r="H52" s="38">
        <f>H51+H32</f>
        <v>0</v>
      </c>
      <c r="I52" s="38">
        <f>I51+I32</f>
        <v>0</v>
      </c>
      <c r="J52" s="38">
        <f>J51+J32</f>
        <v>1832187.35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19286302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19286302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90334</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90334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37529</f>
        <v>37529</v>
      </c>
      <c r="G96" s="18"/>
      <c r="H96" s="18"/>
      <c r="I96" s="18"/>
      <c r="J96" s="18">
        <f>8135.45+17941.61+9800.02+1651.35</f>
        <v>37528.43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237909.13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12047+84160+1438</f>
        <v>97645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135174</v>
      </c>
      <c r="G111" s="38">
        <f>SUM(G96:G110)</f>
        <v>237909.13</v>
      </c>
      <c r="H111" s="38">
        <f>SUM(H96:H110)</f>
        <v>0</v>
      </c>
      <c r="I111" s="38">
        <f>SUM(I96:I110)</f>
        <v>0</v>
      </c>
      <c r="J111" s="38">
        <f>SUM(J96:J110)</f>
        <v>37528.43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19511810</v>
      </c>
      <c r="G112" s="38">
        <f>G60+G111</f>
        <v>237909.13</v>
      </c>
      <c r="H112" s="38">
        <f>H60+H79+H94+H111</f>
        <v>0</v>
      </c>
      <c r="I112" s="38">
        <f>I60+I111</f>
        <v>0</v>
      </c>
      <c r="J112" s="38">
        <f>J60+J111</f>
        <v>37528.43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5379037.25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1564779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14259.77+92554.11</f>
        <v>106813.88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7050630.1299999999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231529.28</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5770.2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5855.71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237299.48</v>
      </c>
      <c r="G136" s="38">
        <f>SUM(G123:G135)</f>
        <v>5855.71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7287929.6100000003</v>
      </c>
      <c r="G140" s="38">
        <f>G121+SUM(G136:G137)</f>
        <v>5855.71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93154+3078</f>
        <v>96232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16628+11325+40399+20132+4118</f>
        <v>92602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110213.02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331852+35272+4552</f>
        <v>371676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16860.14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f>34809.05</f>
        <v>34809.050000000003</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1702+336301</f>
        <v>338003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16860.14</v>
      </c>
      <c r="G163" s="38">
        <f>SUM(G150:G162)</f>
        <v>145022.07</v>
      </c>
      <c r="H163" s="38">
        <f>SUM(H150:H162)</f>
        <v>898513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16860.14</v>
      </c>
      <c r="G170" s="38">
        <f>G147+G163+SUM(G164:G169)</f>
        <v>145022.07</v>
      </c>
      <c r="H170" s="38">
        <f>H147+H163+SUM(H164:H169)</f>
        <v>898513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150000</v>
      </c>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150000</v>
      </c>
      <c r="G184" s="38">
        <f>SUM(G180:G183)</f>
        <v>0</v>
      </c>
      <c r="H184" s="38">
        <f>SUM(H180:H183)</f>
        <v>0</v>
      </c>
      <c r="I184" s="38">
        <f>SUM(I180:I183)</f>
        <v>0</v>
      </c>
      <c r="J184" s="38">
        <f>SUM(J180:J183)</f>
        <v>150000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150000</v>
      </c>
      <c r="G193" s="38">
        <f>G184+SUM(G189:G192)</f>
        <v>0</v>
      </c>
      <c r="H193" s="38">
        <f>+H184+SUM(H189:H192)</f>
        <v>0</v>
      </c>
      <c r="I193" s="38">
        <f>I178+I184+SUM(I189:I192)</f>
        <v>0</v>
      </c>
      <c r="J193" s="38">
        <f>J184</f>
        <v>150000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26966599.75</v>
      </c>
      <c r="G194" s="38">
        <f>G112+G140+G170+G193</f>
        <v>388786.91000000003</v>
      </c>
      <c r="H194" s="38">
        <f>H112+H140+H170+H193</f>
        <v>898513</v>
      </c>
      <c r="I194" s="38">
        <f>I112+I140+I170+I193</f>
        <v>0</v>
      </c>
      <c r="J194" s="38">
        <f>J112+J140+J193</f>
        <v>187528.43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1574522.96+51636.25+351014.94+149170.99+20368.75+147184.06</f>
        <v>2293897.9499999997</v>
      </c>
      <c r="G198" s="18">
        <f>429752.94+11629.29+933+5064.13+122035.97+329241.66+12198.61+127254.83+2338.92+432+1618.76+37835.55+94879.98+85322.12</f>
        <v>1260537.7599999998</v>
      </c>
      <c r="H198" s="18">
        <f>16146.56+7430.8</f>
        <v>23577.360000000001</v>
      </c>
      <c r="I198" s="18">
        <f>20807.3+1112.21+12105.19+481.82+15367.06+1500+168.4+3469.97+495.15+500+8319.13+890.54+3773.93+3187.43+582.53+610.53+2021.64+16025.02</f>
        <v>91417.849999999991</v>
      </c>
      <c r="J198" s="18"/>
      <c r="K198" s="18">
        <v>1842.25</v>
      </c>
      <c r="L198" s="13">
        <f>SUM(F198:K198)</f>
        <v>3671273.1699999995</v>
      </c>
      <c r="M198" s="8"/>
      <c r="N198" s="165"/>
    </row>
    <row r="199" spans="1:14" s="3" customFormat="1" ht="12.2" customHeight="1" x14ac:dyDescent="0.15">
      <c r="A199" s="1" t="s">
        <v>439</v>
      </c>
      <c r="B199" s="2" t="s">
        <v>341</v>
      </c>
      <c r="C199" s="2" t="s">
        <v>291</v>
      </c>
      <c r="D199" s="2" t="s">
        <v>431</v>
      </c>
      <c r="E199" s="6">
        <v>1200</v>
      </c>
      <c r="F199" s="18">
        <f>280340.3+426474.83+345+9855+122749.9+159968.67+35+7160+15799.27+22075.33</f>
        <v>1044803.3</v>
      </c>
      <c r="G199" s="18">
        <f>151147.91+3245.49+792+2360.1+53849.84+117195.53+109520.28+354+1182.86+22113.46+46325.8+24718.59</f>
        <v>532805.86</v>
      </c>
      <c r="H199" s="18"/>
      <c r="I199" s="18">
        <f>2483.12+1501.58</f>
        <v>3984.7</v>
      </c>
      <c r="J199" s="18">
        <f>329.98+128+698.99</f>
        <v>1156.97</v>
      </c>
      <c r="K199" s="18"/>
      <c r="L199" s="13">
        <f>SUM(F199:K199)</f>
        <v>1582750.83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38087.53+114749.98+12657.92+68697.98+63000.08+277394.48+69299.88+32907.94</f>
        <v>676795.79</v>
      </c>
      <c r="G203" s="18">
        <f>25624.43+8000+709.72+72+368.22+9290.9+24120.4+2697.11+508.98+108+509.26+5130.32+14294.52+4000+5125.36+13242.58+142269.34+36+224.82+5148.51+14419.64+8283.42+36+106.72+2434.38+4600.12</f>
        <v>291360.75</v>
      </c>
      <c r="H203" s="18">
        <f>70+70+33206.92+9043.15</f>
        <v>42390.07</v>
      </c>
      <c r="I203" s="18">
        <f>1152.56+106.8+284.25+148.44+710.3+1102.58+729.04+1102.58+3733.66</f>
        <v>9070.2099999999991</v>
      </c>
      <c r="J203" s="18">
        <f>300</f>
        <v>300</v>
      </c>
      <c r="K203" s="18">
        <f>3082.27</f>
        <v>3082.27</v>
      </c>
      <c r="L203" s="13">
        <f t="shared" ref="L203:L209" si="0">SUM(F203:K203)</f>
        <v>1022999.09</v>
      </c>
      <c r="M203" s="8"/>
      <c r="N203" s="165"/>
    </row>
    <row r="204" spans="1:14" s="3" customFormat="1" ht="12.2" customHeight="1" x14ac:dyDescent="0.15">
      <c r="A204" s="1" t="s">
        <v>443</v>
      </c>
      <c r="B204" s="2" t="s">
        <v>341</v>
      </c>
      <c r="C204" s="2" t="s">
        <v>295</v>
      </c>
      <c r="D204" s="2" t="s">
        <v>431</v>
      </c>
      <c r="E204" s="6">
        <v>2200</v>
      </c>
      <c r="F204" s="18">
        <f>78634.08+52579.99+64218.82</f>
        <v>195432.89</v>
      </c>
      <c r="G204" s="18">
        <f>21015.48+508.9+36+239.06+5672.2+16528.8+21952.85+28373.48+2222.64+36+209.92+4657.03+13360.98</f>
        <v>114813.34</v>
      </c>
      <c r="H204" s="18">
        <f>(106464.92/2)+7900.78</f>
        <v>61133.24</v>
      </c>
      <c r="I204" s="18">
        <f>663.8+6944.77+3481.38+3016.83+9417.94+923.26+863.99</f>
        <v>25311.97</v>
      </c>
      <c r="J204" s="18">
        <f>965.92+4493.15+34541.5+2357.88+899+399.29</f>
        <v>43656.74</v>
      </c>
      <c r="K204" s="18">
        <f>29790.09</f>
        <v>29790.09</v>
      </c>
      <c r="L204" s="13">
        <f t="shared" si="0"/>
        <v>470138.26999999996</v>
      </c>
      <c r="M204" s="8"/>
      <c r="N204" s="165"/>
    </row>
    <row r="205" spans="1:14" s="3" customFormat="1" ht="12.2" customHeight="1" x14ac:dyDescent="0.15">
      <c r="A205" s="1" t="s">
        <v>444</v>
      </c>
      <c r="B205" s="2" t="s">
        <v>341</v>
      </c>
      <c r="C205" s="2" t="s">
        <v>296</v>
      </c>
      <c r="D205" s="2" t="s">
        <v>431</v>
      </c>
      <c r="E205" s="6">
        <v>2300</v>
      </c>
      <c r="F205" s="18">
        <f>(5200+124597.58+101846+95000.1+94034.46+125+750+75+1600)/3</f>
        <v>141076.04666666669</v>
      </c>
      <c r="G205" s="18">
        <f>(516.08+56.24+104051.32+4768.94+213+1244.24+16885.91+31760.63+14230.16+36496.35)/3</f>
        <v>70074.290000000008</v>
      </c>
      <c r="H205" s="18">
        <f>(17750+34890.93+1927.17+2226.92+48.75+12160.47+4973.32+790.8+7154.24+2032.52+359+1103.99)/3</f>
        <v>28472.703333333338</v>
      </c>
      <c r="I205" s="18">
        <f>3772.35/3</f>
        <v>1257.45</v>
      </c>
      <c r="J205" s="18">
        <f>2396.65/3</f>
        <v>798.88333333333333</v>
      </c>
      <c r="K205" s="18">
        <f>(9535.76+2496.53+2710+3606.84)/3</f>
        <v>6116.376666666667</v>
      </c>
      <c r="L205" s="13">
        <f t="shared" si="0"/>
        <v>247795.75000000006</v>
      </c>
      <c r="M205" s="8"/>
      <c r="N205" s="165"/>
    </row>
    <row r="206" spans="1:14" s="3" customFormat="1" ht="12.2" customHeight="1" x14ac:dyDescent="0.15">
      <c r="A206" s="1" t="s">
        <v>445</v>
      </c>
      <c r="B206" s="2" t="s">
        <v>341</v>
      </c>
      <c r="C206" s="2" t="s">
        <v>297</v>
      </c>
      <c r="D206" s="2" t="s">
        <v>431</v>
      </c>
      <c r="E206" s="6">
        <v>2400</v>
      </c>
      <c r="F206" s="18">
        <f>105854.1+47999.97+72175.88+93499.9+48568</f>
        <v>368097.85</v>
      </c>
      <c r="G206" s="18">
        <f>46365.68+1142.72+123+685.5+17038.21+42463.17+29373.48+1606.2+72+461.3+10768.48+26482.3</f>
        <v>176582.04</v>
      </c>
      <c r="H206" s="18">
        <f>9333.25+1181.71+530+427.95+4387.05+410.55+37</f>
        <v>16307.509999999998</v>
      </c>
      <c r="I206" s="18">
        <f>369.31+355.83+52.38</f>
        <v>777.52</v>
      </c>
      <c r="J206" s="18">
        <f>15041.61+2396.4</f>
        <v>17438.010000000002</v>
      </c>
      <c r="K206" s="18">
        <f>560+819</f>
        <v>1379</v>
      </c>
      <c r="L206" s="13">
        <f t="shared" si="0"/>
        <v>580581.93000000005</v>
      </c>
      <c r="M206" s="8"/>
      <c r="N206" s="165"/>
    </row>
    <row r="207" spans="1:14" s="3" customFormat="1" ht="12.2" customHeight="1" x14ac:dyDescent="0.15">
      <c r="A207" s="1" t="s">
        <v>446</v>
      </c>
      <c r="B207" s="2" t="s">
        <v>341</v>
      </c>
      <c r="C207" s="2" t="s">
        <v>298</v>
      </c>
      <c r="D207" s="2" t="s">
        <v>431</v>
      </c>
      <c r="E207" s="6">
        <v>2500</v>
      </c>
      <c r="F207" s="18">
        <f>(90000.04+50124.47)/3</f>
        <v>46708.170000000006</v>
      </c>
      <c r="G207" s="18">
        <f>(45833.58+2008.4+72+456.1+10466.42+19701.47)/3</f>
        <v>26179.323333333334</v>
      </c>
      <c r="H207" s="18">
        <f>(200+13565.82+406.51+300)/3</f>
        <v>4824.1099999999997</v>
      </c>
      <c r="I207" s="18">
        <f>1633.15/3</f>
        <v>544.38333333333333</v>
      </c>
      <c r="J207" s="18"/>
      <c r="K207" s="18"/>
      <c r="L207" s="13">
        <f t="shared" si="0"/>
        <v>78255.986666666679</v>
      </c>
      <c r="M207" s="8"/>
      <c r="N207" s="165"/>
    </row>
    <row r="208" spans="1:14" s="3" customFormat="1" ht="12.2" customHeight="1" x14ac:dyDescent="0.15">
      <c r="A208" s="1" t="s">
        <v>447</v>
      </c>
      <c r="B208" s="2" t="s">
        <v>341</v>
      </c>
      <c r="C208" s="2" t="s">
        <v>299</v>
      </c>
      <c r="D208" s="2" t="s">
        <v>431</v>
      </c>
      <c r="E208" s="6">
        <v>2600</v>
      </c>
      <c r="F208" s="18">
        <f>101166.72+66228.36+8919.41</f>
        <v>176314.49000000002</v>
      </c>
      <c r="G208" s="18">
        <f>34441.95+13274.51+516.23+52.5+178.7+5841.9+10462.82</f>
        <v>64768.61</v>
      </c>
      <c r="H208" s="18">
        <f>652.33+1246.65+4179+16634+16275.2+5963.76+34177.48+2983+10124+13422.5+2307.76+32733.18+9939.92+720+360+218921.73</f>
        <v>370640.51</v>
      </c>
      <c r="I208" s="18">
        <f>34533.79+55978.8+47605.85+7505.05+16818.18+27903.36+15051.45+6739.63</f>
        <v>212136.11</v>
      </c>
      <c r="J208" s="18">
        <f>25097.38/2</f>
        <v>12548.69</v>
      </c>
      <c r="K208" s="18"/>
      <c r="L208" s="13">
        <f t="shared" si="0"/>
        <v>836408.41</v>
      </c>
      <c r="M208" s="8"/>
      <c r="N208" s="165"/>
    </row>
    <row r="209" spans="1:14" s="3" customFormat="1" ht="12.2" customHeight="1" x14ac:dyDescent="0.15">
      <c r="A209" s="1" t="s">
        <v>448</v>
      </c>
      <c r="B209" s="2" t="s">
        <v>341</v>
      </c>
      <c r="C209" s="2" t="s">
        <v>300</v>
      </c>
      <c r="D209" s="2" t="s">
        <v>431</v>
      </c>
      <c r="E209" s="6">
        <v>2700</v>
      </c>
      <c r="F209" s="18"/>
      <c r="G209" s="18"/>
      <c r="H209" s="18">
        <f>221315.19+177939.6+115493.16+2760.23+1440.88</f>
        <v>518949.06000000006</v>
      </c>
      <c r="I209" s="18"/>
      <c r="J209" s="18"/>
      <c r="K209" s="18"/>
      <c r="L209" s="13">
        <f t="shared" si="0"/>
        <v>518949.06000000006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4943126.4866666663</v>
      </c>
      <c r="G212" s="38">
        <f t="shared" si="1"/>
        <v>2537121.9733333327</v>
      </c>
      <c r="H212" s="38">
        <f t="shared" si="1"/>
        <v>1066294.5633333335</v>
      </c>
      <c r="I212" s="38">
        <f t="shared" si="1"/>
        <v>344500.1933333333</v>
      </c>
      <c r="J212" s="38">
        <f t="shared" si="1"/>
        <v>75899.293333333335</v>
      </c>
      <c r="K212" s="38">
        <f t="shared" si="1"/>
        <v>42209.986666666664</v>
      </c>
      <c r="L212" s="38">
        <f t="shared" si="1"/>
        <v>9009152.4966666661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1660534.73+58396.32+147184.06</f>
        <v>1866115.11</v>
      </c>
      <c r="G216" s="18">
        <f>390033.4+11076.35+1008+5167.26+130329.32+348104.44+12198.61+85322.12</f>
        <v>983239.5</v>
      </c>
      <c r="H216" s="18">
        <f>10494.92</f>
        <v>10494.92</v>
      </c>
      <c r="I216" s="18">
        <f>12725.92+2802.92+4602.04+916.89+2477.46+4443.14+3154.47+763.32+886.51+745.91+166.99+194.85+1704.65+3882.56+16025.02</f>
        <v>55492.649999999994</v>
      </c>
      <c r="J216" s="18"/>
      <c r="K216" s="18">
        <f>2800</f>
        <v>2800</v>
      </c>
      <c r="L216" s="13">
        <f>SUM(F216:K216)</f>
        <v>2918142.18</v>
      </c>
      <c r="M216" s="8"/>
      <c r="N216" s="165"/>
    </row>
    <row r="217" spans="1:14" s="3" customFormat="1" ht="12.2" customHeight="1" x14ac:dyDescent="0.15">
      <c r="A217" s="1" t="s">
        <v>439</v>
      </c>
      <c r="B217" s="2" t="s">
        <v>346</v>
      </c>
      <c r="C217" s="2" t="s">
        <v>291</v>
      </c>
      <c r="D217" s="2" t="s">
        <v>431</v>
      </c>
      <c r="E217" s="6">
        <v>1200</v>
      </c>
      <c r="F217" s="18">
        <f>306745.57+236314.66+1233.75+360+22075.33</f>
        <v>566729.30999999994</v>
      </c>
      <c r="G217" s="18">
        <f>155977.69+2128.49+567+1763.09+40482.5+94862.69+24718.59</f>
        <v>320500.05</v>
      </c>
      <c r="H217" s="18">
        <f>99069.92+30908.15</f>
        <v>129978.07</v>
      </c>
      <c r="I217" s="18">
        <f>1643.95</f>
        <v>1643.95</v>
      </c>
      <c r="J217" s="18">
        <f>3831.72</f>
        <v>3831.72</v>
      </c>
      <c r="K217" s="18"/>
      <c r="L217" s="13">
        <f>SUM(F217:K217)</f>
        <v>1022683.0999999999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18650+31149</f>
        <v>49799</v>
      </c>
      <c r="G219" s="18">
        <f>1426.73+3683.59+2981.91+5573.06</f>
        <v>13665.29</v>
      </c>
      <c r="H219" s="18">
        <f>8160</f>
        <v>8160</v>
      </c>
      <c r="I219" s="18">
        <f>291.97+6006.8</f>
        <v>6298.77</v>
      </c>
      <c r="J219" s="18"/>
      <c r="K219" s="18">
        <f>595</f>
        <v>595</v>
      </c>
      <c r="L219" s="13">
        <f>SUM(F219:K219)</f>
        <v>78518.060000000012</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38087.53+117985.22+12657.92+63156.82+277394.48+31505</f>
        <v>540786.97</v>
      </c>
      <c r="G221" s="18">
        <f>25624.43+37361.92+1044.36+72+382.06+9156.16+24549.5+2697.11+35263.24+36+204.62+5137.33+13140.67+142269.34+1000+36+118.17+2331.01+4138.3</f>
        <v>304562.21999999997</v>
      </c>
      <c r="H221" s="18">
        <f>307.88+33206.92</f>
        <v>33514.799999999996</v>
      </c>
      <c r="I221" s="18">
        <f>756.95+63.94+633.45+1102.58+3733.66</f>
        <v>6290.58</v>
      </c>
      <c r="J221" s="18"/>
      <c r="K221" s="18">
        <f>3082.28</f>
        <v>3082.28</v>
      </c>
      <c r="L221" s="13">
        <f t="shared" ref="L221:L227" si="2">SUM(F221:K221)</f>
        <v>888236.85</v>
      </c>
      <c r="M221" s="8"/>
      <c r="N221" s="165"/>
    </row>
    <row r="222" spans="1:14" s="3" customFormat="1" ht="12.2" customHeight="1" x14ac:dyDescent="0.15">
      <c r="A222" s="1" t="s">
        <v>443</v>
      </c>
      <c r="B222" s="2" t="s">
        <v>346</v>
      </c>
      <c r="C222" s="2" t="s">
        <v>295</v>
      </c>
      <c r="D222" s="2" t="s">
        <v>431</v>
      </c>
      <c r="E222" s="6">
        <v>2200</v>
      </c>
      <c r="F222" s="18">
        <f>72550.06+52579.99+63500.06</f>
        <v>188630.11</v>
      </c>
      <c r="G222" s="18">
        <f>28373.3+709.58+36+234.66+5343.36+15249.96+21952.85+28373.5+36+209.12+4479.02+13212.82</f>
        <v>118210.16999999998</v>
      </c>
      <c r="H222" s="18">
        <f>(106464.92/2)+7900.78</f>
        <v>61133.24</v>
      </c>
      <c r="I222" s="18">
        <f>319.18+4170.59+3859.38-48.98+3530.1+13745.97</f>
        <v>25576.240000000002</v>
      </c>
      <c r="J222" s="18">
        <f>278.24+4493.15+35440.5+2568.75+6224.05</f>
        <v>49004.69</v>
      </c>
      <c r="K222" s="18">
        <f>29790.09</f>
        <v>29790.09</v>
      </c>
      <c r="L222" s="13">
        <f t="shared" si="2"/>
        <v>472344.54</v>
      </c>
      <c r="M222" s="8"/>
      <c r="N222" s="165"/>
    </row>
    <row r="223" spans="1:14" s="3" customFormat="1" ht="12.2" customHeight="1" x14ac:dyDescent="0.15">
      <c r="A223" s="1" t="s">
        <v>444</v>
      </c>
      <c r="B223" s="2" t="s">
        <v>346</v>
      </c>
      <c r="C223" s="2" t="s">
        <v>296</v>
      </c>
      <c r="D223" s="2" t="s">
        <v>431</v>
      </c>
      <c r="E223" s="6">
        <v>2300</v>
      </c>
      <c r="F223" s="18">
        <f>(5200+124597.58+101846+95000.1+94034.46+125+750+75+1600)/3</f>
        <v>141076.04666666669</v>
      </c>
      <c r="G223" s="18">
        <f>(516.08+56.24+104051.32+4768.94+213+1244.24+16885.91+31760.63+14230.16+36496.35)/3</f>
        <v>70074.290000000008</v>
      </c>
      <c r="H223" s="18">
        <f>(17750+34890.93+1927.17+2226.92+48.75+12160.47+4973.32+790.8+7154.24+2032.52+359+1103.99)/3</f>
        <v>28472.703333333338</v>
      </c>
      <c r="I223" s="18">
        <f>3772.35/3</f>
        <v>1257.45</v>
      </c>
      <c r="J223" s="18">
        <f>2396.65/3</f>
        <v>798.88333333333333</v>
      </c>
      <c r="K223" s="18">
        <f>(9535.76+2496.53+2710+3606.84)/3</f>
        <v>6116.376666666667</v>
      </c>
      <c r="L223" s="13">
        <f t="shared" si="2"/>
        <v>247795.75000000006</v>
      </c>
      <c r="M223" s="8"/>
      <c r="N223" s="165"/>
    </row>
    <row r="224" spans="1:14" s="3" customFormat="1" ht="12.2" customHeight="1" x14ac:dyDescent="0.15">
      <c r="A224" s="1" t="s">
        <v>445</v>
      </c>
      <c r="B224" s="2" t="s">
        <v>346</v>
      </c>
      <c r="C224" s="2" t="s">
        <v>297</v>
      </c>
      <c r="D224" s="2" t="s">
        <v>431</v>
      </c>
      <c r="E224" s="6">
        <v>2400</v>
      </c>
      <c r="F224" s="18">
        <f>92999.92+84399.9+86844.27</f>
        <v>264244.09000000003</v>
      </c>
      <c r="G224" s="18">
        <f>39358.88+803.56+144+836.82+20298.62+49499.82</f>
        <v>110941.69999999998</v>
      </c>
      <c r="H224" s="18">
        <f>1029+17347.93+1219.51+685.65</f>
        <v>20282.09</v>
      </c>
      <c r="I224" s="18">
        <f>1585.75+103.18</f>
        <v>1688.93</v>
      </c>
      <c r="J224" s="18">
        <f>11978.64</f>
        <v>11978.64</v>
      </c>
      <c r="K224" s="18">
        <f>1629+1213.79</f>
        <v>2842.79</v>
      </c>
      <c r="L224" s="13">
        <f t="shared" si="2"/>
        <v>411978.24000000005</v>
      </c>
      <c r="M224" s="8"/>
      <c r="N224" s="165"/>
    </row>
    <row r="225" spans="1:14" s="3" customFormat="1" ht="12.2" customHeight="1" x14ac:dyDescent="0.15">
      <c r="A225" s="1" t="s">
        <v>446</v>
      </c>
      <c r="B225" s="2" t="s">
        <v>346</v>
      </c>
      <c r="C225" s="2" t="s">
        <v>298</v>
      </c>
      <c r="D225" s="2" t="s">
        <v>431</v>
      </c>
      <c r="E225" s="6">
        <v>2500</v>
      </c>
      <c r="F225" s="18">
        <f>(90000.04+50124.47)/3</f>
        <v>46708.170000000006</v>
      </c>
      <c r="G225" s="18">
        <f>(45833.58+2008.4+72+456.1+10466.42+19701.47)/3</f>
        <v>26179.323333333334</v>
      </c>
      <c r="H225" s="18">
        <f>(200+13565.82+406.51+300)/3</f>
        <v>4824.1099999999997</v>
      </c>
      <c r="I225" s="18">
        <f>1633.15/3</f>
        <v>544.38333333333333</v>
      </c>
      <c r="J225" s="18"/>
      <c r="K225" s="18"/>
      <c r="L225" s="13">
        <f t="shared" si="2"/>
        <v>78255.986666666679</v>
      </c>
      <c r="M225" s="8"/>
      <c r="N225" s="165"/>
    </row>
    <row r="226" spans="1:14" s="3" customFormat="1" ht="12.2" customHeight="1" x14ac:dyDescent="0.15">
      <c r="A226" s="1" t="s">
        <v>447</v>
      </c>
      <c r="B226" s="2" t="s">
        <v>346</v>
      </c>
      <c r="C226" s="2" t="s">
        <v>299</v>
      </c>
      <c r="D226" s="2" t="s">
        <v>431</v>
      </c>
      <c r="E226" s="6">
        <v>2600</v>
      </c>
      <c r="F226" s="18">
        <f>101166.72+66228.09</f>
        <v>167394.81</v>
      </c>
      <c r="G226" s="18">
        <f>34441.95+13274.51+516.22+52.5+178.7+5053.48+9001.74</f>
        <v>62519.1</v>
      </c>
      <c r="H226" s="18">
        <f>652.33+351.48+4927+3040+31718+9324.5+5963.76+79608.72+360+218921.73</f>
        <v>354867.52</v>
      </c>
      <c r="I226" s="18">
        <f>36531.4+126430.74+22381.28+73225.99+4688.83+6739.63+419.19</f>
        <v>270417.06000000006</v>
      </c>
      <c r="J226" s="18">
        <f>25097.38/2</f>
        <v>12548.69</v>
      </c>
      <c r="K226" s="18"/>
      <c r="L226" s="13">
        <f t="shared" si="2"/>
        <v>867747.18</v>
      </c>
      <c r="M226" s="8"/>
      <c r="N226" s="165"/>
    </row>
    <row r="227" spans="1:14" s="3" customFormat="1" ht="12.2" customHeight="1" x14ac:dyDescent="0.15">
      <c r="A227" s="1" t="s">
        <v>448</v>
      </c>
      <c r="B227" s="2" t="s">
        <v>346</v>
      </c>
      <c r="C227" s="2" t="s">
        <v>300</v>
      </c>
      <c r="D227" s="2" t="s">
        <v>431</v>
      </c>
      <c r="E227" s="6">
        <v>2700</v>
      </c>
      <c r="F227" s="18"/>
      <c r="G227" s="18"/>
      <c r="H227" s="18">
        <f>221315.19+115493.16+23175.9</f>
        <v>359984.25</v>
      </c>
      <c r="I227" s="18"/>
      <c r="J227" s="18"/>
      <c r="K227" s="18"/>
      <c r="L227" s="13">
        <f t="shared" si="2"/>
        <v>359984.25</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3831483.6166666662</v>
      </c>
      <c r="G230" s="38">
        <f>SUM(G216:G229)</f>
        <v>2009891.6433333333</v>
      </c>
      <c r="H230" s="38">
        <f>SUM(H216:H229)</f>
        <v>1011711.7033333334</v>
      </c>
      <c r="I230" s="38">
        <f>SUM(I216:I229)</f>
        <v>369210.01333333337</v>
      </c>
      <c r="J230" s="38">
        <f>SUM(J216:J229)</f>
        <v>78162.623333333337</v>
      </c>
      <c r="K230" s="38">
        <f t="shared" si="3"/>
        <v>45226.536666666674</v>
      </c>
      <c r="L230" s="38">
        <f t="shared" si="3"/>
        <v>7345686.1366666667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3159427.86+1808957.95+3191227</f>
        <v>8159612.8099999996</v>
      </c>
      <c r="I234" s="18"/>
      <c r="J234" s="18"/>
      <c r="K234" s="18"/>
      <c r="L234" s="13">
        <f>SUM(F234:K234)</f>
        <v>8159612.8099999996</v>
      </c>
      <c r="M234" s="8"/>
      <c r="N234" s="165"/>
    </row>
    <row r="235" spans="1:14" s="3" customFormat="1" ht="12.2" customHeight="1" x14ac:dyDescent="0.15">
      <c r="A235" s="1" t="s">
        <v>439</v>
      </c>
      <c r="B235" s="2" t="s">
        <v>350</v>
      </c>
      <c r="C235" s="2" t="s">
        <v>291</v>
      </c>
      <c r="D235" s="2" t="s">
        <v>431</v>
      </c>
      <c r="E235" s="6">
        <v>1200</v>
      </c>
      <c r="F235" s="18"/>
      <c r="G235" s="18"/>
      <c r="H235" s="18">
        <f>451252.5+130711.29+127807</f>
        <v>709770.79</v>
      </c>
      <c r="I235" s="18"/>
      <c r="J235" s="18">
        <f>1351</f>
        <v>1351</v>
      </c>
      <c r="K235" s="18"/>
      <c r="L235" s="13">
        <f>SUM(F235:K235)</f>
        <v>711121.79</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f>(5200+124597.58+101846+95000.1+94034.46+125+750+75+1600)/3</f>
        <v>141076.04666666669</v>
      </c>
      <c r="G241" s="18">
        <f>(516.08+56.24+104051.32+4768.94+213+1244.24+16885.91+31760.63+14230.16+36496.35)/3</f>
        <v>70074.290000000008</v>
      </c>
      <c r="H241" s="18">
        <f>(17750+34890.93+1927.17+2226.92+48.75+12160.47+4973.32+790.8+7154.24+2032.52+359+1103.99)/3</f>
        <v>28472.703333333338</v>
      </c>
      <c r="I241" s="18">
        <f>3772.35/3</f>
        <v>1257.45</v>
      </c>
      <c r="J241" s="18">
        <f>2396.65/3</f>
        <v>798.88333333333333</v>
      </c>
      <c r="K241" s="18">
        <f>(9535.76+2496.53+2710+3606.84)/3</f>
        <v>6116.376666666667</v>
      </c>
      <c r="L241" s="13">
        <f t="shared" si="4"/>
        <v>247795.75000000006</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f>(90000.04+50124.47)/3</f>
        <v>46708.170000000006</v>
      </c>
      <c r="G243" s="18">
        <f>(45833.58+2008.4+72+456.1+10466.42+19701.47)/3</f>
        <v>26179.323333333334</v>
      </c>
      <c r="H243" s="18">
        <f>(200+13565.82+406.51+300)/3</f>
        <v>4824.1099999999997</v>
      </c>
      <c r="I243" s="18">
        <f>1633.15/3</f>
        <v>544.38333333333333</v>
      </c>
      <c r="J243" s="18"/>
      <c r="K243" s="18"/>
      <c r="L243" s="13">
        <f t="shared" si="4"/>
        <v>78255.986666666679</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264437.32+122187.48+4026.85</f>
        <v>390651.64999999997</v>
      </c>
      <c r="I245" s="18"/>
      <c r="J245" s="18"/>
      <c r="K245" s="18"/>
      <c r="L245" s="13">
        <f t="shared" si="4"/>
        <v>390651.64999999997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187784.2166666667</v>
      </c>
      <c r="G248" s="38">
        <f t="shared" si="5"/>
        <v>96253.613333333342</v>
      </c>
      <c r="H248" s="38">
        <f t="shared" si="5"/>
        <v>9293332.0633333325</v>
      </c>
      <c r="I248" s="38">
        <f t="shared" si="5"/>
        <v>1801.8333333333335</v>
      </c>
      <c r="J248" s="38">
        <f t="shared" si="5"/>
        <v>2149.8833333333332</v>
      </c>
      <c r="K248" s="38">
        <f t="shared" si="5"/>
        <v>6116.376666666667</v>
      </c>
      <c r="L248" s="38">
        <f t="shared" si="5"/>
        <v>9587437.9866666663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88533.38+89997.14</f>
        <v>178530.52000000002</v>
      </c>
      <c r="I256" s="18"/>
      <c r="J256" s="18"/>
      <c r="K256" s="18"/>
      <c r="L256" s="13">
        <f t="shared" si="6"/>
        <v>178530.52000000002</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178530.52000000002</v>
      </c>
      <c r="I257" s="38">
        <f t="shared" si="7"/>
        <v>0</v>
      </c>
      <c r="J257" s="38">
        <f t="shared" si="7"/>
        <v>0</v>
      </c>
      <c r="K257" s="38">
        <f t="shared" si="7"/>
        <v>0</v>
      </c>
      <c r="L257" s="38">
        <f>SUM(F257:K257)</f>
        <v>178530.52000000002</v>
      </c>
      <c r="M257" s="8"/>
      <c r="N257" s="165"/>
    </row>
    <row r="258" spans="1:14" s="3" customFormat="1" ht="12.2" customHeight="1" thickTop="1" x14ac:dyDescent="0.15">
      <c r="A258" s="35" t="s">
        <v>462</v>
      </c>
      <c r="B258" s="37">
        <v>10</v>
      </c>
      <c r="C258" s="37">
        <v>8</v>
      </c>
      <c r="D258" s="36" t="s">
        <v>431</v>
      </c>
      <c r="E258" s="37"/>
      <c r="F258" s="38">
        <f t="shared" ref="F258:L258" si="8">F212+F230+F248+F257</f>
        <v>8962394.3199999984</v>
      </c>
      <c r="G258" s="38">
        <f t="shared" si="8"/>
        <v>4643267.2299999995</v>
      </c>
      <c r="H258" s="38">
        <f t="shared" si="8"/>
        <v>11549868.85</v>
      </c>
      <c r="I258" s="38">
        <f t="shared" si="8"/>
        <v>715512.04</v>
      </c>
      <c r="J258" s="38">
        <f t="shared" si="8"/>
        <v>156211.80000000002</v>
      </c>
      <c r="K258" s="38">
        <f t="shared" si="8"/>
        <v>93552.900000000009</v>
      </c>
      <c r="L258" s="38">
        <f t="shared" si="8"/>
        <v>26120807.139999997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710000</v>
      </c>
      <c r="L261" s="13">
        <f>SUM(F261:K261)</f>
        <v>710000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17395</v>
      </c>
      <c r="L262" s="13">
        <f>SUM(F262:K262)</f>
        <v>17395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150000</v>
      </c>
      <c r="L267" s="13">
        <f t="shared" si="9"/>
        <v>150000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877395</v>
      </c>
      <c r="L271" s="38">
        <f t="shared" si="9"/>
        <v>877395</v>
      </c>
      <c r="M271" s="8"/>
      <c r="N271" s="165"/>
    </row>
    <row r="272" spans="1:14" s="33" customFormat="1" ht="12.2" customHeight="1" thickTop="1" x14ac:dyDescent="0.2">
      <c r="A272" s="40" t="s">
        <v>464</v>
      </c>
      <c r="B272" s="37">
        <v>10</v>
      </c>
      <c r="C272" s="37">
        <v>18</v>
      </c>
      <c r="D272" s="36" t="s">
        <v>431</v>
      </c>
      <c r="E272" s="37"/>
      <c r="F272" s="39">
        <f t="shared" ref="F272:L272" si="11">F258+F271</f>
        <v>8962394.3199999984</v>
      </c>
      <c r="G272" s="39">
        <f t="shared" si="11"/>
        <v>4643267.2299999995</v>
      </c>
      <c r="H272" s="39">
        <f t="shared" si="11"/>
        <v>11549868.85</v>
      </c>
      <c r="I272" s="39">
        <f t="shared" si="11"/>
        <v>715512.04</v>
      </c>
      <c r="J272" s="39">
        <f t="shared" si="11"/>
        <v>156211.80000000002</v>
      </c>
      <c r="K272" s="39">
        <f t="shared" si="11"/>
        <v>970947.9</v>
      </c>
      <c r="L272" s="39">
        <f t="shared" si="11"/>
        <v>26998202.139999997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(109263+68822+11250+1475+3200+16027)/2</f>
        <v>105018.5</v>
      </c>
      <c r="G277" s="18">
        <f>(1000+8343+19291+10402+5158+861+2365+113+310+245+673+1226+3293)/2</f>
        <v>26640</v>
      </c>
      <c r="H277" s="18">
        <f>(411+2500+4825)/2</f>
        <v>3868</v>
      </c>
      <c r="I277" s="18">
        <f>(119368+46070+1702+3277+5084+2692+2964+3078+261)/2</f>
        <v>92248</v>
      </c>
      <c r="J277" s="18">
        <f>4779/2</f>
        <v>2389.5</v>
      </c>
      <c r="K277" s="18"/>
      <c r="L277" s="13">
        <f>SUM(F277:K277)</f>
        <v>230164</v>
      </c>
      <c r="M277" s="8"/>
      <c r="N277" s="165"/>
    </row>
    <row r="278" spans="1:14" s="3" customFormat="1" ht="12.2" customHeight="1" x14ac:dyDescent="0.15">
      <c r="A278" s="1" t="s">
        <v>439</v>
      </c>
      <c r="B278" s="2" t="s">
        <v>357</v>
      </c>
      <c r="C278" s="2" t="s">
        <v>291</v>
      </c>
      <c r="D278" s="2" t="s">
        <v>431</v>
      </c>
      <c r="E278" s="6">
        <v>1200</v>
      </c>
      <c r="F278" s="18">
        <f>(119000+41500+43404+55550+878)/2</f>
        <v>130166</v>
      </c>
      <c r="G278" s="18">
        <f>(4206+3175+8920+3320+11559+8723+23464+9031+18577+15817)/2</f>
        <v>53396</v>
      </c>
      <c r="H278" s="18"/>
      <c r="I278" s="18"/>
      <c r="J278" s="18"/>
      <c r="K278" s="18"/>
      <c r="L278" s="13">
        <f>SUM(F278:K278)</f>
        <v>183562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f>(18022+12923)/2</f>
        <v>15472.5</v>
      </c>
      <c r="G283" s="18">
        <f>(989+2716)/2</f>
        <v>1852.5</v>
      </c>
      <c r="H283" s="18">
        <f>(5375+5990)/2</f>
        <v>5682.5</v>
      </c>
      <c r="I283" s="18">
        <f>(937+9392)/2</f>
        <v>5164.5</v>
      </c>
      <c r="J283" s="18"/>
      <c r="K283" s="18"/>
      <c r="L283" s="13">
        <f t="shared" si="12"/>
        <v>28172</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f>8352</f>
        <v>8352</v>
      </c>
      <c r="G287" s="18">
        <f>639+1174</f>
        <v>1813</v>
      </c>
      <c r="H287" s="18"/>
      <c r="I287" s="18"/>
      <c r="J287" s="18"/>
      <c r="K287" s="18"/>
      <c r="L287" s="13">
        <f t="shared" si="12"/>
        <v>10165</v>
      </c>
      <c r="M287" s="8"/>
      <c r="N287" s="165"/>
    </row>
    <row r="288" spans="1:14" s="3" customFormat="1" ht="12.2" customHeight="1" x14ac:dyDescent="0.15">
      <c r="A288" s="1" t="s">
        <v>448</v>
      </c>
      <c r="B288" s="2" t="s">
        <v>357</v>
      </c>
      <c r="C288" s="2" t="s">
        <v>300</v>
      </c>
      <c r="D288" s="2" t="s">
        <v>431</v>
      </c>
      <c r="E288" s="6">
        <v>2700</v>
      </c>
      <c r="F288" s="18"/>
      <c r="G288" s="18"/>
      <c r="H288" s="18">
        <v>4552</v>
      </c>
      <c r="I288" s="18"/>
      <c r="J288" s="18"/>
      <c r="K288" s="18"/>
      <c r="L288" s="13">
        <f t="shared" si="12"/>
        <v>4552</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259009</v>
      </c>
      <c r="G291" s="39">
        <f t="shared" si="13"/>
        <v>83701.5</v>
      </c>
      <c r="H291" s="39">
        <f t="shared" si="13"/>
        <v>14102.5</v>
      </c>
      <c r="I291" s="39">
        <f t="shared" si="13"/>
        <v>97412.5</v>
      </c>
      <c r="J291" s="39">
        <f t="shared" si="13"/>
        <v>2389.5</v>
      </c>
      <c r="K291" s="39">
        <f t="shared" si="13"/>
        <v>0</v>
      </c>
      <c r="L291" s="38">
        <f t="shared" si="13"/>
        <v>456615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(109263+68822+11250+1475+3200+16027)/2</f>
        <v>105018.5</v>
      </c>
      <c r="G296" s="18">
        <f>(1000+8343+19291+10402+5158+861+2365+113+310+245+673+1226+3293)/2</f>
        <v>26640</v>
      </c>
      <c r="H296" s="18">
        <f>(411+2500+4825)/2</f>
        <v>3868</v>
      </c>
      <c r="I296" s="18">
        <f>(119368+46070+1702+3277+5084+2692+2964+3078+261)/2</f>
        <v>92248</v>
      </c>
      <c r="J296" s="18">
        <f>4779/2</f>
        <v>2389.5</v>
      </c>
      <c r="K296" s="18"/>
      <c r="L296" s="13">
        <f>SUM(F296:K296)</f>
        <v>230164</v>
      </c>
      <c r="M296" s="8"/>
      <c r="N296" s="165"/>
    </row>
    <row r="297" spans="1:14" s="3" customFormat="1" ht="12.2" customHeight="1" x14ac:dyDescent="0.15">
      <c r="A297" s="1" t="s">
        <v>439</v>
      </c>
      <c r="B297" s="2" t="s">
        <v>358</v>
      </c>
      <c r="C297" s="2" t="s">
        <v>291</v>
      </c>
      <c r="D297" s="2" t="s">
        <v>431</v>
      </c>
      <c r="E297" s="6">
        <v>1200</v>
      </c>
      <c r="F297" s="18">
        <f>(119000+41500+43404+55550+878)/2</f>
        <v>130166</v>
      </c>
      <c r="G297" s="18">
        <f>(4206+3175+8920+3320+11559+8723+23464+9031+18577+15817)/2</f>
        <v>53396</v>
      </c>
      <c r="H297" s="18"/>
      <c r="I297" s="18"/>
      <c r="J297" s="18"/>
      <c r="K297" s="18"/>
      <c r="L297" s="13">
        <f>SUM(F297:K297)</f>
        <v>183562</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f>(18022+12923)/2</f>
        <v>15472.5</v>
      </c>
      <c r="G302" s="18">
        <f>(989+2716)/2</f>
        <v>1852.5</v>
      </c>
      <c r="H302" s="18">
        <f>(5375+5990)/2</f>
        <v>5682.5</v>
      </c>
      <c r="I302" s="18">
        <f>(937+9392)/2</f>
        <v>5164.5</v>
      </c>
      <c r="J302" s="18"/>
      <c r="K302" s="18"/>
      <c r="L302" s="13">
        <f t="shared" si="14"/>
        <v>28172</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t="s">
        <v>286</v>
      </c>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250657</v>
      </c>
      <c r="G310" s="39">
        <f t="shared" si="15"/>
        <v>81888.5</v>
      </c>
      <c r="H310" s="39">
        <f t="shared" si="15"/>
        <v>9550.5</v>
      </c>
      <c r="I310" s="39">
        <f t="shared" si="15"/>
        <v>97412.5</v>
      </c>
      <c r="J310" s="39">
        <f t="shared" si="15"/>
        <v>2389.5</v>
      </c>
      <c r="K310" s="39">
        <f t="shared" si="15"/>
        <v>0</v>
      </c>
      <c r="L310" s="38">
        <f t="shared" si="15"/>
        <v>441898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t="s">
        <v>286</v>
      </c>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509666</v>
      </c>
      <c r="G339" s="38">
        <f t="shared" si="20"/>
        <v>165590</v>
      </c>
      <c r="H339" s="38">
        <f t="shared" si="20"/>
        <v>23653</v>
      </c>
      <c r="I339" s="38">
        <f t="shared" si="20"/>
        <v>194825</v>
      </c>
      <c r="J339" s="38">
        <f t="shared" si="20"/>
        <v>4779</v>
      </c>
      <c r="K339" s="38">
        <f t="shared" si="20"/>
        <v>0</v>
      </c>
      <c r="L339" s="38">
        <f t="shared" si="20"/>
        <v>898513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509666</v>
      </c>
      <c r="G353" s="38">
        <f>G339</f>
        <v>165590</v>
      </c>
      <c r="H353" s="38">
        <f>H339</f>
        <v>23653</v>
      </c>
      <c r="I353" s="38">
        <f>I339</f>
        <v>194825</v>
      </c>
      <c r="J353" s="38">
        <f>J339</f>
        <v>4779</v>
      </c>
      <c r="K353" s="38">
        <f>K339+K352</f>
        <v>0</v>
      </c>
      <c r="L353" s="38">
        <f>L339+L352</f>
        <v>898513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(395911+4118.16+751.58)/2</f>
        <v>200390.37</v>
      </c>
      <c r="I359" s="18"/>
      <c r="J359" s="18">
        <f>15716.41/2</f>
        <v>7858.2049999999999</v>
      </c>
      <c r="K359" s="18">
        <f>147.12/2</f>
        <v>73.56</v>
      </c>
      <c r="L359" s="13">
        <f>SUM(F359:K359)</f>
        <v>208322.13499999998</v>
      </c>
      <c r="M359" s="8"/>
      <c r="N359" s="165"/>
    </row>
    <row r="360" spans="1:22" s="3" customFormat="1" ht="12.2" customHeight="1" x14ac:dyDescent="0.15">
      <c r="A360" s="1" t="s">
        <v>542</v>
      </c>
      <c r="B360" s="2" t="s">
        <v>366</v>
      </c>
      <c r="C360" s="6">
        <v>2</v>
      </c>
      <c r="D360" s="2" t="s">
        <v>431</v>
      </c>
      <c r="E360" s="6"/>
      <c r="F360" s="18"/>
      <c r="G360" s="18"/>
      <c r="H360" s="18">
        <f>(395911+4118.16+751.58)/2</f>
        <v>200390.37</v>
      </c>
      <c r="I360" s="18"/>
      <c r="J360" s="18">
        <f>15716.41/2</f>
        <v>7858.2049999999999</v>
      </c>
      <c r="K360" s="18">
        <f>147.12/2</f>
        <v>73.56</v>
      </c>
      <c r="L360" s="13">
        <f>SUM(F360:K360)</f>
        <v>208322.13499999998</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400780.74</v>
      </c>
      <c r="I363" s="38">
        <f t="shared" si="22"/>
        <v>0</v>
      </c>
      <c r="J363" s="38">
        <f t="shared" si="22"/>
        <v>15716.41</v>
      </c>
      <c r="K363" s="38">
        <f t="shared" si="22"/>
        <v>147.12</v>
      </c>
      <c r="L363" s="38">
        <f t="shared" si="22"/>
        <v>416644.26999999996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150000</v>
      </c>
      <c r="H397" s="18">
        <v>17941.61</v>
      </c>
      <c r="I397" s="18"/>
      <c r="J397" s="23" t="s">
        <v>288</v>
      </c>
      <c r="K397" s="23" t="s">
        <v>288</v>
      </c>
      <c r="L397" s="13">
        <f t="shared" si="26"/>
        <v>167941.61</v>
      </c>
      <c r="M397" s="8"/>
      <c r="N397" s="165"/>
    </row>
    <row r="398" spans="1:14" s="3" customFormat="1" ht="12.2" customHeight="1" x14ac:dyDescent="0.15">
      <c r="A398" s="62" t="s">
        <v>515</v>
      </c>
      <c r="B398" s="2" t="s">
        <v>381</v>
      </c>
      <c r="C398" s="6">
        <v>10</v>
      </c>
      <c r="D398" s="2" t="s">
        <v>432</v>
      </c>
      <c r="E398" s="6"/>
      <c r="F398" s="18"/>
      <c r="G398" s="18"/>
      <c r="H398" s="18">
        <v>8135.45</v>
      </c>
      <c r="I398" s="18"/>
      <c r="J398" s="23" t="s">
        <v>288</v>
      </c>
      <c r="K398" s="23" t="s">
        <v>288</v>
      </c>
      <c r="L398" s="13">
        <f t="shared" si="26"/>
        <v>8135.45</v>
      </c>
      <c r="M398" s="8"/>
      <c r="N398" s="165"/>
    </row>
    <row r="399" spans="1:14" s="3" customFormat="1" ht="12.2" customHeight="1" x14ac:dyDescent="0.15">
      <c r="A399" s="62" t="s">
        <v>558</v>
      </c>
      <c r="B399" s="2" t="s">
        <v>381</v>
      </c>
      <c r="C399" s="6">
        <v>11</v>
      </c>
      <c r="D399" s="2" t="s">
        <v>432</v>
      </c>
      <c r="E399" s="6"/>
      <c r="F399" s="18"/>
      <c r="G399" s="18"/>
      <c r="H399" s="18">
        <v>9800.02</v>
      </c>
      <c r="I399" s="18"/>
      <c r="J399" s="23" t="s">
        <v>288</v>
      </c>
      <c r="K399" s="23" t="s">
        <v>288</v>
      </c>
      <c r="L399" s="13">
        <f t="shared" si="26"/>
        <v>9800.02</v>
      </c>
      <c r="M399" s="8"/>
      <c r="N399" s="165"/>
    </row>
    <row r="400" spans="1:14" s="3" customFormat="1" ht="12.2" customHeight="1" x14ac:dyDescent="0.15">
      <c r="A400" s="62" t="s">
        <v>559</v>
      </c>
      <c r="B400" s="2" t="s">
        <v>381</v>
      </c>
      <c r="C400" s="6">
        <v>12</v>
      </c>
      <c r="D400" s="2" t="s">
        <v>432</v>
      </c>
      <c r="E400" s="6"/>
      <c r="F400" s="18"/>
      <c r="G400" s="18"/>
      <c r="H400" s="18">
        <v>1651.35</v>
      </c>
      <c r="I400" s="18"/>
      <c r="J400" s="23" t="s">
        <v>288</v>
      </c>
      <c r="K400" s="23" t="s">
        <v>288</v>
      </c>
      <c r="L400" s="13">
        <f t="shared" si="26"/>
        <v>1651.35</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150000</v>
      </c>
      <c r="H402" s="38">
        <f>SUM(H396:H401)</f>
        <v>37528.43</v>
      </c>
      <c r="I402" s="38">
        <f>SUM(I396:I401)</f>
        <v>0</v>
      </c>
      <c r="J402" s="42" t="s">
        <v>288</v>
      </c>
      <c r="K402" s="42" t="s">
        <v>288</v>
      </c>
      <c r="L402" s="38">
        <f>SUM(L396:L401)</f>
        <v>187528.43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150000</v>
      </c>
      <c r="H409" s="38">
        <f>H394+H402+H408</f>
        <v>37528.43</v>
      </c>
      <c r="I409" s="38">
        <f>I394+I402+I408</f>
        <v>0</v>
      </c>
      <c r="J409" s="23" t="s">
        <v>288</v>
      </c>
      <c r="K409" s="23" t="s">
        <v>288</v>
      </c>
      <c r="L409" s="38">
        <f>L394+L402+L408</f>
        <v>187528.43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98533.38</v>
      </c>
      <c r="I423" s="18"/>
      <c r="J423" s="18"/>
      <c r="K423" s="18"/>
      <c r="L423" s="13">
        <f t="shared" si="29"/>
        <v>98533.38</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98533.38</v>
      </c>
      <c r="I428" s="38">
        <f t="shared" si="30"/>
        <v>0</v>
      </c>
      <c r="J428" s="38">
        <f t="shared" si="30"/>
        <v>0</v>
      </c>
      <c r="K428" s="38">
        <f t="shared" si="30"/>
        <v>0</v>
      </c>
      <c r="L428" s="38">
        <f t="shared" si="30"/>
        <v>98533.38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98533.38</v>
      </c>
      <c r="I435" s="38">
        <f t="shared" si="32"/>
        <v>0</v>
      </c>
      <c r="J435" s="38">
        <f t="shared" si="32"/>
        <v>0</v>
      </c>
      <c r="K435" s="38">
        <f t="shared" si="32"/>
        <v>0</v>
      </c>
      <c r="L435" s="38">
        <f t="shared" si="32"/>
        <v>98533.38</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1832187.35</v>
      </c>
      <c r="G440" s="18"/>
      <c r="H440" s="18"/>
      <c r="I440" s="13">
        <f t="shared" ref="I440:I446" si="33">SUM(F440:H440)</f>
        <v>1832187.35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1832187.35</v>
      </c>
      <c r="G447" s="13">
        <f>SUM(G440:G446)</f>
        <v>0</v>
      </c>
      <c r="H447" s="13">
        <f>SUM(H440:H446)</f>
        <v>0</v>
      </c>
      <c r="I447" s="13">
        <f>SUM(I440:I446)</f>
        <v>1832187.35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1832187.35</v>
      </c>
      <c r="G455" s="18"/>
      <c r="H455" s="18"/>
      <c r="I455" s="13">
        <f t="shared" ref="I455:I460" si="34">SUM(F455:H455)</f>
        <v>1832187.35</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1832187.35</v>
      </c>
      <c r="G461" s="65">
        <f>SUM(G455:G460)</f>
        <v>0</v>
      </c>
      <c r="H461" s="65">
        <f>SUM(H455:H460)</f>
        <v>0</v>
      </c>
      <c r="I461" s="65">
        <f>SUM(I455:I460)</f>
        <v>1832187.35</v>
      </c>
      <c r="J461" s="23" t="s">
        <v>288</v>
      </c>
      <c r="K461" s="23" t="s">
        <v>288</v>
      </c>
      <c r="L461" s="23" t="s">
        <v>288</v>
      </c>
      <c r="N461" s="131"/>
    </row>
    <row r="462" spans="1:86" ht="12.2" customHeight="1" thickTop="1" x14ac:dyDescent="0.2">
      <c r="A462" s="40" t="s">
        <v>424</v>
      </c>
      <c r="B462" s="41">
        <v>18</v>
      </c>
      <c r="C462" s="64">
        <v>21</v>
      </c>
      <c r="D462" s="114" t="s">
        <v>432</v>
      </c>
      <c r="E462" s="64"/>
      <c r="F462" s="39">
        <f>F453+F461</f>
        <v>1832187.35</v>
      </c>
      <c r="G462" s="39">
        <f>G453+G461</f>
        <v>0</v>
      </c>
      <c r="H462" s="39">
        <f>H453+H461</f>
        <v>0</v>
      </c>
      <c r="I462" s="39">
        <f>I453+I461</f>
        <v>1832187.35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1127613.1399999999</v>
      </c>
      <c r="G466" s="18">
        <v>225630.64</v>
      </c>
      <c r="H466" s="18">
        <v>0</v>
      </c>
      <c r="I466" s="18">
        <v>0</v>
      </c>
      <c r="J466" s="18">
        <v>1743192.3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26966599.75</v>
      </c>
      <c r="G469" s="18">
        <v>388786.91</v>
      </c>
      <c r="H469" s="18">
        <v>898513</v>
      </c>
      <c r="I469" s="18"/>
      <c r="J469" s="18">
        <f>8135.45+150000+17941.61+9800.02+1651.35</f>
        <v>187528.43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26966599.75</v>
      </c>
      <c r="G471" s="19">
        <f>SUM(G469:G470)</f>
        <v>388786.91</v>
      </c>
      <c r="H471" s="19">
        <f>SUM(H469:H470)</f>
        <v>898513</v>
      </c>
      <c r="I471" s="19">
        <f>SUM(I469:I470)</f>
        <v>0</v>
      </c>
      <c r="J471" s="19">
        <f>SUM(J469:J470)</f>
        <v>187528.43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26908205+89997.14</f>
        <v>26998202.140000001</v>
      </c>
      <c r="G473" s="18">
        <v>416644.27</v>
      </c>
      <c r="H473" s="18">
        <v>898513</v>
      </c>
      <c r="I473" s="18"/>
      <c r="J473" s="18">
        <v>98533.38</v>
      </c>
      <c r="K473" s="23" t="s">
        <v>288</v>
      </c>
      <c r="L473" s="23" t="s">
        <v>288</v>
      </c>
      <c r="N473" s="131"/>
    </row>
    <row r="474" spans="1:14" ht="12.2" customHeight="1" x14ac:dyDescent="0.2">
      <c r="A474" s="71" t="s">
        <v>613</v>
      </c>
      <c r="B474" s="22">
        <v>19</v>
      </c>
      <c r="C474" s="31">
        <v>6</v>
      </c>
      <c r="D474" s="2" t="s">
        <v>432</v>
      </c>
      <c r="E474" s="31"/>
      <c r="F474" s="18" t="s">
        <v>286</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26998202.140000001</v>
      </c>
      <c r="G475" s="19">
        <f>SUM(G473:G474)</f>
        <v>416644.27</v>
      </c>
      <c r="H475" s="19">
        <f>SUM(H473:H474)</f>
        <v>898513</v>
      </c>
      <c r="I475" s="19">
        <f>SUM(I473:I474)</f>
        <v>0</v>
      </c>
      <c r="J475" s="19">
        <f>SUM(J473:J474)</f>
        <v>98533.38</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1096010.75</v>
      </c>
      <c r="G477" s="19">
        <f>(G466+G471)- G475</f>
        <v>197773.28000000003</v>
      </c>
      <c r="H477" s="19">
        <f>(H466+H471)- H475</f>
        <v>0</v>
      </c>
      <c r="I477" s="19">
        <f>(I466+I471)- I475</f>
        <v>0</v>
      </c>
      <c r="J477" s="19">
        <f>(J466+J471)- J475</f>
        <v>1832187.35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14144129</v>
      </c>
      <c r="G494" s="18"/>
      <c r="H494" s="18"/>
      <c r="I494" s="18"/>
      <c r="J494" s="18"/>
      <c r="K494" s="23" t="s">
        <v>288</v>
      </c>
      <c r="L494" s="23" t="s">
        <v>288</v>
      </c>
      <c r="N494" s="131"/>
    </row>
    <row r="495" spans="1:14" ht="12.2" customHeight="1" x14ac:dyDescent="0.2">
      <c r="A495" s="21" t="s">
        <v>618</v>
      </c>
      <c r="B495" s="22">
        <v>20</v>
      </c>
      <c r="C495" s="22">
        <v>5</v>
      </c>
      <c r="D495" s="2" t="s">
        <v>432</v>
      </c>
      <c r="E495" s="22"/>
      <c r="F495" s="18">
        <v>3.7</v>
      </c>
      <c r="G495" s="18"/>
      <c r="H495" s="18"/>
      <c r="I495" s="18"/>
      <c r="J495" s="18"/>
      <c r="K495" s="23" t="s">
        <v>288</v>
      </c>
      <c r="L495" s="23" t="s">
        <v>288</v>
      </c>
      <c r="N495" s="131"/>
    </row>
    <row r="496" spans="1:14" ht="12.2" customHeight="1" x14ac:dyDescent="0.2">
      <c r="A496" s="21" t="s">
        <v>619</v>
      </c>
      <c r="B496" s="22">
        <v>20</v>
      </c>
      <c r="C496" s="22">
        <v>6</v>
      </c>
      <c r="D496" s="2" t="s">
        <v>432</v>
      </c>
      <c r="E496" s="22"/>
      <c r="F496" s="18">
        <v>710000</v>
      </c>
      <c r="G496" s="18"/>
      <c r="H496" s="18"/>
      <c r="I496" s="18"/>
      <c r="J496" s="18"/>
      <c r="K496" s="19">
        <f>SUM(F496:J496)</f>
        <v>710000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710000</v>
      </c>
      <c r="G498" s="18"/>
      <c r="H498" s="18"/>
      <c r="I498" s="18"/>
      <c r="J498" s="18"/>
      <c r="K498" s="19">
        <f t="shared" si="35"/>
        <v>710000</v>
      </c>
      <c r="L498" s="23" t="s">
        <v>288</v>
      </c>
      <c r="N498" s="131"/>
    </row>
    <row r="499" spans="1:14" ht="12.2" customHeight="1" x14ac:dyDescent="0.2">
      <c r="A499" s="144" t="s">
        <v>622</v>
      </c>
      <c r="B499" s="145">
        <v>20</v>
      </c>
      <c r="C499" s="145">
        <v>9</v>
      </c>
      <c r="D499" s="146" t="s">
        <v>432</v>
      </c>
      <c r="E499" s="145"/>
      <c r="F499" s="147">
        <v>0</v>
      </c>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1044803.3+130166</f>
        <v>1174969.3</v>
      </c>
      <c r="G522" s="18">
        <f>532805.86+53396</f>
        <v>586201.86</v>
      </c>
      <c r="H522" s="18" t="s">
        <v>286</v>
      </c>
      <c r="I522" s="18">
        <v>3984.7</v>
      </c>
      <c r="J522" s="18">
        <v>1156.97</v>
      </c>
      <c r="K522" s="18"/>
      <c r="L522" s="69">
        <f>SUM(F522:K522)</f>
        <v>1766312.83</v>
      </c>
      <c r="N522" s="131"/>
    </row>
    <row r="523" spans="1:14" ht="12.2" customHeight="1" x14ac:dyDescent="0.2">
      <c r="A523" s="21" t="s">
        <v>634</v>
      </c>
      <c r="B523" s="22">
        <v>21</v>
      </c>
      <c r="C523" s="22">
        <v>2</v>
      </c>
      <c r="D523" s="2" t="s">
        <v>432</v>
      </c>
      <c r="E523" s="22"/>
      <c r="F523" s="18">
        <f>566729.31+130166</f>
        <v>696895.31</v>
      </c>
      <c r="G523" s="18">
        <f>320500.05+53396</f>
        <v>373896.05</v>
      </c>
      <c r="H523" s="18">
        <v>129978.07</v>
      </c>
      <c r="I523" s="18">
        <v>1643.95</v>
      </c>
      <c r="J523" s="18">
        <v>3831.72</v>
      </c>
      <c r="K523" s="18"/>
      <c r="L523" s="69">
        <f>SUM(F523:K523)</f>
        <v>1206245.1000000001</v>
      </c>
      <c r="N523" s="131"/>
    </row>
    <row r="524" spans="1:14" ht="12.2" customHeight="1" thickBot="1" x14ac:dyDescent="0.25">
      <c r="A524" s="21" t="s">
        <v>635</v>
      </c>
      <c r="B524" s="22">
        <v>21</v>
      </c>
      <c r="C524" s="22">
        <v>3</v>
      </c>
      <c r="D524" s="2" t="s">
        <v>432</v>
      </c>
      <c r="E524" s="22"/>
      <c r="F524" s="18"/>
      <c r="G524" s="18"/>
      <c r="H524" s="18">
        <v>709770.79</v>
      </c>
      <c r="I524" s="18"/>
      <c r="J524" s="18">
        <v>1351</v>
      </c>
      <c r="K524" s="18"/>
      <c r="L524" s="69">
        <f>SUM(F524:K524)</f>
        <v>711121.79</v>
      </c>
      <c r="N524" s="131"/>
    </row>
    <row r="525" spans="1:14" ht="12.2" customHeight="1" thickTop="1" x14ac:dyDescent="0.2">
      <c r="A525" s="97" t="s">
        <v>63</v>
      </c>
      <c r="B525" s="41">
        <v>21</v>
      </c>
      <c r="C525" s="41">
        <v>4</v>
      </c>
      <c r="D525" s="115" t="s">
        <v>432</v>
      </c>
      <c r="E525" s="41"/>
      <c r="F525" s="81">
        <f>SUM(F522:F524)</f>
        <v>1871864.61</v>
      </c>
      <c r="G525" s="81">
        <f t="shared" ref="G525:L525" si="36">SUM(G522:G524)</f>
        <v>960097.90999999992</v>
      </c>
      <c r="H525" s="81">
        <f t="shared" si="36"/>
        <v>839748.8600000001</v>
      </c>
      <c r="I525" s="81">
        <f t="shared" si="36"/>
        <v>5628.65</v>
      </c>
      <c r="J525" s="81">
        <f t="shared" si="36"/>
        <v>6339.69</v>
      </c>
      <c r="K525" s="81">
        <f t="shared" si="36"/>
        <v>0</v>
      </c>
      <c r="L525" s="70">
        <f t="shared" si="36"/>
        <v>3683679.72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676795.79</f>
        <v>676795.79</v>
      </c>
      <c r="G527" s="18">
        <f>291360.75</f>
        <v>291360.75</v>
      </c>
      <c r="H527" s="18">
        <f>42390.07</f>
        <v>42390.07</v>
      </c>
      <c r="I527" s="18">
        <v>9070.2099999999991</v>
      </c>
      <c r="J527" s="18">
        <v>300</v>
      </c>
      <c r="K527" s="18">
        <v>3082.27</v>
      </c>
      <c r="L527" s="69">
        <f>SUM(F527:K527)</f>
        <v>1022999.09</v>
      </c>
      <c r="M527" s="8"/>
      <c r="N527" s="165"/>
    </row>
    <row r="528" spans="1:14" s="3" customFormat="1" ht="12.2" customHeight="1" x14ac:dyDescent="0.15">
      <c r="A528" s="21" t="s">
        <v>634</v>
      </c>
      <c r="B528" s="22">
        <v>21</v>
      </c>
      <c r="C528" s="22">
        <v>6</v>
      </c>
      <c r="D528" s="2" t="s">
        <v>432</v>
      </c>
      <c r="E528" s="22"/>
      <c r="F528" s="18">
        <v>540786.97</v>
      </c>
      <c r="G528" s="18">
        <v>304562.21999999997</v>
      </c>
      <c r="H528" s="18">
        <v>33514.800000000003</v>
      </c>
      <c r="I528" s="18">
        <v>6290.58</v>
      </c>
      <c r="J528" s="18"/>
      <c r="K528" s="18">
        <v>3082.28</v>
      </c>
      <c r="L528" s="69">
        <f>SUM(F528:K528)</f>
        <v>888236.85</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1217582.76</v>
      </c>
      <c r="G530" s="70">
        <f t="shared" ref="G530:L530" si="37">SUM(G527:G529)</f>
        <v>595922.97</v>
      </c>
      <c r="H530" s="70">
        <f t="shared" si="37"/>
        <v>75904.87</v>
      </c>
      <c r="I530" s="70">
        <f t="shared" si="37"/>
        <v>15360.789999999999</v>
      </c>
      <c r="J530" s="70">
        <f t="shared" si="37"/>
        <v>300</v>
      </c>
      <c r="K530" s="70">
        <f t="shared" si="37"/>
        <v>6164.55</v>
      </c>
      <c r="L530" s="70">
        <f t="shared" si="37"/>
        <v>1911235.94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114957.46/3</f>
        <v>38319.153333333335</v>
      </c>
      <c r="G532" s="18">
        <f>60957.27/3</f>
        <v>20319.09</v>
      </c>
      <c r="H532" s="18"/>
      <c r="I532" s="18"/>
      <c r="J532" s="18"/>
      <c r="K532" s="18"/>
      <c r="L532" s="69">
        <f>SUM(F532:K532)</f>
        <v>58638.243333333332</v>
      </c>
      <c r="M532" s="8"/>
      <c r="N532" s="165"/>
    </row>
    <row r="533" spans="1:14" s="3" customFormat="1" ht="12.2" customHeight="1" x14ac:dyDescent="0.15">
      <c r="A533" s="21" t="s">
        <v>634</v>
      </c>
      <c r="B533" s="22">
        <v>21</v>
      </c>
      <c r="C533" s="22">
        <v>10</v>
      </c>
      <c r="D533" s="2" t="s">
        <v>432</v>
      </c>
      <c r="E533" s="22"/>
      <c r="F533" s="18">
        <f>114957.46/3</f>
        <v>38319.153333333335</v>
      </c>
      <c r="G533" s="18">
        <f>60957.27/3</f>
        <v>20319.09</v>
      </c>
      <c r="H533" s="18"/>
      <c r="I533" s="18"/>
      <c r="J533" s="18"/>
      <c r="K533" s="18"/>
      <c r="L533" s="69">
        <f>SUM(F533:K533)</f>
        <v>58638.243333333332</v>
      </c>
      <c r="M533" s="8"/>
      <c r="N533" s="165"/>
    </row>
    <row r="534" spans="1:14" s="3" customFormat="1" ht="12.2" customHeight="1" thickBot="1" x14ac:dyDescent="0.2">
      <c r="A534" s="21" t="s">
        <v>635</v>
      </c>
      <c r="B534" s="22">
        <v>21</v>
      </c>
      <c r="C534" s="22">
        <v>11</v>
      </c>
      <c r="D534" s="2" t="s">
        <v>432</v>
      </c>
      <c r="E534" s="22"/>
      <c r="F534" s="18">
        <f>114957.46/3</f>
        <v>38319.153333333335</v>
      </c>
      <c r="G534" s="18">
        <f>60957.27/3</f>
        <v>20319.09</v>
      </c>
      <c r="H534" s="18"/>
      <c r="I534" s="18"/>
      <c r="J534" s="18"/>
      <c r="K534" s="18"/>
      <c r="L534" s="69">
        <f>SUM(F534:K534)</f>
        <v>58638.243333333332</v>
      </c>
      <c r="M534" s="8"/>
      <c r="N534" s="165"/>
    </row>
    <row r="535" spans="1:14" s="3" customFormat="1" ht="12.2" customHeight="1" thickTop="1" x14ac:dyDescent="0.15">
      <c r="A535" s="97" t="s">
        <v>67</v>
      </c>
      <c r="B535" s="41">
        <v>21</v>
      </c>
      <c r="C535" s="41">
        <v>12</v>
      </c>
      <c r="D535" s="115" t="s">
        <v>432</v>
      </c>
      <c r="E535" s="41"/>
      <c r="F535" s="70">
        <f>SUM(F532:F534)</f>
        <v>114957.46</v>
      </c>
      <c r="G535" s="70">
        <f t="shared" ref="G535:L535" si="38">SUM(G532:G534)</f>
        <v>60957.270000000004</v>
      </c>
      <c r="H535" s="70">
        <f t="shared" si="38"/>
        <v>0</v>
      </c>
      <c r="I535" s="70">
        <f t="shared" si="38"/>
        <v>0</v>
      </c>
      <c r="J535" s="70">
        <f t="shared" si="38"/>
        <v>0</v>
      </c>
      <c r="K535" s="70">
        <f t="shared" si="38"/>
        <v>0</v>
      </c>
      <c r="L535" s="70">
        <f t="shared" si="38"/>
        <v>175914.72999999998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177939.6+115493.16</f>
        <v>293432.76</v>
      </c>
      <c r="I542" s="18"/>
      <c r="J542" s="18"/>
      <c r="K542" s="18"/>
      <c r="L542" s="69">
        <f>SUM(F542:K542)</f>
        <v>293432.76</v>
      </c>
      <c r="M542" s="8"/>
      <c r="N542" s="165"/>
    </row>
    <row r="543" spans="1:14" s="3" customFormat="1" ht="12.2" customHeight="1" x14ac:dyDescent="0.15">
      <c r="A543" s="21" t="s">
        <v>634</v>
      </c>
      <c r="B543" s="22">
        <v>21</v>
      </c>
      <c r="C543" s="22">
        <v>18</v>
      </c>
      <c r="D543" s="2" t="s">
        <v>432</v>
      </c>
      <c r="E543" s="22"/>
      <c r="F543" s="18"/>
      <c r="G543" s="18"/>
      <c r="H543" s="18">
        <f>115493.16</f>
        <v>115493.16</v>
      </c>
      <c r="I543" s="18"/>
      <c r="J543" s="18"/>
      <c r="K543" s="18"/>
      <c r="L543" s="69">
        <f>SUM(F543:K543)</f>
        <v>115493.16</v>
      </c>
      <c r="M543" s="8"/>
      <c r="N543" s="165"/>
    </row>
    <row r="544" spans="1:14" s="3" customFormat="1" ht="12.2" customHeight="1" thickBot="1" x14ac:dyDescent="0.2">
      <c r="A544" s="21" t="s">
        <v>635</v>
      </c>
      <c r="B544" s="22">
        <v>21</v>
      </c>
      <c r="C544" s="22">
        <v>19</v>
      </c>
      <c r="D544" s="2" t="s">
        <v>432</v>
      </c>
      <c r="E544" s="22"/>
      <c r="F544" s="18"/>
      <c r="G544" s="18"/>
      <c r="H544" s="18">
        <f>122187.48</f>
        <v>122187.48</v>
      </c>
      <c r="I544" s="18"/>
      <c r="J544" s="18"/>
      <c r="K544" s="18"/>
      <c r="L544" s="69">
        <f>SUM(F544:K544)</f>
        <v>122187.48</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531113.4</v>
      </c>
      <c r="I545" s="141">
        <f t="shared" si="40"/>
        <v>0</v>
      </c>
      <c r="J545" s="141">
        <f t="shared" si="40"/>
        <v>0</v>
      </c>
      <c r="K545" s="141">
        <f t="shared" si="40"/>
        <v>0</v>
      </c>
      <c r="L545" s="141">
        <f t="shared" si="40"/>
        <v>531113.4</v>
      </c>
      <c r="M545" s="8"/>
      <c r="N545" s="165"/>
    </row>
    <row r="546" spans="1:14" s="3" customFormat="1" ht="12.2" customHeight="1" thickTop="1" x14ac:dyDescent="0.15">
      <c r="A546" s="75" t="s">
        <v>72</v>
      </c>
      <c r="B546" s="41">
        <v>21</v>
      </c>
      <c r="C546" s="41">
        <v>21</v>
      </c>
      <c r="D546" s="115" t="s">
        <v>432</v>
      </c>
      <c r="E546" s="41"/>
      <c r="F546" s="70">
        <f>F525+F530+F535+F540+F545</f>
        <v>3204404.83</v>
      </c>
      <c r="G546" s="70">
        <f t="shared" ref="G546:L546" si="41">G525+G530+G535+G540+G545</f>
        <v>1616978.15</v>
      </c>
      <c r="H546" s="70">
        <f t="shared" si="41"/>
        <v>1446767.1300000001</v>
      </c>
      <c r="I546" s="70">
        <f t="shared" si="41"/>
        <v>20989.439999999999</v>
      </c>
      <c r="J546" s="70">
        <f t="shared" si="41"/>
        <v>6639.69</v>
      </c>
      <c r="K546" s="70">
        <f t="shared" si="41"/>
        <v>6164.55</v>
      </c>
      <c r="L546" s="70">
        <f t="shared" si="41"/>
        <v>6301943.790000001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1766312.83</v>
      </c>
      <c r="G550" s="69">
        <f>L527</f>
        <v>1022999.09</v>
      </c>
      <c r="H550" s="69">
        <f>L532</f>
        <v>58638.243333333332</v>
      </c>
      <c r="I550" s="69">
        <f>L537</f>
        <v>0</v>
      </c>
      <c r="J550" s="69">
        <f>L542</f>
        <v>293432.76</v>
      </c>
      <c r="K550" s="69">
        <f>SUM(F550:J550)</f>
        <v>3141382.9233333329</v>
      </c>
      <c r="L550" s="23" t="s">
        <v>288</v>
      </c>
      <c r="M550" s="8"/>
      <c r="N550" s="165"/>
    </row>
    <row r="551" spans="1:14" s="3" customFormat="1" ht="12.2" customHeight="1" x14ac:dyDescent="0.15">
      <c r="A551" s="21" t="s">
        <v>634</v>
      </c>
      <c r="B551" s="22">
        <v>21</v>
      </c>
      <c r="C551" s="22">
        <v>23</v>
      </c>
      <c r="D551" s="2" t="s">
        <v>432</v>
      </c>
      <c r="E551" s="22"/>
      <c r="F551" s="69">
        <f>L523</f>
        <v>1206245.1000000001</v>
      </c>
      <c r="G551" s="69">
        <f>L528</f>
        <v>888236.85</v>
      </c>
      <c r="H551" s="69">
        <f>L533</f>
        <v>58638.243333333332</v>
      </c>
      <c r="I551" s="69">
        <f>L538</f>
        <v>0</v>
      </c>
      <c r="J551" s="69">
        <f>L543</f>
        <v>115493.16</v>
      </c>
      <c r="K551" s="69">
        <f>SUM(F551:J551)</f>
        <v>2268613.3533333335</v>
      </c>
      <c r="L551" s="23" t="s">
        <v>288</v>
      </c>
      <c r="M551" s="8"/>
      <c r="N551" s="165"/>
    </row>
    <row r="552" spans="1:14" s="3" customFormat="1" ht="12.2" customHeight="1" thickBot="1" x14ac:dyDescent="0.2">
      <c r="A552" s="21" t="s">
        <v>635</v>
      </c>
      <c r="B552" s="22">
        <v>21</v>
      </c>
      <c r="C552" s="22">
        <v>24</v>
      </c>
      <c r="D552" s="2" t="s">
        <v>432</v>
      </c>
      <c r="E552" s="22"/>
      <c r="F552" s="69">
        <f>L524</f>
        <v>711121.79</v>
      </c>
      <c r="G552" s="69">
        <f>L529</f>
        <v>0</v>
      </c>
      <c r="H552" s="69">
        <f>L534</f>
        <v>58638.243333333332</v>
      </c>
      <c r="I552" s="69">
        <f>L539</f>
        <v>0</v>
      </c>
      <c r="J552" s="69">
        <f>L544</f>
        <v>122187.48</v>
      </c>
      <c r="K552" s="69">
        <f>SUM(F552:J552)</f>
        <v>891947.51333333331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3683679.72</v>
      </c>
      <c r="G553" s="70">
        <f t="shared" si="42"/>
        <v>1911235.94</v>
      </c>
      <c r="H553" s="70">
        <f t="shared" si="42"/>
        <v>175914.72999999998</v>
      </c>
      <c r="I553" s="70">
        <f t="shared" si="42"/>
        <v>0</v>
      </c>
      <c r="J553" s="70">
        <f t="shared" si="42"/>
        <v>531113.4</v>
      </c>
      <c r="K553" s="70">
        <f t="shared" si="42"/>
        <v>6301943.79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f>3159427.86+3191227</f>
        <v>6350654.8599999994</v>
      </c>
      <c r="I576" s="69">
        <f>SUM(F576:H576)</f>
        <v>6350654.8599999994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1808957.95</v>
      </c>
      <c r="I578" s="69">
        <f t="shared" si="47"/>
        <v>1808957.95</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t="s">
        <v>286</v>
      </c>
      <c r="H580" s="18">
        <f>451252.5</f>
        <v>451252.5</v>
      </c>
      <c r="I580" s="69">
        <f t="shared" si="47"/>
        <v>451252.5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t="s">
        <v>286</v>
      </c>
      <c r="H581" s="18" t="s">
        <v>286</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f>130711.29</f>
        <v>130711.29</v>
      </c>
      <c r="I582" s="69">
        <f t="shared" si="47"/>
        <v>130711.29</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99069.92</v>
      </c>
      <c r="H583" s="18">
        <v>127807</v>
      </c>
      <c r="I583" s="69">
        <f t="shared" si="47"/>
        <v>226876.91999999998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221315.19</f>
        <v>221315.19</v>
      </c>
      <c r="I592" s="18">
        <f>221315.19</f>
        <v>221315.19</v>
      </c>
      <c r="J592" s="18">
        <f>264437.32</f>
        <v>264437.32</v>
      </c>
      <c r="K592" s="80">
        <f t="shared" ref="K592:K598" si="48">SUM(H592:J592)</f>
        <v>707067.7</v>
      </c>
      <c r="L592" s="23" t="s">
        <v>288</v>
      </c>
      <c r="M592" s="8"/>
      <c r="N592" s="165"/>
    </row>
    <row r="593" spans="1:14" s="3" customFormat="1" ht="12.2" customHeight="1" x14ac:dyDescent="0.15">
      <c r="A593" s="3" t="s">
        <v>638</v>
      </c>
      <c r="B593" s="22">
        <v>23</v>
      </c>
      <c r="C593" s="22">
        <v>2</v>
      </c>
      <c r="D593" s="2" t="s">
        <v>432</v>
      </c>
      <c r="E593" s="22"/>
      <c r="F593" s="78">
        <v>2722</v>
      </c>
      <c r="G593" s="79" t="s">
        <v>97</v>
      </c>
      <c r="H593" s="18">
        <f>177939.6+115493.16</f>
        <v>293432.76</v>
      </c>
      <c r="I593" s="18">
        <f>115493.16</f>
        <v>115493.16</v>
      </c>
      <c r="J593" s="18">
        <v>122187.48</v>
      </c>
      <c r="K593" s="80">
        <f t="shared" si="48"/>
        <v>531113.4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f>2760.23+1440.88</f>
        <v>4201.1100000000006</v>
      </c>
      <c r="I596" s="18">
        <v>23175.9</v>
      </c>
      <c r="J596" s="18"/>
      <c r="K596" s="80">
        <f t="shared" si="48"/>
        <v>27377.010000000002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t="s">
        <v>286</v>
      </c>
      <c r="I598" s="18"/>
      <c r="J598" s="18">
        <v>4026.85</v>
      </c>
      <c r="K598" s="80">
        <f t="shared" si="48"/>
        <v>4026.85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518949.06</v>
      </c>
      <c r="I599" s="81">
        <f>SUM(I592:I598)</f>
        <v>359984.25</v>
      </c>
      <c r="J599" s="81">
        <f>SUM(J592:J598)</f>
        <v>390651.64999999997</v>
      </c>
      <c r="K599" s="81">
        <f>SUM(K592:K598)</f>
        <v>1269584.9600000002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75899.29+2389.51</f>
        <v>78288.799999999988</v>
      </c>
      <c r="I605" s="18">
        <f>2389.5+78162.62</f>
        <v>80552.12</v>
      </c>
      <c r="J605" s="18">
        <v>2149.88</v>
      </c>
      <c r="K605" s="80">
        <f>SUM(H605:J605)</f>
        <v>160990.79999999999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78288.799999999988</v>
      </c>
      <c r="I606" s="81">
        <f>SUM(I603:I605)</f>
        <v>80552.12</v>
      </c>
      <c r="J606" s="81">
        <f>SUM(J603:J605)</f>
        <v>2149.88</v>
      </c>
      <c r="K606" s="81">
        <f>SUM(K603:K605)</f>
        <v>160990.79999999999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2528699.75</v>
      </c>
      <c r="H618" s="80">
        <f>SUM(F52)</f>
        <v>2528699.75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197773.28</v>
      </c>
      <c r="H619" s="80">
        <f>SUM(G52)</f>
        <v>197773.28</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1832187.35</v>
      </c>
      <c r="H622" s="80">
        <f>SUM(J52)</f>
        <v>1832187.35</v>
      </c>
      <c r="I622" s="87" t="s">
        <v>878</v>
      </c>
      <c r="J622" s="80">
        <f>G622-H622</f>
        <v>0</v>
      </c>
      <c r="K622" s="80"/>
      <c r="L622" s="80"/>
      <c r="M622" s="8"/>
    </row>
    <row r="623" spans="1:14" s="3" customFormat="1" ht="12.2" customHeight="1" x14ac:dyDescent="0.15">
      <c r="A623" s="74"/>
      <c r="B623" s="22"/>
      <c r="C623" s="22"/>
      <c r="D623" s="22"/>
      <c r="E623" s="22"/>
      <c r="F623" s="87" t="s">
        <v>864</v>
      </c>
      <c r="G623" s="80">
        <f>F51</f>
        <v>1096010.75</v>
      </c>
      <c r="H623" s="80">
        <f>F477</f>
        <v>1096010.75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197773.28</v>
      </c>
      <c r="H624" s="80">
        <f>G477</f>
        <v>197773.28000000003</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1832187.35</v>
      </c>
      <c r="H627" s="80">
        <f>J477</f>
        <v>1832187.35</v>
      </c>
      <c r="I627" s="87" t="s">
        <v>105</v>
      </c>
      <c r="J627" s="80">
        <f t="shared" si="50"/>
        <v>0</v>
      </c>
      <c r="K627" s="67"/>
      <c r="L627" s="69"/>
      <c r="M627" s="8"/>
    </row>
    <row r="628" spans="1:13" s="3" customFormat="1" ht="12.2" customHeight="1" x14ac:dyDescent="0.15">
      <c r="A628" s="21"/>
      <c r="B628" s="22"/>
      <c r="C628" s="22"/>
      <c r="D628" s="22"/>
      <c r="E628" s="22"/>
      <c r="F628" s="86" t="s">
        <v>658</v>
      </c>
      <c r="G628" s="80">
        <f>F194</f>
        <v>26966599.75</v>
      </c>
      <c r="H628" s="80">
        <f>SUM(F469)</f>
        <v>26966599.75</v>
      </c>
      <c r="I628" s="87" t="s">
        <v>106</v>
      </c>
      <c r="J628" s="80">
        <f>G628-H628</f>
        <v>0</v>
      </c>
      <c r="K628" s="67"/>
      <c r="L628" s="69"/>
      <c r="M628" s="8"/>
    </row>
    <row r="629" spans="1:13" s="3" customFormat="1" ht="12.2" customHeight="1" x14ac:dyDescent="0.15">
      <c r="A629" s="21"/>
      <c r="B629" s="22"/>
      <c r="C629" s="22"/>
      <c r="D629" s="22"/>
      <c r="E629" s="22"/>
      <c r="F629" s="86" t="s">
        <v>659</v>
      </c>
      <c r="G629" s="80">
        <f>G194</f>
        <v>388786.91000000003</v>
      </c>
      <c r="H629" s="80">
        <f>SUM(G469)</f>
        <v>388786.91</v>
      </c>
      <c r="I629" s="87" t="s">
        <v>107</v>
      </c>
      <c r="J629" s="80">
        <f>G629-H629</f>
        <v>0</v>
      </c>
      <c r="K629" s="67"/>
      <c r="L629" s="69"/>
      <c r="M629" s="8"/>
    </row>
    <row r="630" spans="1:13" s="3" customFormat="1" ht="12.2" customHeight="1" x14ac:dyDescent="0.15">
      <c r="A630" s="21"/>
      <c r="B630" s="22"/>
      <c r="C630" s="22"/>
      <c r="D630" s="22"/>
      <c r="E630" s="22"/>
      <c r="F630" s="86" t="s">
        <v>660</v>
      </c>
      <c r="G630" s="80">
        <f>H194</f>
        <v>898513</v>
      </c>
      <c r="H630" s="80">
        <f>SUM(H469)</f>
        <v>898513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187528.43</v>
      </c>
      <c r="H632" s="80">
        <f>SUM(J469)</f>
        <v>187528.43</v>
      </c>
      <c r="I632" s="87" t="s">
        <v>110</v>
      </c>
      <c r="J632" s="80">
        <f>G632-H632</f>
        <v>0</v>
      </c>
      <c r="K632" s="67"/>
      <c r="L632" s="69"/>
      <c r="M632" s="8"/>
    </row>
    <row r="633" spans="1:13" s="3" customFormat="1" ht="12.2" customHeight="1" x14ac:dyDescent="0.15">
      <c r="A633" s="21"/>
      <c r="B633" s="22"/>
      <c r="C633" s="22"/>
      <c r="D633" s="22"/>
      <c r="E633" s="22"/>
      <c r="F633" s="86" t="s">
        <v>394</v>
      </c>
      <c r="G633" s="80">
        <f>SUM(L272)</f>
        <v>26998202.139999997</v>
      </c>
      <c r="H633" s="80">
        <f>SUM(F473)</f>
        <v>26998202.140000001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898513</v>
      </c>
      <c r="H634" s="80">
        <f>SUM(H473)</f>
        <v>898513</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416644.26999999996</v>
      </c>
      <c r="H636" s="80">
        <f>SUM(G473)</f>
        <v>416644.27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187528.43</v>
      </c>
      <c r="H638" s="108">
        <f>SUM(J469)</f>
        <v>187528.43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98533.38</v>
      </c>
      <c r="H639" s="108">
        <f>SUM(J473)</f>
        <v>98533.38</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1832187.35</v>
      </c>
      <c r="H640" s="80">
        <f>SUM(F462)</f>
        <v>1832187.35</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1832187.35</v>
      </c>
      <c r="H643" s="80">
        <f>SUM(I462)</f>
        <v>1832187.35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37528.43</v>
      </c>
      <c r="H645" s="80">
        <f>H409</f>
        <v>37528.43</v>
      </c>
      <c r="I645" s="87" t="s">
        <v>480</v>
      </c>
      <c r="J645" s="80">
        <f t="shared" si="50"/>
        <v>0</v>
      </c>
      <c r="K645" s="67"/>
      <c r="L645" s="69"/>
      <c r="M645" s="8"/>
    </row>
    <row r="646" spans="1:13" s="3" customFormat="1" ht="12.2" customHeight="1" x14ac:dyDescent="0.15">
      <c r="A646" s="21"/>
      <c r="B646" s="22"/>
      <c r="C646" s="22"/>
      <c r="D646" s="22"/>
      <c r="E646" s="22"/>
      <c r="F646" s="86" t="s">
        <v>664</v>
      </c>
      <c r="G646" s="80">
        <f>J184</f>
        <v>150000</v>
      </c>
      <c r="H646" s="80">
        <f>G409</f>
        <v>150000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187528.43</v>
      </c>
      <c r="H647" s="80">
        <f>L409</f>
        <v>187528.43</v>
      </c>
      <c r="I647" s="87" t="s">
        <v>477</v>
      </c>
      <c r="J647" s="80">
        <f t="shared" si="50"/>
        <v>0</v>
      </c>
      <c r="K647" s="67"/>
      <c r="L647" s="69"/>
      <c r="M647" s="8"/>
    </row>
    <row r="648" spans="1:13" s="3" customFormat="1" ht="12.2" customHeight="1" x14ac:dyDescent="0.15">
      <c r="A648" s="21"/>
      <c r="B648" s="22"/>
      <c r="C648" s="22"/>
      <c r="D648" s="22"/>
      <c r="E648" s="22"/>
      <c r="F648" s="86" t="s">
        <v>51</v>
      </c>
      <c r="G648" s="80">
        <f>K599</f>
        <v>1269584.9600000002</v>
      </c>
      <c r="H648" s="80">
        <f>L209+L227+L245</f>
        <v>1269584.96</v>
      </c>
      <c r="I648" s="87" t="s">
        <v>396</v>
      </c>
      <c r="J648" s="80">
        <f t="shared" si="50"/>
        <v>0</v>
      </c>
      <c r="K648" s="67"/>
      <c r="L648" s="69"/>
      <c r="M648" s="8"/>
    </row>
    <row r="649" spans="1:13" s="3" customFormat="1" ht="12.2" customHeight="1" x14ac:dyDescent="0.15">
      <c r="A649" s="21"/>
      <c r="B649" s="22"/>
      <c r="C649" s="22"/>
      <c r="D649" s="22"/>
      <c r="E649" s="22"/>
      <c r="F649" s="86" t="s">
        <v>52</v>
      </c>
      <c r="G649" s="80">
        <f>K606</f>
        <v>160990.79999999999</v>
      </c>
      <c r="H649" s="80">
        <f>(J258+J339)-(J256+J337)</f>
        <v>160990.80000000002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518949.06000000006</v>
      </c>
      <c r="H650" s="80">
        <f>H599</f>
        <v>518949.06</v>
      </c>
      <c r="I650" s="87" t="s">
        <v>388</v>
      </c>
      <c r="J650" s="80">
        <f t="shared" si="50"/>
        <v>0</v>
      </c>
      <c r="K650" s="67"/>
      <c r="L650" s="69"/>
      <c r="M650" s="8"/>
    </row>
    <row r="651" spans="1:13" s="3" customFormat="1" ht="12.2" customHeight="1" x14ac:dyDescent="0.15">
      <c r="A651" s="21"/>
      <c r="B651" s="22"/>
      <c r="C651" s="22"/>
      <c r="D651" s="22"/>
      <c r="E651" s="22"/>
      <c r="F651" s="86" t="s">
        <v>392</v>
      </c>
      <c r="G651" s="80">
        <f>L227</f>
        <v>359984.25</v>
      </c>
      <c r="H651" s="80">
        <f>I599</f>
        <v>359984.25</v>
      </c>
      <c r="I651" s="87" t="s">
        <v>389</v>
      </c>
      <c r="J651" s="80">
        <f t="shared" si="50"/>
        <v>0</v>
      </c>
      <c r="K651" s="67"/>
      <c r="L651" s="69"/>
      <c r="M651" s="8"/>
    </row>
    <row r="652" spans="1:13" s="3" customFormat="1" ht="12.2" customHeight="1" x14ac:dyDescent="0.15">
      <c r="A652" s="21"/>
      <c r="B652" s="22"/>
      <c r="C652" s="22"/>
      <c r="D652" s="22"/>
      <c r="E652" s="22"/>
      <c r="F652" s="86" t="s">
        <v>393</v>
      </c>
      <c r="G652" s="80">
        <f>L245</f>
        <v>390651.64999999997</v>
      </c>
      <c r="H652" s="80">
        <f>J599</f>
        <v>390651.64999999997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150000</v>
      </c>
      <c r="H656" s="80">
        <f>K267+K348</f>
        <v>150000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9674089.6316666659</v>
      </c>
      <c r="G661" s="13">
        <f>(L230+L310+L360)</f>
        <v>7995906.2716666665</v>
      </c>
      <c r="H661" s="13">
        <f>(L248+L329+L361)</f>
        <v>9587437.9866666663</v>
      </c>
      <c r="I661" s="13">
        <f>SUM(F661:H661)</f>
        <v>27257433.890000001</v>
      </c>
      <c r="J661" s="13"/>
      <c r="K661" s="13"/>
      <c r="L661" s="13"/>
      <c r="M661" s="9"/>
    </row>
    <row r="662" spans="1:13" s="3" customFormat="1" ht="12.2" customHeight="1" x14ac:dyDescent="0.2">
      <c r="A662" s="1" t="s">
        <v>127</v>
      </c>
      <c r="F662" s="13">
        <f>(L359/IF(SUM(L359:L361)=0,1,SUM(L359:L361))*(SUM(G97:G110)))</f>
        <v>118954.565</v>
      </c>
      <c r="G662" s="13">
        <f>(L360/IF(SUM(L359:L361)=0,1,SUM(L359:L361))*(SUM(G97:G110)))</f>
        <v>118954.565</v>
      </c>
      <c r="H662" s="13">
        <f>(L361/IF(SUM(L359:L361)=0,1,SUM(L359:L361))*(SUM(G97:G110)))</f>
        <v>0</v>
      </c>
      <c r="I662" s="13">
        <f>SUM(F662:H662)</f>
        <v>237909.13</v>
      </c>
      <c r="J662"/>
      <c r="K662" s="13"/>
      <c r="L662" s="13"/>
      <c r="M662" s="8"/>
    </row>
    <row r="663" spans="1:13" s="3" customFormat="1" ht="12.2" customHeight="1" x14ac:dyDescent="0.2">
      <c r="A663" s="1" t="s">
        <v>128</v>
      </c>
      <c r="F663" s="13">
        <f>(L209+L288)-(J209+J288)</f>
        <v>523501.06000000006</v>
      </c>
      <c r="G663" s="13">
        <f>(L227+L307)-(J227+J307)</f>
        <v>359984.25</v>
      </c>
      <c r="H663" s="13">
        <f>(L245+L326)-(J245+J326)</f>
        <v>390651.64999999997</v>
      </c>
      <c r="I663" s="13">
        <f>SUM(F663:H663)</f>
        <v>1274136.96</v>
      </c>
      <c r="J663"/>
      <c r="K663" s="13"/>
      <c r="L663" s="13"/>
      <c r="M663" s="9"/>
    </row>
    <row r="664" spans="1:13" s="3" customFormat="1" ht="12.2" customHeight="1" x14ac:dyDescent="0.15">
      <c r="A664" s="142" t="s">
        <v>129</v>
      </c>
      <c r="B664" s="124"/>
      <c r="C664" s="124"/>
      <c r="D664" s="124"/>
      <c r="E664" s="124"/>
      <c r="F664" s="143">
        <f>SUM(F576:F588)+SUM(H603:H605)+SUM(L612)</f>
        <v>78288.799999999988</v>
      </c>
      <c r="G664" s="143">
        <f>SUM(G576:G588)+SUM(I603:I605)+L613</f>
        <v>179622.03999999998</v>
      </c>
      <c r="H664" s="143">
        <f>SUM(H576:H588)+SUM(J603:J605)+L614</f>
        <v>8871533.4799999986</v>
      </c>
      <c r="I664" s="13">
        <f>SUM(F664:H664)</f>
        <v>9129444.3199999984</v>
      </c>
      <c r="J664" s="13"/>
      <c r="K664" s="13"/>
      <c r="L664" s="13"/>
      <c r="M664" s="9"/>
    </row>
    <row r="665" spans="1:13" s="3" customFormat="1" ht="12.2" customHeight="1" x14ac:dyDescent="0.15">
      <c r="A665" s="1" t="s">
        <v>130</v>
      </c>
      <c r="F665" s="13">
        <f>F661-SUM(F662:F664)</f>
        <v>8953345.2066666652</v>
      </c>
      <c r="G665" s="13">
        <f>G661-SUM(G662:G664)</f>
        <v>7337345.416666666</v>
      </c>
      <c r="H665" s="13">
        <f>H661-SUM(H662:H664)</f>
        <v>325252.85666666739</v>
      </c>
      <c r="I665" s="13">
        <f>I661-SUM(I662:I664)</f>
        <v>16615943.480000002</v>
      </c>
      <c r="J665" s="13"/>
      <c r="K665" s="13"/>
      <c r="L665" s="13"/>
      <c r="M665" s="8"/>
    </row>
    <row r="666" spans="1:13" s="3" customFormat="1" ht="12.2" customHeight="1" x14ac:dyDescent="0.2">
      <c r="A666" s="1" t="s">
        <v>131</v>
      </c>
      <c r="F666" s="183">
        <v>536.71</v>
      </c>
      <c r="G666" s="184">
        <v>380.79</v>
      </c>
      <c r="H666" s="184"/>
      <c r="I666" s="13">
        <f>SUM(F666:H666)</f>
        <v>917.5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16681.900000000001</v>
      </c>
      <c r="G668" s="13">
        <f>ROUND(G665/G666,2)</f>
        <v>19268.75</v>
      </c>
      <c r="H668" s="13" t="e">
        <f>ROUND(H665/H666,2)</f>
        <v>#DIV/0!</v>
      </c>
      <c r="I668" s="13">
        <f>ROUND(I665/I666,2)</f>
        <v>18110.02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-325252.85666666739</v>
      </c>
      <c r="I670" s="13">
        <f>SUM(F670:H670)</f>
        <v>-325252.85666666739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16681.900000000001</v>
      </c>
      <c r="G673" s="13">
        <f>ROUND((G665+G670)/(G666+G671),2)</f>
        <v>19268.75</v>
      </c>
      <c r="H673" s="13" t="e">
        <f>ROUND((H665+H670)/(H666+H671),2)</f>
        <v>#DIV/0!</v>
      </c>
      <c r="I673" s="13">
        <f>ROUND((I665+I670)/(I666+I671),2)</f>
        <v>17755.52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1640625" defaultRowHeight="15" x14ac:dyDescent="0.25"/>
  <cols>
    <col min="1" max="2" width="9.1640625" style="259"/>
    <col min="3" max="3" width="154.5" style="259" customWidth="1"/>
    <col min="4" max="4" width="9.1640625" style="259"/>
    <col min="5" max="5" width="14.1640625" style="259" customWidth="1"/>
    <col min="6" max="6" width="13.1640625" style="259" customWidth="1"/>
    <col min="7" max="7" width="9.1640625" style="259"/>
    <col min="8" max="8" width="23.1640625" style="259" customWidth="1"/>
    <col min="9" max="9" width="14.1640625" style="259" customWidth="1"/>
    <col min="10" max="16384" width="9.16406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92602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16628+11325+40399</f>
        <v>68352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20132+4118</f>
        <v>24250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9" orientation="portrait"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Barrington</v>
      </c>
      <c r="C5" s="317"/>
      <c r="D5" s="317"/>
      <c r="E5" s="317"/>
      <c r="F5" s="317"/>
    </row>
    <row r="8" spans="1:9" ht="18" x14ac:dyDescent="0.25">
      <c r="A8" s="240" t="s">
        <v>1560</v>
      </c>
      <c r="F8" s="247" t="s">
        <v>1578</v>
      </c>
    </row>
    <row r="9" spans="1:9" ht="15" x14ac:dyDescent="0.2">
      <c r="A9" s="238" t="s">
        <v>1561</v>
      </c>
      <c r="B9" s="241">
        <f>'DOE25'!G97</f>
        <v>237909.13</v>
      </c>
      <c r="F9" s="238" t="s">
        <v>1574</v>
      </c>
    </row>
    <row r="10" spans="1:9" ht="15" x14ac:dyDescent="0.2">
      <c r="A10" s="238" t="s">
        <v>1562</v>
      </c>
      <c r="B10" s="241">
        <f>'DOE25'!G112-'DOE25'!G97</f>
        <v>0</v>
      </c>
      <c r="F10" s="238" t="s">
        <v>1575</v>
      </c>
    </row>
    <row r="11" spans="1:9" ht="15" x14ac:dyDescent="0.2">
      <c r="A11" s="238" t="s">
        <v>1563</v>
      </c>
      <c r="B11" s="241">
        <f>'DOE25'!G140</f>
        <v>5855.71</v>
      </c>
      <c r="F11" s="238" t="s">
        <v>1576</v>
      </c>
    </row>
    <row r="12" spans="1:9" ht="15" x14ac:dyDescent="0.2">
      <c r="A12" s="238" t="s">
        <v>1564</v>
      </c>
      <c r="B12" s="241">
        <f>'DOE25'!G170</f>
        <v>145022.07</v>
      </c>
      <c r="F12" s="238" t="s">
        <v>1577</v>
      </c>
    </row>
    <row r="13" spans="1:9" ht="15" x14ac:dyDescent="0.2">
      <c r="A13" s="238" t="s">
        <v>1565</v>
      </c>
      <c r="B13" s="241">
        <f>'DOE25'!G193-'DOE25'!G180</f>
        <v>0</v>
      </c>
      <c r="F13" s="238" t="s">
        <v>1587</v>
      </c>
    </row>
    <row r="14" spans="1:9" ht="18" x14ac:dyDescent="0.25">
      <c r="A14" s="240" t="s">
        <v>732</v>
      </c>
      <c r="B14" s="242">
        <f>SUM(B9:B13)</f>
        <v>388786.91000000003</v>
      </c>
    </row>
    <row r="16" spans="1:9" ht="18" x14ac:dyDescent="0.25">
      <c r="A16" s="240" t="s">
        <v>786</v>
      </c>
      <c r="F16" s="247" t="s">
        <v>1579</v>
      </c>
    </row>
    <row r="17" spans="1:6" ht="15" x14ac:dyDescent="0.2">
      <c r="A17" s="238" t="s">
        <v>1566</v>
      </c>
      <c r="B17" s="241">
        <f>'DOE25'!L363-'DOE25'!L362</f>
        <v>416644.26999999996</v>
      </c>
      <c r="F17" s="238" t="s">
        <v>1580</v>
      </c>
    </row>
    <row r="18" spans="1:6" ht="15" x14ac:dyDescent="0.2">
      <c r="A18" s="238" t="s">
        <v>1567</v>
      </c>
      <c r="B18" s="251">
        <v>0</v>
      </c>
      <c r="F18" s="247" t="s">
        <v>1604</v>
      </c>
    </row>
    <row r="19" spans="1:6" ht="18" x14ac:dyDescent="0.25">
      <c r="A19" s="240" t="s">
        <v>725</v>
      </c>
      <c r="B19" s="242">
        <f>SUM(B17:B18)</f>
        <v>416644.26999999996</v>
      </c>
    </row>
    <row r="21" spans="1:6" ht="18.75" thickBot="1" x14ac:dyDescent="0.3">
      <c r="A21" s="240" t="s">
        <v>1568</v>
      </c>
    </row>
    <row r="22" spans="1:6" ht="18.75" thickTop="1" x14ac:dyDescent="0.25">
      <c r="A22" s="240" t="s">
        <v>1569</v>
      </c>
      <c r="B22" s="246">
        <f>B14-B19</f>
        <v>-27857.359999999928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225630.64</v>
      </c>
      <c r="F31" s="238" t="s">
        <v>1584</v>
      </c>
    </row>
    <row r="33" spans="1:6" ht="15" x14ac:dyDescent="0.2">
      <c r="A33" s="238" t="s">
        <v>1798</v>
      </c>
      <c r="B33" s="241">
        <f>'DOE25'!G477</f>
        <v>197773.28000000003</v>
      </c>
      <c r="F33" s="238" t="s">
        <v>1585</v>
      </c>
    </row>
    <row r="36" spans="1:6" ht="15" x14ac:dyDescent="0.2">
      <c r="A36" s="238" t="s">
        <v>1571</v>
      </c>
      <c r="B36" s="252">
        <v>39131.01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3" zoomScaleNormal="100" workbookViewId="0">
      <selection activeCell="C20" sqref="C20"/>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Barrington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4370050.0599999996</v>
      </c>
      <c r="C9" s="167">
        <f>'DOE25'!G198+'DOE25'!G216+'DOE25'!G234+'DOE25'!G277+'DOE25'!G296+'DOE25'!G315</f>
        <v>2297057.2599999998</v>
      </c>
    </row>
    <row r="10" spans="1:3" x14ac:dyDescent="0.2">
      <c r="A10" t="s">
        <v>775</v>
      </c>
      <c r="B10" s="177">
        <f>B9-149170.99-150901.98</f>
        <v>4069977.0899999994</v>
      </c>
      <c r="C10" s="177">
        <f>C9-42385.02-11544</f>
        <v>2243128.2399999998</v>
      </c>
    </row>
    <row r="11" spans="1:3" x14ac:dyDescent="0.2">
      <c r="A11" t="s">
        <v>776</v>
      </c>
      <c r="B11" s="177">
        <v>149170.99</v>
      </c>
      <c r="C11" s="177">
        <v>42385.02</v>
      </c>
    </row>
    <row r="12" spans="1:3" x14ac:dyDescent="0.2">
      <c r="A12" t="s">
        <v>777</v>
      </c>
      <c r="B12" s="177">
        <v>150901.98000000001</v>
      </c>
      <c r="C12" s="177">
        <v>11544</v>
      </c>
    </row>
    <row r="13" spans="1:3" x14ac:dyDescent="0.2">
      <c r="A13" t="str">
        <f>IF(B9=B13,IF(C9=C13,"Check Total OK","Check Total Error"),"Check Total Error")</f>
        <v>Check Total OK</v>
      </c>
      <c r="B13" s="169">
        <f>SUM(B10:B12)</f>
        <v>4370050.0599999996</v>
      </c>
      <c r="C13" s="169">
        <f>SUM(C10:C12)</f>
        <v>2297057.2599999998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1871864.6099999999</v>
      </c>
      <c r="C18" s="167">
        <f>'DOE25'!G199+'DOE25'!G217+'DOE25'!G235+'DOE25'!G278+'DOE25'!G297+'DOE25'!G316</f>
        <v>960097.90999999992</v>
      </c>
    </row>
    <row r="19" spans="1:3" x14ac:dyDescent="0.2">
      <c r="A19" t="s">
        <v>775</v>
      </c>
      <c r="B19" s="177">
        <f>1871864.61-822758.16</f>
        <v>1049106.4500000002</v>
      </c>
      <c r="C19" s="177">
        <f>960097.91-285884.77</f>
        <v>674213.14</v>
      </c>
    </row>
    <row r="20" spans="1:3" x14ac:dyDescent="0.2">
      <c r="A20" t="s">
        <v>776</v>
      </c>
      <c r="B20" s="177">
        <f>971929.15-149170.99</f>
        <v>822758.16</v>
      </c>
      <c r="C20" s="177">
        <f>62941+172943.77+50000</f>
        <v>285884.77</v>
      </c>
    </row>
    <row r="21" spans="1:3" x14ac:dyDescent="0.2">
      <c r="A21" t="s">
        <v>777</v>
      </c>
      <c r="B21" s="177"/>
      <c r="C21" s="177"/>
    </row>
    <row r="22" spans="1:3" x14ac:dyDescent="0.2">
      <c r="A22" t="str">
        <f>IF(B18=B22,IF(C18=C22,"Check Total OK","Check Total Error"),"Check Total Error")</f>
        <v>Check Total OK</v>
      </c>
      <c r="B22" s="169">
        <f>SUM(B19:B21)</f>
        <v>1871864.6100000003</v>
      </c>
      <c r="C22" s="169">
        <f>SUM(C19:C21)</f>
        <v>960097.91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49799</v>
      </c>
      <c r="C36" s="173">
        <f>'DOE25'!G201+'DOE25'!G219+'DOE25'!G237+'DOE25'!G280+'DOE25'!G299+'DOE25'!G318</f>
        <v>13665.29</v>
      </c>
    </row>
    <row r="37" spans="1:3" x14ac:dyDescent="0.2">
      <c r="A37" t="s">
        <v>775</v>
      </c>
      <c r="B37" s="177"/>
      <c r="C37" s="177"/>
    </row>
    <row r="38" spans="1:3" x14ac:dyDescent="0.2">
      <c r="A38" t="s">
        <v>776</v>
      </c>
      <c r="B38" s="177"/>
      <c r="C38" s="177"/>
    </row>
    <row r="39" spans="1:3" x14ac:dyDescent="0.2">
      <c r="A39" t="s">
        <v>777</v>
      </c>
      <c r="B39" s="177">
        <v>49799</v>
      </c>
      <c r="C39" s="177">
        <v>13665.29</v>
      </c>
    </row>
    <row r="40" spans="1:3" x14ac:dyDescent="0.2">
      <c r="A40" t="str">
        <f>IF(B36=B40,IF(C36=C40,"Check Total OK","Check Total Error"),"Check Total Error")</f>
        <v>Check Total OK</v>
      </c>
      <c r="B40" s="169">
        <f>SUM(B37:B39)</f>
        <v>49799</v>
      </c>
      <c r="C40" s="169">
        <f>SUM(C37:C39)</f>
        <v>13665.29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16" activePane="bottomLeft" state="frozen"/>
      <selection activeCell="F46" sqref="F46"/>
      <selection pane="bottomLeft" activeCell="F43" sqref="F43"/>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Barrington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18144101.939999998</v>
      </c>
      <c r="D5" s="19">
        <f>SUM('DOE25'!L198:L201)+SUM('DOE25'!L216:L219)+SUM('DOE25'!L234:L237)-F5-G5-H5</f>
        <v>18132524.999999996</v>
      </c>
      <c r="E5" s="180"/>
      <c r="F5" s="181"/>
      <c r="G5" s="19">
        <f>SUM('DOE25'!J198:J201)+SUM('DOE25'!J216:J219)+SUM('DOE25'!J234:J237)</f>
        <v>6339.69</v>
      </c>
      <c r="H5" s="19">
        <f>SUM('DOE25'!K198:K201)+SUM('DOE25'!K216:K219)+SUM('DOE25'!K234:K237)</f>
        <v>5237.25</v>
      </c>
      <c r="I5" s="192"/>
    </row>
    <row r="6" spans="1:9" x14ac:dyDescent="0.2">
      <c r="A6" s="31">
        <v>2100</v>
      </c>
      <c r="B6" t="s">
        <v>796</v>
      </c>
      <c r="C6" s="206">
        <f t="shared" si="0"/>
        <v>1911235.94</v>
      </c>
      <c r="D6" s="19">
        <f>'DOE25'!L203+'DOE25'!L221+'DOE25'!L239-F6-G6-H6</f>
        <v>1904771.39</v>
      </c>
      <c r="E6" s="180"/>
      <c r="F6" s="181"/>
      <c r="G6" s="19">
        <f>'DOE25'!J203+'DOE25'!J221+'DOE25'!J239</f>
        <v>300</v>
      </c>
      <c r="H6" s="19">
        <f>'DOE25'!K203+'DOE25'!K221+'DOE25'!K239</f>
        <v>6164.55</v>
      </c>
      <c r="I6" s="192"/>
    </row>
    <row r="7" spans="1:9" x14ac:dyDescent="0.2">
      <c r="A7" s="31">
        <v>2200</v>
      </c>
      <c r="B7" t="s">
        <v>820</v>
      </c>
      <c r="C7" s="206">
        <f t="shared" si="0"/>
        <v>942482.80999999994</v>
      </c>
      <c r="D7" s="19">
        <f>'DOE25'!L204+'DOE25'!L222+'DOE25'!L240-F7-G7-H7</f>
        <v>790241.19999999984</v>
      </c>
      <c r="E7" s="180"/>
      <c r="F7" s="181"/>
      <c r="G7" s="19">
        <f>'DOE25'!J204+'DOE25'!J222+'DOE25'!J240</f>
        <v>92661.43</v>
      </c>
      <c r="H7" s="19">
        <f>'DOE25'!K204+'DOE25'!K222+'DOE25'!K240</f>
        <v>59580.18</v>
      </c>
      <c r="I7" s="192"/>
    </row>
    <row r="8" spans="1:9" x14ac:dyDescent="0.2">
      <c r="A8" s="31">
        <v>2300</v>
      </c>
      <c r="B8" t="s">
        <v>797</v>
      </c>
      <c r="C8" s="206">
        <f t="shared" si="0"/>
        <v>743387.25000000023</v>
      </c>
      <c r="D8" s="180"/>
      <c r="E8" s="19">
        <f>'DOE25'!L205+'DOE25'!L223+'DOE25'!L241-F8-G8-H8-D9-D11</f>
        <v>722641.4700000002</v>
      </c>
      <c r="F8" s="181"/>
      <c r="G8" s="19">
        <f>'DOE25'!J205+'DOE25'!J223+'DOE25'!J241</f>
        <v>2396.65</v>
      </c>
      <c r="H8" s="19">
        <f>'DOE25'!K205+'DOE25'!K223+'DOE25'!K241</f>
        <v>18349.13</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992560.17000000016</v>
      </c>
      <c r="D12" s="19">
        <f>'DOE25'!L206+'DOE25'!L224+'DOE25'!L242-F12-G12-H12</f>
        <v>958921.7300000001</v>
      </c>
      <c r="E12" s="180"/>
      <c r="F12" s="181"/>
      <c r="G12" s="19">
        <f>'DOE25'!J206+'DOE25'!J224+'DOE25'!J242</f>
        <v>29416.65</v>
      </c>
      <c r="H12" s="19">
        <f>'DOE25'!K206+'DOE25'!K224+'DOE25'!K242</f>
        <v>4221.79</v>
      </c>
      <c r="I12" s="192"/>
    </row>
    <row r="13" spans="1:9" x14ac:dyDescent="0.2">
      <c r="A13" s="31">
        <v>2500</v>
      </c>
      <c r="B13" t="s">
        <v>798</v>
      </c>
      <c r="C13" s="206">
        <f t="shared" si="0"/>
        <v>234767.96000000002</v>
      </c>
      <c r="D13" s="180"/>
      <c r="E13" s="19">
        <f>'DOE25'!L207+'DOE25'!L225+'DOE25'!L243-F13-G13-H13</f>
        <v>234767.96000000002</v>
      </c>
      <c r="F13" s="181"/>
      <c r="G13" s="19">
        <f>'DOE25'!J207+'DOE25'!J225+'DOE25'!J243</f>
        <v>0</v>
      </c>
      <c r="H13" s="19">
        <f>'DOE25'!K207+'DOE25'!K225+'DOE25'!K243</f>
        <v>0</v>
      </c>
      <c r="I13" s="192"/>
    </row>
    <row r="14" spans="1:9" x14ac:dyDescent="0.2">
      <c r="A14" s="31">
        <v>2600</v>
      </c>
      <c r="B14" t="s">
        <v>818</v>
      </c>
      <c r="C14" s="206">
        <f t="shared" si="0"/>
        <v>1704155.59</v>
      </c>
      <c r="D14" s="19">
        <f>'DOE25'!L208+'DOE25'!L226+'DOE25'!L244-F14-G14-H14</f>
        <v>1679058.2100000002</v>
      </c>
      <c r="E14" s="180"/>
      <c r="F14" s="181"/>
      <c r="G14" s="19">
        <f>'DOE25'!J208+'DOE25'!J226+'DOE25'!J244</f>
        <v>25097.38</v>
      </c>
      <c r="H14" s="19">
        <f>'DOE25'!K208+'DOE25'!K226+'DOE25'!K244</f>
        <v>0</v>
      </c>
      <c r="I14" s="192"/>
    </row>
    <row r="15" spans="1:9" x14ac:dyDescent="0.2">
      <c r="A15" s="31">
        <v>2700</v>
      </c>
      <c r="B15" t="s">
        <v>799</v>
      </c>
      <c r="C15" s="206">
        <f t="shared" si="0"/>
        <v>1269584.96</v>
      </c>
      <c r="D15" s="19">
        <f>'DOE25'!L209+'DOE25'!L227+'DOE25'!L245-F15-G15-H15</f>
        <v>1269584.96</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178530.52000000002</v>
      </c>
      <c r="D22" s="180"/>
      <c r="E22" s="180"/>
      <c r="F22" s="180"/>
      <c r="G22" s="19">
        <f>'DOE25'!L256+'DOE25'!L337</f>
        <v>178530.52000000002</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727395</v>
      </c>
      <c r="D25" s="180"/>
      <c r="E25" s="180"/>
      <c r="F25" s="191"/>
      <c r="G25" s="180"/>
      <c r="H25" s="180"/>
      <c r="I25" s="190">
        <f>'DOE25'!L261+'DOE25'!L262+'DOE25'!L342+'DOE25'!L343</f>
        <v>727395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416644.26999999996</v>
      </c>
      <c r="D29" s="212">
        <f>'DOE25'!L359+'DOE25'!L360+'DOE25'!L361-'DOE25'!I368-F29-G29-H29-F39</f>
        <v>400780.74</v>
      </c>
      <c r="E29" s="180"/>
      <c r="F29" s="180"/>
      <c r="G29" s="19">
        <f>'DOE25'!J359+'DOE25'!J360+'DOE25'!J361</f>
        <v>15716.41</v>
      </c>
      <c r="H29" s="19">
        <f>'DOE25'!K359+'DOE25'!K360+'DOE25'!K361</f>
        <v>147.12</v>
      </c>
      <c r="I29" s="192"/>
    </row>
    <row r="30" spans="1:9" x14ac:dyDescent="0.2">
      <c r="A30" s="31"/>
      <c r="C30" s="207"/>
      <c r="D30" s="19"/>
      <c r="F30" s="201"/>
      <c r="G30" s="19"/>
      <c r="H30" s="19"/>
      <c r="I30" s="192"/>
    </row>
    <row r="31" spans="1:9" x14ac:dyDescent="0.2">
      <c r="A31" s="31" t="s">
        <v>817</v>
      </c>
      <c r="B31" t="s">
        <v>816</v>
      </c>
      <c r="C31" s="206">
        <f>SUM(D31:I31)</f>
        <v>898513</v>
      </c>
      <c r="D31" s="19">
        <f>'DOE25'!L291+'DOE25'!L310+'DOE25'!L329+'DOE25'!L334+'DOE25'!L335+'DOE25'!L336-F31-G31-H31</f>
        <v>893734</v>
      </c>
      <c r="E31" s="180"/>
      <c r="F31" s="181"/>
      <c r="G31" s="19">
        <f>'DOE25'!J291+'DOE25'!J310+'DOE25'!J329+'DOE25'!J334+'DOE25'!J335+'DOE25'!J336</f>
        <v>4779</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26029617.229999997</v>
      </c>
      <c r="E33" s="182">
        <f t="shared" si="1"/>
        <v>957409.43000000017</v>
      </c>
      <c r="F33" s="182">
        <f t="shared" si="1"/>
        <v>0</v>
      </c>
      <c r="G33" s="182">
        <f t="shared" si="1"/>
        <v>355237.73</v>
      </c>
      <c r="H33" s="182">
        <f t="shared" si="1"/>
        <v>93700.01999999999</v>
      </c>
      <c r="I33" s="182">
        <f t="shared" si="1"/>
        <v>727395</v>
      </c>
    </row>
    <row r="34" spans="1:9" ht="12" thickBot="1" x14ac:dyDescent="0.25"/>
    <row r="35" spans="1:9" ht="12" thickBot="1" x14ac:dyDescent="0.25">
      <c r="B35" s="188" t="s">
        <v>830</v>
      </c>
      <c r="D35" s="189">
        <f>E33</f>
        <v>957409.43000000017</v>
      </c>
      <c r="E35" s="185"/>
      <c r="F35" s="295" t="s">
        <v>1608</v>
      </c>
      <c r="G35" s="296"/>
      <c r="H35" s="296"/>
      <c r="I35" s="297"/>
    </row>
    <row r="36" spans="1:9" ht="12" thickTop="1" x14ac:dyDescent="0.2">
      <c r="B36" t="s">
        <v>810</v>
      </c>
      <c r="D36" s="19">
        <f>D33</f>
        <v>26029617.229999997</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0</v>
      </c>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D8" sqref="D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24.1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Barrington</v>
      </c>
      <c r="B2">
        <f>'DOE25'!B2</f>
        <v>33</v>
      </c>
      <c r="J2" s="224" t="s">
        <v>1808</v>
      </c>
      <c r="K2" s="309">
        <f>SUM('DOE25'!L198:L201)+SUM('DOE25'!L216:L219)+SUM('DOE25'!L234:L237)+SUM('DOE25'!L277:L280)+SUM('DOE25'!L296:L299)+SUM('DOE25'!L315:L318)</f>
        <v>18971553.939999998</v>
      </c>
      <c r="L2" s="309">
        <f>'DOE25'!L203+'DOE25'!L221+'DOE25'!L239+'DOE25'!L282+'DOE25'!L301+'DOE25'!L320</f>
        <v>1911235.94</v>
      </c>
      <c r="M2" s="309">
        <f>'DOE25'!L204+'DOE25'!L222+'DOE25'!L240+'DOE25'!L283+'DOE25'!L302+'DOE25'!L321</f>
        <v>998826.80999999994</v>
      </c>
      <c r="N2" s="309">
        <f>'DOE25'!L206+'DOE25'!L224+'DOE25'!L242+'DOE25'!L285+'DOE25'!L304+'DOE25'!L323</f>
        <v>992560.17000000016</v>
      </c>
      <c r="O2" s="309">
        <f>'Salaries-Benefits'!B10+'Salaries-Benefits'!B12+'Salaries-Benefits'!B19+'Salaries-Benefits'!B21+'Salaries-Benefits'!B28+'Salaries-Benefits'!B30+'Salaries-Benefits'!B37+'Salaries-Benefits'!B39</f>
        <v>5319784.5199999996</v>
      </c>
      <c r="P2" s="309">
        <f>'Salaries-Benefits'!B11+'Salaries-Benefits'!B20+'Salaries-Benefits'!B29+'Salaries-Benefits'!B38</f>
        <v>971929.15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-5319784.5199999996</v>
      </c>
      <c r="P3" s="311">
        <f t="shared" si="0"/>
        <v>-971929.15</v>
      </c>
      <c r="Q3" s="310"/>
      <c r="R3" s="306"/>
      <c r="S3" s="215"/>
      <c r="T3" s="215"/>
      <c r="U3" s="216"/>
    </row>
    <row r="4" spans="1:21" ht="55.5" customHeight="1" thickBot="1" x14ac:dyDescent="0.25">
      <c r="A4" s="224" t="s">
        <v>1522</v>
      </c>
      <c r="B4" s="224" t="s">
        <v>1523</v>
      </c>
      <c r="C4" s="224" t="s">
        <v>896</v>
      </c>
      <c r="D4" s="224" t="s">
        <v>786</v>
      </c>
      <c r="E4" s="224" t="s">
        <v>786</v>
      </c>
      <c r="F4" s="228">
        <f>SUM(F5:F20)</f>
        <v>9465767.5</v>
      </c>
      <c r="G4" s="229">
        <f>'DOE25'!L212+'DOE25'!L291</f>
        <v>9465767.4966666661</v>
      </c>
      <c r="H4" s="264">
        <f>F4-G4</f>
        <v>3.3333338797092438E-3</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v>0</v>
      </c>
      <c r="F5" s="232">
        <f>D5+E5</f>
        <v>0</v>
      </c>
      <c r="G5" s="223"/>
      <c r="H5" s="223"/>
      <c r="J5" s="223"/>
      <c r="K5" s="223"/>
      <c r="L5" s="223"/>
      <c r="M5" s="223"/>
      <c r="N5" s="223"/>
      <c r="O5" s="223"/>
      <c r="P5" s="223"/>
      <c r="Q5" s="223"/>
    </row>
    <row r="6" spans="1:21" x14ac:dyDescent="0.2">
      <c r="A6" t="str" cm="1">
        <f t="array" ref="A6">IFERROR(INDEX('School Tables'!$A$4:$G$325,'School Tables'!$J4,3),"")</f>
        <v>Barrington Elementary School</v>
      </c>
      <c r="B6" s="230">
        <f>IFERROR(VLOOKUP(A6,'School Tables'!$C$3:$D$365,2,FALSE),"")</f>
        <v>22045</v>
      </c>
      <c r="C6" s="223" t="str">
        <f>IFERROR(INDEX('School Tables'!$B$3:$B$365,MATCH('School Level Expenditures'!B6,'School Tables'!$D$3:$D$365,0)),"")</f>
        <v>Barrington</v>
      </c>
      <c r="D6" s="220">
        <v>7083899.7000000002</v>
      </c>
      <c r="E6" s="220">
        <f>456615</f>
        <v>456615</v>
      </c>
      <c r="F6" s="232">
        <f t="shared" ref="F6:F20" si="1">D6+E6</f>
        <v>7540514.7000000002</v>
      </c>
      <c r="G6" s="223"/>
      <c r="H6" s="223"/>
      <c r="J6" t="str">
        <f>A6</f>
        <v>Barrington Elementary School</v>
      </c>
      <c r="K6" s="20">
        <v>4382565.96</v>
      </c>
      <c r="L6" s="20">
        <f>1022999.09-87569.64</f>
        <v>935429.45</v>
      </c>
      <c r="M6" s="308">
        <f>470138.27+28172</f>
        <v>498310.27</v>
      </c>
      <c r="N6" s="20">
        <f>580581.93-219717.82</f>
        <v>360864.11000000004</v>
      </c>
      <c r="O6" s="20">
        <v>0</v>
      </c>
      <c r="P6" s="20">
        <v>0</v>
      </c>
      <c r="Q6" s="20">
        <f>9717.85+2389.5-2021.64</f>
        <v>10085.710000000001</v>
      </c>
    </row>
    <row r="7" spans="1:21" x14ac:dyDescent="0.2">
      <c r="A7" t="str" cm="1">
        <f t="array" ref="A7">IFERROR(INDEX('School Tables'!$A$4:$G$325,'School Tables'!$J5,3),"")</f>
        <v>Early Childhood Learning Center</v>
      </c>
      <c r="B7" s="230">
        <f>IFERROR(VLOOKUP(A7,'School Tables'!$C$3:$D$365,2,FALSE),"")</f>
        <v>29010</v>
      </c>
      <c r="C7" s="223" t="str">
        <f>IFERROR(INDEX('School Tables'!$B$3:$B$365,MATCH('School Level Expenditures'!B7,'School Tables'!$D$3:$D$365,0)),"")</f>
        <v>Barrington</v>
      </c>
      <c r="D7" s="220">
        <f>1925252.8-367124</f>
        <v>1558128.8</v>
      </c>
      <c r="E7" s="220">
        <f>183562+183562</f>
        <v>367124</v>
      </c>
      <c r="F7" s="232">
        <f t="shared" si="1"/>
        <v>1925252.8</v>
      </c>
      <c r="G7" s="223"/>
      <c r="H7" s="223"/>
      <c r="J7" t="str">
        <f t="shared" ref="J7:J20" si="2">A7</f>
        <v>Early Childhood Learning Center</v>
      </c>
      <c r="K7" s="20">
        <f>813573.5+471610.54</f>
        <v>1285184.04</v>
      </c>
      <c r="L7" s="20">
        <f>87569.64</f>
        <v>87569.64</v>
      </c>
      <c r="M7" s="308">
        <v>0</v>
      </c>
      <c r="N7" s="20">
        <v>219717.82</v>
      </c>
      <c r="O7" s="20">
        <v>0</v>
      </c>
      <c r="P7" s="20">
        <v>0</v>
      </c>
      <c r="Q7" s="20">
        <v>2021.64</v>
      </c>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t="s">
        <v>286</v>
      </c>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t="s">
        <v>286</v>
      </c>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t="s">
        <v>286</v>
      </c>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t="s">
        <v>286</v>
      </c>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t="s">
        <v>286</v>
      </c>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8642028.5</v>
      </c>
      <c r="E21" s="262">
        <f>SUM(E5:E20)</f>
        <v>823739</v>
      </c>
      <c r="F21" s="217"/>
      <c r="G21" s="217"/>
      <c r="H21" s="217"/>
      <c r="K21" s="263">
        <f t="shared" ref="K21:Q21" si="3">SUM(K5:K20)</f>
        <v>5667750</v>
      </c>
      <c r="L21" s="263">
        <f t="shared" si="3"/>
        <v>1022999.09</v>
      </c>
      <c r="M21" s="263">
        <f t="shared" si="3"/>
        <v>498310.27</v>
      </c>
      <c r="N21" s="263">
        <f t="shared" si="3"/>
        <v>580581.93000000005</v>
      </c>
      <c r="O21" s="263">
        <f t="shared" si="3"/>
        <v>0</v>
      </c>
      <c r="P21" s="263">
        <f t="shared" si="3"/>
        <v>0</v>
      </c>
      <c r="Q21" s="263">
        <f t="shared" si="3"/>
        <v>12107.35</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7787584.1399999997</v>
      </c>
      <c r="G24" s="229">
        <f>'DOE25'!L230+'DOE25'!L310</f>
        <v>7787584.1366666667</v>
      </c>
      <c r="H24" s="264">
        <f>F24-G24</f>
        <v>3.3333329483866692E-3</v>
      </c>
      <c r="I24" s="313" t="str">
        <f>IF(H24=0,"","ISSUES!! Please review pages 8 and 12 totals in comparison with total on this page")</f>
        <v>ISSUES!! Please review pages 8 and 12 totals in comparison with total on this page</v>
      </c>
      <c r="J24" s="224" t="s">
        <v>1536</v>
      </c>
      <c r="K24" s="224"/>
      <c r="L24" s="224"/>
      <c r="M24" s="224" t="str">
        <f>IF(H24=0,"","ISSUES!! Please review page 8 and 12 totals in comparison with total on this page")</f>
        <v>ISSUES!! Please review page 8 and 12 totals in comparison with total on this page</v>
      </c>
      <c r="N24" s="224"/>
      <c r="O24" s="224"/>
      <c r="P24" s="224"/>
      <c r="Q24" s="224"/>
    </row>
    <row r="25" spans="1:17" x14ac:dyDescent="0.2">
      <c r="A25" t="s">
        <v>1540</v>
      </c>
      <c r="B25" s="230">
        <v>99999</v>
      </c>
      <c r="C25" s="223" t="s">
        <v>1540</v>
      </c>
      <c r="D25" s="220"/>
      <c r="E25" s="220">
        <v>0</v>
      </c>
      <c r="F25" s="232">
        <f>D25+E25</f>
        <v>0</v>
      </c>
      <c r="G25" s="223"/>
      <c r="H25" s="223"/>
      <c r="J25" s="223"/>
      <c r="K25" s="223"/>
      <c r="L25" s="224"/>
      <c r="M25" s="223"/>
      <c r="N25" s="223"/>
      <c r="O25" s="223"/>
      <c r="P25" s="223"/>
      <c r="Q25" s="223"/>
    </row>
    <row r="26" spans="1:17" x14ac:dyDescent="0.2">
      <c r="A26" t="str" cm="1">
        <f t="array" ref="A26">IFERROR(INDEX('School Tables'!$L$4:$R$75,'School Tables'!$U4,3),"")</f>
        <v>Barrington Middle School</v>
      </c>
      <c r="B26" s="230">
        <f>IFERROR(VLOOKUP(A26,'School Tables'!$N$4:$O$75,2,FALSE),"")</f>
        <v>22030</v>
      </c>
      <c r="C26" s="223" t="str">
        <f>IFERROR(INDEX('School Tables'!$M$4:$M$75,MATCH('School Level Expenditures'!A26,'School Tables'!$N$4:$N$75,0)),"")</f>
        <v>Barrington</v>
      </c>
      <c r="D26" s="220">
        <v>7345686.1399999997</v>
      </c>
      <c r="E26" s="220">
        <v>441898</v>
      </c>
      <c r="F26" s="232">
        <f t="shared" ref="F26:F32" si="4">D26+E26</f>
        <v>7787584.1399999997</v>
      </c>
      <c r="G26" s="223"/>
      <c r="H26" s="223"/>
      <c r="J26" t="str">
        <f t="shared" ref="J26:J32" si="5">A26</f>
        <v>Barrington Middle School</v>
      </c>
      <c r="K26" s="20">
        <f>2918142.18+1022683.1+78518.06+230164+183562</f>
        <v>4433069.34</v>
      </c>
      <c r="L26" s="20">
        <f>888236.85</f>
        <v>888236.85</v>
      </c>
      <c r="M26" s="308">
        <f>472344.54+28172</f>
        <v>500516.54</v>
      </c>
      <c r="N26" s="20">
        <v>411978.23999999999</v>
      </c>
      <c r="O26" s="20">
        <v>0</v>
      </c>
      <c r="P26" s="20"/>
      <c r="Q26" s="20">
        <v>3882.56</v>
      </c>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7345686.1399999997</v>
      </c>
      <c r="E33" s="262">
        <f>SUM(E25:E32)</f>
        <v>441898</v>
      </c>
      <c r="F33" s="217"/>
      <c r="G33" s="217"/>
      <c r="H33" s="217"/>
      <c r="K33" s="263">
        <f t="shared" ref="K33:Q33" si="6">SUM(K25:K32)</f>
        <v>4433069.34</v>
      </c>
      <c r="L33" s="263">
        <f t="shared" si="6"/>
        <v>888236.85</v>
      </c>
      <c r="M33" s="263">
        <f t="shared" si="6"/>
        <v>500516.54</v>
      </c>
      <c r="N33" s="263">
        <f t="shared" si="6"/>
        <v>411978.23999999999</v>
      </c>
      <c r="O33" s="263">
        <f t="shared" si="6"/>
        <v>0</v>
      </c>
      <c r="P33" s="263">
        <f t="shared" si="6"/>
        <v>0</v>
      </c>
      <c r="Q33" s="263">
        <f t="shared" si="6"/>
        <v>3882.56</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9587437.9900000002</v>
      </c>
      <c r="G36" s="229">
        <f>'DOE25'!L248+'DOE25'!L329</f>
        <v>9587437.9866666663</v>
      </c>
      <c r="H36" s="264">
        <f>F36-G36</f>
        <v>3.3333338797092438E-3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v>9587437.9900000002</v>
      </c>
      <c r="E37" s="220">
        <v>0</v>
      </c>
      <c r="F37" s="232">
        <f t="shared" ref="F37:F42" si="7">D37+E37</f>
        <v>9587437.9900000002</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8159612.81+711121.79</f>
        <v>8870734.5999999996</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9587437.9900000002</v>
      </c>
      <c r="E43" s="263">
        <f>SUM(E37:E42)</f>
        <v>0</v>
      </c>
      <c r="K43" s="263">
        <f t="shared" ref="K43:Q43" si="9">SUM(K37:K42)</f>
        <v>8870734.5999999996</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J12" sqref="J1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Barrington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2397570.75</v>
      </c>
      <c r="D8" s="73">
        <f>'DOE25'!G9</f>
        <v>172817.02</v>
      </c>
      <c r="E8" s="73">
        <f>'DOE25'!H9</f>
        <v>0</v>
      </c>
      <c r="F8" s="73">
        <f>'DOE25'!I9</f>
        <v>0</v>
      </c>
      <c r="G8" s="73">
        <f>'DOE25'!J9</f>
        <v>1832187.35</v>
      </c>
      <c r="H8" s="13">
        <f>SUM(C8:G8)</f>
        <v>4402575.12</v>
      </c>
      <c r="I8" s="90"/>
    </row>
    <row r="9" spans="1:9" x14ac:dyDescent="0.2">
      <c r="A9" s="1" t="s">
        <v>140</v>
      </c>
      <c r="B9" s="6">
        <v>110</v>
      </c>
      <c r="C9" s="73" t="str">
        <f>'DOE25'!F10</f>
        <v xml:space="preserve"> </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103508</v>
      </c>
      <c r="D11" s="73">
        <f>'DOE25'!G12</f>
        <v>0</v>
      </c>
      <c r="E11" s="73">
        <f>'DOE25'!H12</f>
        <v>0</v>
      </c>
      <c r="F11" s="73">
        <f>'DOE25'!I12</f>
        <v>0</v>
      </c>
      <c r="G11" s="73">
        <f>'DOE25'!J12</f>
        <v>0</v>
      </c>
      <c r="H11" s="13">
        <f t="shared" si="0"/>
        <v>103508</v>
      </c>
      <c r="I11" s="90"/>
    </row>
    <row r="12" spans="1:9" x14ac:dyDescent="0.2">
      <c r="A12" s="1" t="s">
        <v>143</v>
      </c>
      <c r="B12" s="6">
        <v>140</v>
      </c>
      <c r="C12" s="73" t="str">
        <f>'DOE25'!F13</f>
        <v xml:space="preserve"> </v>
      </c>
      <c r="D12" s="73">
        <f>'DOE25'!G13</f>
        <v>24956.26</v>
      </c>
      <c r="E12" s="73">
        <f>'DOE25'!H13</f>
        <v>0</v>
      </c>
      <c r="F12" s="73">
        <f>'DOE25'!I13</f>
        <v>0</v>
      </c>
      <c r="G12" s="73">
        <f>'DOE25'!J13</f>
        <v>0</v>
      </c>
      <c r="H12" s="13">
        <f t="shared" si="0"/>
        <v>24956.26</v>
      </c>
      <c r="I12" s="90"/>
    </row>
    <row r="13" spans="1:9" x14ac:dyDescent="0.2">
      <c r="A13" s="1" t="s">
        <v>144</v>
      </c>
      <c r="B13" s="6">
        <v>150</v>
      </c>
      <c r="C13" s="73" t="str">
        <f>'DOE25'!F14</f>
        <v xml:space="preserve"> </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27621</v>
      </c>
      <c r="D16" s="73">
        <f>'DOE25'!G17</f>
        <v>0</v>
      </c>
      <c r="E16" s="73">
        <f>'DOE25'!H17</f>
        <v>0</v>
      </c>
      <c r="F16" s="73">
        <f>'DOE25'!I17</f>
        <v>0</v>
      </c>
      <c r="G16" s="73">
        <f>'DOE25'!J17</f>
        <v>0</v>
      </c>
      <c r="H16" s="13">
        <f t="shared" si="0"/>
        <v>27621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2528699.75</v>
      </c>
      <c r="D18" s="38">
        <f>SUM(D8:D17)</f>
        <v>197773.28</v>
      </c>
      <c r="E18" s="38">
        <f>SUM(E8:E17)</f>
        <v>0</v>
      </c>
      <c r="F18" s="38">
        <f>SUM(F8:F17)</f>
        <v>0</v>
      </c>
      <c r="G18" s="38">
        <f>SUM(G8:G17)</f>
        <v>1832187.35</v>
      </c>
      <c r="H18" s="38">
        <f t="shared" si="0"/>
        <v>4558660.38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556437</v>
      </c>
      <c r="D21" s="73">
        <f>'DOE25'!G22</f>
        <v>0</v>
      </c>
      <c r="E21" s="73">
        <f>'DOE25'!H22</f>
        <v>0</v>
      </c>
      <c r="F21" s="73">
        <f>'DOE25'!I22</f>
        <v>0</v>
      </c>
      <c r="G21" s="73">
        <f>'DOE25'!J22</f>
        <v>0</v>
      </c>
      <c r="H21" s="13">
        <f t="shared" ref="H21:H31" si="1">SUM(C21:G21)</f>
        <v>556437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183383</v>
      </c>
      <c r="D23" s="73">
        <f>'DOE25'!G24</f>
        <v>0</v>
      </c>
      <c r="E23" s="73">
        <f>'DOE25'!H24</f>
        <v>0</v>
      </c>
      <c r="F23" s="73">
        <f>'DOE25'!I24</f>
        <v>0</v>
      </c>
      <c r="G23" s="73">
        <f>'DOE25'!J24</f>
        <v>0</v>
      </c>
      <c r="H23" s="13">
        <f t="shared" si="1"/>
        <v>183383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331224</v>
      </c>
      <c r="D27" s="73">
        <f>'DOE25'!G28</f>
        <v>0</v>
      </c>
      <c r="E27" s="73">
        <f>'DOE25'!H28</f>
        <v>0</v>
      </c>
      <c r="F27" s="73">
        <f>'DOE25'!I28</f>
        <v>0</v>
      </c>
      <c r="G27" s="23" t="s">
        <v>288</v>
      </c>
      <c r="H27" s="13">
        <f t="shared" si="1"/>
        <v>331224</v>
      </c>
      <c r="I27" s="90"/>
    </row>
    <row r="28" spans="1:9" x14ac:dyDescent="0.2">
      <c r="A28" s="1" t="s">
        <v>157</v>
      </c>
      <c r="B28" s="6">
        <v>470</v>
      </c>
      <c r="C28" s="73">
        <f>'DOE25'!F29</f>
        <v>361645</v>
      </c>
      <c r="D28" s="73">
        <f>'DOE25'!G29</f>
        <v>0</v>
      </c>
      <c r="E28" s="73">
        <f>'DOE25'!H29</f>
        <v>0</v>
      </c>
      <c r="F28" s="73">
        <f>'DOE25'!I29</f>
        <v>0</v>
      </c>
      <c r="G28" s="23" t="s">
        <v>288</v>
      </c>
      <c r="H28" s="13">
        <f t="shared" si="1"/>
        <v>361645</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t="str">
        <f>'DOE25'!F31</f>
        <v xml:space="preserve"> </v>
      </c>
      <c r="D30" s="73">
        <f>'DOE25'!G31</f>
        <v>0</v>
      </c>
      <c r="E30" s="73">
        <f>'DOE25'!H31</f>
        <v>0</v>
      </c>
      <c r="F30" s="73">
        <f>'DOE25'!I31</f>
        <v>0</v>
      </c>
      <c r="G30" s="73">
        <f>'DOE25'!J31</f>
        <v>0</v>
      </c>
      <c r="H30" s="13">
        <f t="shared" si="1"/>
        <v>0</v>
      </c>
      <c r="I30" s="90"/>
    </row>
    <row r="31" spans="1:9" ht="12" thickTop="1" x14ac:dyDescent="0.2">
      <c r="A31" s="35" t="s">
        <v>160</v>
      </c>
      <c r="B31" s="2"/>
      <c r="C31" s="38">
        <f>SUM(C21:C30)</f>
        <v>1432689</v>
      </c>
      <c r="D31" s="38">
        <f>SUM(D21:D30)</f>
        <v>0</v>
      </c>
      <c r="E31" s="38">
        <f>SUM(E21:E30)</f>
        <v>0</v>
      </c>
      <c r="F31" s="38">
        <f>SUM(F21:F30)</f>
        <v>0</v>
      </c>
      <c r="G31" s="38">
        <f>SUM(G21:G30)</f>
        <v>0</v>
      </c>
      <c r="H31" s="38">
        <f t="shared" si="1"/>
        <v>1432689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27621</v>
      </c>
      <c r="D35" s="73">
        <f>'DOE25'!G36</f>
        <v>0</v>
      </c>
      <c r="E35" s="73">
        <f>'DOE25'!H36</f>
        <v>0</v>
      </c>
      <c r="F35" s="73">
        <f>'DOE25'!I36</f>
        <v>0</v>
      </c>
      <c r="G35" s="23" t="s">
        <v>288</v>
      </c>
      <c r="H35" s="13">
        <f t="shared" si="2"/>
        <v>27621</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197773.28</v>
      </c>
      <c r="E39" s="23" t="s">
        <v>288</v>
      </c>
      <c r="F39" s="23" t="s">
        <v>288</v>
      </c>
      <c r="G39" s="23" t="s">
        <v>288</v>
      </c>
      <c r="H39" s="13">
        <f t="shared" si="2"/>
        <v>197773.28</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200000</v>
      </c>
      <c r="D43" s="73">
        <f>'DOE25'!G44</f>
        <v>0</v>
      </c>
      <c r="E43" s="73">
        <f>'DOE25'!H44</f>
        <v>0</v>
      </c>
      <c r="F43" s="73">
        <f>'DOE25'!I44</f>
        <v>0</v>
      </c>
      <c r="G43" s="23" t="s">
        <v>288</v>
      </c>
      <c r="H43" s="13">
        <f t="shared" si="2"/>
        <v>200000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521277</v>
      </c>
      <c r="D45" s="23" t="s">
        <v>288</v>
      </c>
      <c r="E45" s="23" t="s">
        <v>288</v>
      </c>
      <c r="F45" s="23" t="s">
        <v>288</v>
      </c>
      <c r="G45" s="23" t="s">
        <v>288</v>
      </c>
      <c r="H45" s="13">
        <f t="shared" si="2"/>
        <v>521277</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t="str">
        <f>'DOE25'!F49</f>
        <v xml:space="preserve"> </v>
      </c>
      <c r="D48" s="73">
        <f>'DOE25'!G49</f>
        <v>0</v>
      </c>
      <c r="E48" s="73">
        <f>'DOE25'!H49</f>
        <v>0</v>
      </c>
      <c r="F48" s="73">
        <f>'DOE25'!I49</f>
        <v>0</v>
      </c>
      <c r="G48" s="73">
        <f>'DOE25'!J49</f>
        <v>1832187.35</v>
      </c>
      <c r="H48" s="13">
        <f t="shared" si="2"/>
        <v>1832187.35</v>
      </c>
      <c r="I48" s="90"/>
    </row>
    <row r="49" spans="1:9" ht="12" thickBot="1" x14ac:dyDescent="0.25">
      <c r="A49" s="28" t="s">
        <v>882</v>
      </c>
      <c r="B49" s="56">
        <v>770</v>
      </c>
      <c r="C49" s="73">
        <f>'DOE25'!F50</f>
        <v>347112.75</v>
      </c>
      <c r="D49" s="23" t="s">
        <v>288</v>
      </c>
      <c r="E49" s="23" t="s">
        <v>288</v>
      </c>
      <c r="F49" s="23" t="s">
        <v>288</v>
      </c>
      <c r="G49" s="23" t="s">
        <v>288</v>
      </c>
      <c r="H49" s="13">
        <f t="shared" si="2"/>
        <v>347112.75</v>
      </c>
      <c r="I49" s="90"/>
    </row>
    <row r="50" spans="1:9" ht="12.75" thickTop="1" thickBot="1" x14ac:dyDescent="0.25">
      <c r="A50" s="35" t="s">
        <v>883</v>
      </c>
      <c r="B50" s="44"/>
      <c r="C50" s="38">
        <f>SUM(C34:C49)</f>
        <v>1096010.75</v>
      </c>
      <c r="D50" s="38">
        <f>SUM(D34:D49)</f>
        <v>197773.28</v>
      </c>
      <c r="E50" s="38">
        <f>SUM(E34:E49)</f>
        <v>0</v>
      </c>
      <c r="F50" s="38">
        <f>SUM(F34:F49)</f>
        <v>0</v>
      </c>
      <c r="G50" s="38">
        <f>SUM(G34:G49)</f>
        <v>1832187.35</v>
      </c>
      <c r="H50" s="38">
        <f t="shared" si="2"/>
        <v>3125971.38</v>
      </c>
      <c r="I50" s="90"/>
    </row>
    <row r="51" spans="1:9" ht="12" thickTop="1" x14ac:dyDescent="0.2">
      <c r="A51" s="35" t="s">
        <v>884</v>
      </c>
      <c r="B51" s="2"/>
      <c r="C51" s="38">
        <f>C50+C31</f>
        <v>2528699.75</v>
      </c>
      <c r="D51" s="38">
        <f>D50+D31</f>
        <v>197773.28</v>
      </c>
      <c r="E51" s="38">
        <f>E50+E31</f>
        <v>0</v>
      </c>
      <c r="F51" s="38">
        <f>F50+F31</f>
        <v>0</v>
      </c>
      <c r="G51" s="38">
        <f>G50+G31</f>
        <v>1832187.35</v>
      </c>
      <c r="H51" s="38">
        <f t="shared" si="2"/>
        <v>4558660.38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19286302</v>
      </c>
      <c r="D56" s="73">
        <f>'DOE25'!G60</f>
        <v>0</v>
      </c>
      <c r="E56" s="73">
        <f>'DOE25'!H60</f>
        <v>0</v>
      </c>
      <c r="F56" s="73">
        <f>'DOE25'!I60</f>
        <v>0</v>
      </c>
      <c r="G56" s="73">
        <f>'DOE25'!J60</f>
        <v>0</v>
      </c>
      <c r="H56" s="13">
        <f t="shared" ref="H56:H63" si="3">SUM(C56:G56)</f>
        <v>19286302</v>
      </c>
      <c r="I56"/>
    </row>
    <row r="57" spans="1:9" x14ac:dyDescent="0.2">
      <c r="A57" s="1" t="s">
        <v>164</v>
      </c>
      <c r="B57" s="6" t="s">
        <v>165</v>
      </c>
      <c r="C57" s="73">
        <f>'DOE25'!F79</f>
        <v>90334</v>
      </c>
      <c r="D57" s="23" t="s">
        <v>288</v>
      </c>
      <c r="E57" s="73">
        <f>'DOE25'!H79</f>
        <v>0</v>
      </c>
      <c r="F57" s="23" t="s">
        <v>288</v>
      </c>
      <c r="G57" s="23" t="s">
        <v>288</v>
      </c>
      <c r="H57" s="13">
        <f t="shared" si="3"/>
        <v>90334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37529</v>
      </c>
      <c r="D59" s="73">
        <f>'DOE25'!G96</f>
        <v>0</v>
      </c>
      <c r="E59" s="73">
        <f>'DOE25'!H96</f>
        <v>0</v>
      </c>
      <c r="F59" s="73">
        <f>'DOE25'!I96</f>
        <v>0</v>
      </c>
      <c r="G59" s="73">
        <f>'DOE25'!J96</f>
        <v>37528.43</v>
      </c>
      <c r="H59" s="13">
        <f t="shared" si="3"/>
        <v>75057.429999999993</v>
      </c>
      <c r="I59"/>
    </row>
    <row r="60" spans="1:9" x14ac:dyDescent="0.2">
      <c r="A60" s="1" t="s">
        <v>170</v>
      </c>
      <c r="B60" s="22" t="s">
        <v>171</v>
      </c>
      <c r="C60" s="23" t="s">
        <v>288</v>
      </c>
      <c r="D60" s="73">
        <f>'DOE25'!G97</f>
        <v>237909.13</v>
      </c>
      <c r="E60" s="23" t="s">
        <v>288</v>
      </c>
      <c r="F60" s="23" t="s">
        <v>288</v>
      </c>
      <c r="G60" s="23" t="s">
        <v>288</v>
      </c>
      <c r="H60" s="13">
        <f t="shared" si="3"/>
        <v>237909.13</v>
      </c>
      <c r="I60"/>
    </row>
    <row r="61" spans="1:9" ht="12" thickBot="1" x14ac:dyDescent="0.25">
      <c r="A61" s="1" t="s">
        <v>172</v>
      </c>
      <c r="B61" s="22" t="s">
        <v>173</v>
      </c>
      <c r="C61" s="73">
        <f>SUM('DOE25'!F98:F110)</f>
        <v>97645</v>
      </c>
      <c r="D61" s="73">
        <f>SUM('DOE25'!G98:G110)</f>
        <v>0</v>
      </c>
      <c r="E61" s="73">
        <f>SUM('DOE25'!H98:H110)</f>
        <v>0</v>
      </c>
      <c r="F61" s="73">
        <f>SUM('DOE25'!I98:I110)</f>
        <v>0</v>
      </c>
      <c r="G61" s="73">
        <f>SUM('DOE25'!J98:J110)</f>
        <v>0</v>
      </c>
      <c r="H61" s="13">
        <f t="shared" si="3"/>
        <v>97645</v>
      </c>
      <c r="I61"/>
    </row>
    <row r="62" spans="1:9" ht="12.75" thickTop="1" thickBot="1" x14ac:dyDescent="0.25">
      <c r="A62" s="28" t="s">
        <v>174</v>
      </c>
      <c r="B62" s="6"/>
      <c r="C62" s="93">
        <f>SUM(C57:C61)</f>
        <v>225508</v>
      </c>
      <c r="D62" s="93">
        <f>SUM(D57:D61)</f>
        <v>237909.13</v>
      </c>
      <c r="E62" s="93">
        <f>SUM(E57:E61)</f>
        <v>0</v>
      </c>
      <c r="F62" s="93">
        <f>SUM(F57:F61)</f>
        <v>0</v>
      </c>
      <c r="G62" s="93">
        <f>SUM(G57:G61)</f>
        <v>37528.43</v>
      </c>
      <c r="H62" s="13">
        <f t="shared" si="3"/>
        <v>500945.56</v>
      </c>
      <c r="I62"/>
    </row>
    <row r="63" spans="1:9" ht="12" thickTop="1" x14ac:dyDescent="0.2">
      <c r="A63" s="28" t="s">
        <v>175</v>
      </c>
      <c r="B63" s="6"/>
      <c r="C63" s="21">
        <f>C56+C62</f>
        <v>19511810</v>
      </c>
      <c r="D63" s="21">
        <f>D56+D62</f>
        <v>237909.13</v>
      </c>
      <c r="E63" s="21">
        <f>E56+E62</f>
        <v>0</v>
      </c>
      <c r="F63" s="21">
        <f>F56+F62</f>
        <v>0</v>
      </c>
      <c r="G63" s="21">
        <f>G56+G62</f>
        <v>37528.43</v>
      </c>
      <c r="H63" s="13">
        <f t="shared" si="3"/>
        <v>19787247.559999999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5379037.25</v>
      </c>
      <c r="D66" s="23" t="s">
        <v>288</v>
      </c>
      <c r="E66" s="23" t="s">
        <v>288</v>
      </c>
      <c r="F66" s="23" t="s">
        <v>288</v>
      </c>
      <c r="G66" s="23" t="s">
        <v>288</v>
      </c>
      <c r="H66" s="13">
        <f t="shared" ref="H66:H81" si="4">SUM(C66:G66)</f>
        <v>5379037.25</v>
      </c>
      <c r="I66"/>
    </row>
    <row r="67" spans="1:9" x14ac:dyDescent="0.2">
      <c r="A67" s="1" t="s">
        <v>770</v>
      </c>
      <c r="B67" s="6">
        <v>3112</v>
      </c>
      <c r="C67" s="73">
        <f>'DOE25'!F118</f>
        <v>1564779</v>
      </c>
      <c r="D67" s="23"/>
      <c r="E67" s="23"/>
      <c r="F67" s="23"/>
      <c r="G67" s="23"/>
      <c r="H67" s="13">
        <f t="shared" si="4"/>
        <v>1564779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106813.88</v>
      </c>
      <c r="D69" s="73">
        <f>'DOE25'!G120</f>
        <v>0</v>
      </c>
      <c r="E69" s="73">
        <f>'DOE25'!H120</f>
        <v>0</v>
      </c>
      <c r="F69" s="73">
        <f>'DOE25'!I120</f>
        <v>0</v>
      </c>
      <c r="G69" s="73">
        <f>'DOE25'!J120</f>
        <v>0</v>
      </c>
      <c r="H69" s="13">
        <f t="shared" si="4"/>
        <v>106813.88</v>
      </c>
      <c r="I69"/>
    </row>
    <row r="70" spans="1:9" ht="12" thickTop="1" x14ac:dyDescent="0.2">
      <c r="A70" s="28" t="s">
        <v>252</v>
      </c>
      <c r="B70" s="2"/>
      <c r="C70" s="97">
        <f>SUM(C66:C69)</f>
        <v>7050630.1299999999</v>
      </c>
      <c r="D70" s="97">
        <f>D69</f>
        <v>0</v>
      </c>
      <c r="E70" s="97">
        <f>E69</f>
        <v>0</v>
      </c>
      <c r="F70" s="97">
        <f>F69</f>
        <v>0</v>
      </c>
      <c r="G70" s="97">
        <f>G69</f>
        <v>0</v>
      </c>
      <c r="H70" s="13">
        <f t="shared" si="4"/>
        <v>7050630.1299999999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231529.28</v>
      </c>
      <c r="D72" s="23" t="s">
        <v>288</v>
      </c>
      <c r="E72" s="23" t="s">
        <v>288</v>
      </c>
      <c r="F72" s="73">
        <f>'DOE25'!I123</f>
        <v>0</v>
      </c>
      <c r="G72" s="23" t="s">
        <v>288</v>
      </c>
      <c r="H72" s="13">
        <f t="shared" si="4"/>
        <v>231529.28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5770.2</v>
      </c>
      <c r="D75" s="23" t="s">
        <v>288</v>
      </c>
      <c r="E75" s="23" t="s">
        <v>288</v>
      </c>
      <c r="F75" s="23" t="s">
        <v>288</v>
      </c>
      <c r="G75" s="23" t="s">
        <v>288</v>
      </c>
      <c r="H75" s="13">
        <f t="shared" si="4"/>
        <v>5770.2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5855.71</v>
      </c>
      <c r="E77" s="73">
        <f>SUM('DOE25'!H131:H135)</f>
        <v>0</v>
      </c>
      <c r="F77" s="73">
        <f>SUM('DOE25'!I131:I135)</f>
        <v>0</v>
      </c>
      <c r="G77" s="73">
        <f>SUM('DOE25'!J131:J135)</f>
        <v>0</v>
      </c>
      <c r="H77" s="13">
        <f t="shared" si="4"/>
        <v>5855.71</v>
      </c>
      <c r="I77"/>
    </row>
    <row r="78" spans="1:9" ht="12.75" thickTop="1" thickBot="1" x14ac:dyDescent="0.25">
      <c r="A78" s="28" t="s">
        <v>259</v>
      </c>
      <c r="B78" s="6"/>
      <c r="C78" s="93">
        <f>SUM(C72:C77)</f>
        <v>237299.48</v>
      </c>
      <c r="D78" s="93">
        <f>SUM(D72:D77)</f>
        <v>5855.71</v>
      </c>
      <c r="E78" s="93">
        <f>SUM(E72:E77)</f>
        <v>0</v>
      </c>
      <c r="F78" s="93">
        <f>SUM(F72:F77)</f>
        <v>0</v>
      </c>
      <c r="G78" s="93">
        <f>SUM(G72:G77)</f>
        <v>0</v>
      </c>
      <c r="H78" s="13">
        <f t="shared" si="4"/>
        <v>243155.19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7287929.6100000003</v>
      </c>
      <c r="D81" s="93">
        <f>SUM(D79:D80)+D78+D70</f>
        <v>5855.71</v>
      </c>
      <c r="E81" s="93">
        <f>SUM(E79:E80)+E78+E70</f>
        <v>0</v>
      </c>
      <c r="F81" s="93">
        <f>SUM(F79:F80)+F78+F70</f>
        <v>0</v>
      </c>
      <c r="G81" s="93">
        <f>SUM(G79:G80)+G78+G70</f>
        <v>0</v>
      </c>
      <c r="H81" s="93">
        <f t="shared" si="4"/>
        <v>7293785.3200000003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16860.14</v>
      </c>
      <c r="D88" s="253">
        <f>SUM('DOE25'!G153:G162)</f>
        <v>145022.07</v>
      </c>
      <c r="E88" s="253">
        <f>SUM('DOE25'!H153:H162)</f>
        <v>898513</v>
      </c>
      <c r="F88" s="253">
        <f>SUM('DOE25'!I153:I162)</f>
        <v>0</v>
      </c>
      <c r="G88" s="23" t="s">
        <v>288</v>
      </c>
      <c r="H88" s="13">
        <f t="shared" si="5"/>
        <v>1060395.21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16860.14</v>
      </c>
      <c r="D91" s="94">
        <f>SUM(D85:D90)</f>
        <v>145022.07</v>
      </c>
      <c r="E91" s="94">
        <f>SUM(E85:E90)</f>
        <v>898513</v>
      </c>
      <c r="F91" s="94">
        <f>SUM(F85:F90)</f>
        <v>0</v>
      </c>
      <c r="G91" s="23" t="s">
        <v>288</v>
      </c>
      <c r="H91" s="13">
        <f t="shared" si="5"/>
        <v>1060395.21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150000</v>
      </c>
      <c r="H96" s="13">
        <f t="shared" si="5"/>
        <v>150000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150000</v>
      </c>
      <c r="D98" s="73">
        <f>'DOE25'!G183</f>
        <v>0</v>
      </c>
      <c r="E98" s="73">
        <f>'DOE25'!H183</f>
        <v>0</v>
      </c>
      <c r="F98" s="23" t="s">
        <v>288</v>
      </c>
      <c r="G98" s="73">
        <f>'DOE25'!J183</f>
        <v>0</v>
      </c>
      <c r="H98" s="13">
        <f t="shared" si="5"/>
        <v>150000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150000</v>
      </c>
      <c r="D103" s="68">
        <f>SUM(D93:D102)</f>
        <v>0</v>
      </c>
      <c r="E103" s="68">
        <f>SUM(E93:E102)</f>
        <v>0</v>
      </c>
      <c r="F103" s="68">
        <f>SUM(F93:F102)</f>
        <v>0</v>
      </c>
      <c r="G103" s="68">
        <f>SUM(G93:G102)</f>
        <v>150000</v>
      </c>
      <c r="H103" s="68">
        <f t="shared" si="5"/>
        <v>300000</v>
      </c>
    </row>
    <row r="104" spans="1:8" ht="12.75" thickTop="1" thickBot="1" x14ac:dyDescent="0.25">
      <c r="A104" s="32" t="s">
        <v>761</v>
      </c>
      <c r="C104" s="68">
        <f>C63+C81+C91+C103</f>
        <v>26966599.75</v>
      </c>
      <c r="D104" s="68">
        <f>D63+D81+D91+D103</f>
        <v>388786.91000000003</v>
      </c>
      <c r="E104" s="68">
        <f>E63+E81+E91+E103</f>
        <v>898513</v>
      </c>
      <c r="F104" s="68">
        <f>F63+F81+F91+F103</f>
        <v>0</v>
      </c>
      <c r="G104" s="68">
        <f>G63+G81+G103</f>
        <v>187528.43</v>
      </c>
      <c r="H104" s="68">
        <f t="shared" si="5"/>
        <v>28441428.09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14749028.16</v>
      </c>
      <c r="D109" s="23" t="s">
        <v>288</v>
      </c>
      <c r="E109" s="73">
        <f>('DOE25'!L277)+('DOE25'!L296)+('DOE25'!L315)</f>
        <v>460328</v>
      </c>
      <c r="F109" s="23" t="s">
        <v>288</v>
      </c>
      <c r="G109" s="23" t="s">
        <v>288</v>
      </c>
      <c r="H109" s="13">
        <f t="shared" ref="H109:H115" si="6">SUM(C109:G109)</f>
        <v>15209356.16</v>
      </c>
    </row>
    <row r="110" spans="1:8" x14ac:dyDescent="0.2">
      <c r="A110" t="s">
        <v>198</v>
      </c>
      <c r="B110" s="31" t="s">
        <v>199</v>
      </c>
      <c r="C110" s="73">
        <f>('DOE25'!L199)+('DOE25'!L217)+('DOE25'!L235)</f>
        <v>3316555.7199999997</v>
      </c>
      <c r="D110" s="23" t="s">
        <v>288</v>
      </c>
      <c r="E110" s="73">
        <f>('DOE25'!L278)+('DOE25'!L297)+('DOE25'!L316)</f>
        <v>367124</v>
      </c>
      <c r="F110" s="23" t="s">
        <v>288</v>
      </c>
      <c r="G110" s="23" t="s">
        <v>288</v>
      </c>
      <c r="H110" s="13">
        <f t="shared" si="6"/>
        <v>3683679.7199999997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78518.060000000012</v>
      </c>
      <c r="D112" s="23" t="s">
        <v>288</v>
      </c>
      <c r="E112" s="73">
        <f>+('DOE25'!L280)+('DOE25'!L299)+('DOE25'!L318)</f>
        <v>0</v>
      </c>
      <c r="F112" s="23" t="s">
        <v>288</v>
      </c>
      <c r="G112" s="23" t="s">
        <v>288</v>
      </c>
      <c r="H112" s="13">
        <f t="shared" si="6"/>
        <v>78518.060000000012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18144101.939999998</v>
      </c>
      <c r="D115" s="68">
        <f>SUM(D109:D114)</f>
        <v>0</v>
      </c>
      <c r="E115" s="68">
        <f>SUM(E109:E114)</f>
        <v>827452</v>
      </c>
      <c r="F115" s="68">
        <f>SUM(F109:F114)</f>
        <v>0</v>
      </c>
      <c r="G115" s="68">
        <f>SUM(G109:G114)</f>
        <v>0</v>
      </c>
      <c r="H115" s="68">
        <f t="shared" si="6"/>
        <v>18971553.939999998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1911235.94</v>
      </c>
      <c r="D118" s="23" t="s">
        <v>288</v>
      </c>
      <c r="E118" s="73">
        <f>+('DOE25'!L282)+('DOE25'!L301)+('DOE25'!L320)</f>
        <v>0</v>
      </c>
      <c r="F118" s="23" t="s">
        <v>288</v>
      </c>
      <c r="G118" s="23" t="s">
        <v>288</v>
      </c>
      <c r="H118" s="13">
        <f t="shared" ref="H118:H145" si="7">SUM(C118:G118)</f>
        <v>1911235.94</v>
      </c>
    </row>
    <row r="119" spans="1:8" x14ac:dyDescent="0.2">
      <c r="A119" t="s">
        <v>208</v>
      </c>
      <c r="B119" s="31" t="s">
        <v>209</v>
      </c>
      <c r="C119" s="73">
        <f>('DOE25'!L204)+('DOE25'!L222)+('DOE25'!L240)</f>
        <v>942482.80999999994</v>
      </c>
      <c r="D119" s="23" t="s">
        <v>288</v>
      </c>
      <c r="E119" s="73">
        <f>+('DOE25'!L283)+('DOE25'!L302)+('DOE25'!L321)</f>
        <v>56344</v>
      </c>
      <c r="F119" s="23" t="s">
        <v>288</v>
      </c>
      <c r="G119" s="23" t="s">
        <v>288</v>
      </c>
      <c r="H119" s="13">
        <f t="shared" si="7"/>
        <v>998826.80999999994</v>
      </c>
    </row>
    <row r="120" spans="1:8" x14ac:dyDescent="0.2">
      <c r="A120" t="s">
        <v>210</v>
      </c>
      <c r="B120" s="31" t="s">
        <v>211</v>
      </c>
      <c r="C120" s="73">
        <f>('DOE25'!L205)+('DOE25'!L223)+('DOE25'!L241)</f>
        <v>743387.25000000023</v>
      </c>
      <c r="D120" s="23" t="s">
        <v>288</v>
      </c>
      <c r="E120" s="73">
        <f>+('DOE25'!L284)+('DOE25'!L303)+('DOE25'!L322)</f>
        <v>0</v>
      </c>
      <c r="F120" s="23" t="s">
        <v>288</v>
      </c>
      <c r="G120" s="23" t="s">
        <v>288</v>
      </c>
      <c r="H120" s="13">
        <f t="shared" si="7"/>
        <v>743387.25000000023</v>
      </c>
    </row>
    <row r="121" spans="1:8" x14ac:dyDescent="0.2">
      <c r="A121" t="s">
        <v>212</v>
      </c>
      <c r="B121" s="31" t="s">
        <v>213</v>
      </c>
      <c r="C121" s="73">
        <f>('DOE25'!L206)+('DOE25'!L224)+('DOE25'!L242)</f>
        <v>992560.17000000016</v>
      </c>
      <c r="D121" s="23" t="s">
        <v>288</v>
      </c>
      <c r="E121" s="73">
        <f>+('DOE25'!L285)+('DOE25'!L304)+('DOE25'!L323)</f>
        <v>0</v>
      </c>
      <c r="F121" s="23" t="s">
        <v>288</v>
      </c>
      <c r="G121" s="23" t="s">
        <v>288</v>
      </c>
      <c r="H121" s="13">
        <f t="shared" si="7"/>
        <v>992560.17000000016</v>
      </c>
    </row>
    <row r="122" spans="1:8" x14ac:dyDescent="0.2">
      <c r="A122" t="s">
        <v>214</v>
      </c>
      <c r="B122" s="31" t="s">
        <v>215</v>
      </c>
      <c r="C122" s="73">
        <f>('DOE25'!L207)+('DOE25'!L225)+('DOE25'!L243)</f>
        <v>234767.96000000002</v>
      </c>
      <c r="D122" s="23" t="s">
        <v>288</v>
      </c>
      <c r="E122" s="73">
        <f>+('DOE25'!L286)+('DOE25'!L305)+('DOE25'!L324)</f>
        <v>0</v>
      </c>
      <c r="F122" s="23" t="s">
        <v>288</v>
      </c>
      <c r="G122" s="23" t="s">
        <v>288</v>
      </c>
      <c r="H122" s="13">
        <f t="shared" si="7"/>
        <v>234767.96000000002</v>
      </c>
    </row>
    <row r="123" spans="1:8" x14ac:dyDescent="0.2">
      <c r="A123" t="s">
        <v>216</v>
      </c>
      <c r="B123" s="31" t="s">
        <v>217</v>
      </c>
      <c r="C123" s="73">
        <f>('DOE25'!L208)+('DOE25'!L226)+('DOE25'!L244)</f>
        <v>1704155.59</v>
      </c>
      <c r="D123" s="23" t="s">
        <v>288</v>
      </c>
      <c r="E123" s="73">
        <f>+('DOE25'!L287)+('DOE25'!L306)+('DOE25'!L325)</f>
        <v>10165</v>
      </c>
      <c r="F123" s="23" t="s">
        <v>288</v>
      </c>
      <c r="G123" s="23" t="s">
        <v>288</v>
      </c>
      <c r="H123" s="13">
        <f t="shared" si="7"/>
        <v>1714320.59</v>
      </c>
    </row>
    <row r="124" spans="1:8" x14ac:dyDescent="0.2">
      <c r="A124" t="s">
        <v>218</v>
      </c>
      <c r="B124" s="31" t="s">
        <v>219</v>
      </c>
      <c r="C124" s="73">
        <f>('DOE25'!L209)+('DOE25'!L227)+('DOE25'!L245+'DOE25'!L255)</f>
        <v>1269584.96</v>
      </c>
      <c r="D124" s="23" t="s">
        <v>288</v>
      </c>
      <c r="E124" s="73">
        <f>+('DOE25'!L288)+('DOE25'!L307)+('DOE25'!L326)</f>
        <v>4552</v>
      </c>
      <c r="F124" s="23" t="s">
        <v>288</v>
      </c>
      <c r="G124" s="23" t="s">
        <v>288</v>
      </c>
      <c r="H124" s="13">
        <f t="shared" si="7"/>
        <v>1274136.96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416644.26999999996</v>
      </c>
      <c r="E127" s="23" t="s">
        <v>288</v>
      </c>
      <c r="F127" s="23" t="s">
        <v>288</v>
      </c>
      <c r="G127" s="23" t="s">
        <v>288</v>
      </c>
      <c r="H127" s="13">
        <f t="shared" si="7"/>
        <v>416644.26999999996</v>
      </c>
    </row>
    <row r="128" spans="1:8" ht="12.75" thickTop="1" thickBot="1" x14ac:dyDescent="0.25">
      <c r="A128" s="32" t="s">
        <v>226</v>
      </c>
      <c r="C128" s="68">
        <f>SUM(C118:C127)</f>
        <v>7798174.6799999997</v>
      </c>
      <c r="D128" s="68">
        <f>SUM(D118:D127)</f>
        <v>416644.26999999996</v>
      </c>
      <c r="E128" s="68">
        <f>SUM(E118:E127)</f>
        <v>71061</v>
      </c>
      <c r="F128" s="68">
        <f>SUM(F118:F127)</f>
        <v>0</v>
      </c>
      <c r="G128" s="68">
        <f>SUM(G118:G127)</f>
        <v>0</v>
      </c>
      <c r="H128" s="68">
        <f t="shared" si="7"/>
        <v>8285879.9499999993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178530.52000000002</v>
      </c>
      <c r="D130" s="23" t="s">
        <v>288</v>
      </c>
      <c r="E130" s="92">
        <f>'DOE25'!L337</f>
        <v>0</v>
      </c>
      <c r="F130" s="92">
        <f>SUM('DOE25'!L375:'DOE25'!L381)</f>
        <v>0</v>
      </c>
      <c r="G130" s="23" t="s">
        <v>288</v>
      </c>
      <c r="H130" s="13">
        <f t="shared" si="7"/>
        <v>178530.52000000002</v>
      </c>
    </row>
    <row r="131" spans="1:8" x14ac:dyDescent="0.2">
      <c r="A131" t="s">
        <v>229</v>
      </c>
      <c r="B131" s="31">
        <v>5110</v>
      </c>
      <c r="C131" s="73">
        <f>'DOE25'!L261</f>
        <v>710000</v>
      </c>
      <c r="D131" s="23" t="s">
        <v>288</v>
      </c>
      <c r="E131" s="92">
        <f>'DOE25'!L342</f>
        <v>0</v>
      </c>
      <c r="F131" s="23" t="s">
        <v>288</v>
      </c>
      <c r="G131" s="23" t="s">
        <v>288</v>
      </c>
      <c r="H131" s="13">
        <f t="shared" si="7"/>
        <v>710000</v>
      </c>
    </row>
    <row r="132" spans="1:8" x14ac:dyDescent="0.2">
      <c r="A132" t="s">
        <v>230</v>
      </c>
      <c r="B132" s="31">
        <v>5120</v>
      </c>
      <c r="C132" s="73">
        <f>'DOE25'!L262</f>
        <v>17395</v>
      </c>
      <c r="D132" s="23" t="s">
        <v>288</v>
      </c>
      <c r="E132" s="92">
        <f>'DOE25'!L343</f>
        <v>0</v>
      </c>
      <c r="F132" s="23" t="s">
        <v>288</v>
      </c>
      <c r="G132" s="23" t="s">
        <v>288</v>
      </c>
      <c r="H132" s="13">
        <f t="shared" si="7"/>
        <v>17395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187528.43</v>
      </c>
      <c r="D139" s="23" t="s">
        <v>288</v>
      </c>
      <c r="E139" s="23" t="s">
        <v>288</v>
      </c>
      <c r="F139" s="23" t="s">
        <v>288</v>
      </c>
      <c r="G139" s="23" t="s">
        <v>288</v>
      </c>
      <c r="H139" s="13">
        <f t="shared" si="7"/>
        <v>187528.43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-37528.429999999993</v>
      </c>
      <c r="D141" s="23" t="s">
        <v>288</v>
      </c>
      <c r="E141" s="23" t="s">
        <v>288</v>
      </c>
      <c r="F141" s="23" t="s">
        <v>288</v>
      </c>
      <c r="G141" s="23" t="s">
        <v>288</v>
      </c>
      <c r="H141" s="13">
        <f t="shared" si="7"/>
        <v>-37528.429999999993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1055925.52</v>
      </c>
      <c r="D144" s="98">
        <f>SUM(D130:D143)</f>
        <v>0</v>
      </c>
      <c r="E144" s="98">
        <f>SUM(E130:E143)</f>
        <v>0</v>
      </c>
      <c r="F144" s="98">
        <f>SUM(F130:F143)</f>
        <v>0</v>
      </c>
      <c r="G144" s="98">
        <f>SUM(G130:G143)</f>
        <v>0</v>
      </c>
      <c r="H144" s="98">
        <f t="shared" si="7"/>
        <v>1055925.52</v>
      </c>
    </row>
    <row r="145" spans="1:9" ht="12.75" thickTop="1" thickBot="1" x14ac:dyDescent="0.25">
      <c r="A145" s="32" t="s">
        <v>244</v>
      </c>
      <c r="C145" s="68">
        <f>(C115+C128+C144)</f>
        <v>26998202.139999997</v>
      </c>
      <c r="D145" s="68">
        <f>(D115+D128+D144)</f>
        <v>416644.26999999996</v>
      </c>
      <c r="E145" s="68">
        <f>(E115+E128+E144)</f>
        <v>898513</v>
      </c>
      <c r="F145" s="68">
        <f>(F115+F128+F144)</f>
        <v>0</v>
      </c>
      <c r="G145" s="68">
        <f>(G115+G128+G144)</f>
        <v>0</v>
      </c>
      <c r="H145" s="68">
        <f t="shared" si="7"/>
        <v>28313359.409999996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12/02</v>
      </c>
      <c r="C152" s="109">
        <f>'DOE25'!G492</f>
        <v>0</v>
      </c>
      <c r="D152" s="109">
        <f>'DOE25'!H492</f>
        <v>0</v>
      </c>
      <c r="E152" s="109">
        <f>'DOE25'!I492</f>
        <v>0</v>
      </c>
      <c r="F152" s="109">
        <f>'DOE25'!J492</f>
        <v>0</v>
      </c>
      <c r="G152" s="23" t="s">
        <v>288</v>
      </c>
    </row>
    <row r="153" spans="1:9" x14ac:dyDescent="0.2">
      <c r="A153" s="21" t="s">
        <v>29</v>
      </c>
      <c r="B153" s="109" t="str">
        <f>'DOE25'!F493</f>
        <v>10/22</v>
      </c>
      <c r="C153" s="109">
        <f>'DOE25'!G493</f>
        <v>0</v>
      </c>
      <c r="D153" s="109">
        <f>'DOE25'!H493</f>
        <v>0</v>
      </c>
      <c r="E153" s="109">
        <f>'DOE25'!I493</f>
        <v>0</v>
      </c>
      <c r="F153" s="109">
        <f>'DOE25'!J493</f>
        <v>0</v>
      </c>
      <c r="G153" s="23" t="s">
        <v>288</v>
      </c>
    </row>
    <row r="154" spans="1:9" x14ac:dyDescent="0.2">
      <c r="A154" s="21" t="s">
        <v>30</v>
      </c>
      <c r="B154" s="19">
        <f>'DOE25'!F494</f>
        <v>14144129</v>
      </c>
      <c r="C154" s="19">
        <f>'DOE25'!G494</f>
        <v>0</v>
      </c>
      <c r="D154" s="19">
        <f>'DOE25'!H494</f>
        <v>0</v>
      </c>
      <c r="E154" s="19">
        <f>'DOE25'!I494</f>
        <v>0</v>
      </c>
      <c r="F154" s="19">
        <f>'DOE25'!J494</f>
        <v>0</v>
      </c>
      <c r="G154" s="23" t="s">
        <v>288</v>
      </c>
    </row>
    <row r="155" spans="1:9" x14ac:dyDescent="0.2">
      <c r="A155" s="21" t="s">
        <v>31</v>
      </c>
      <c r="B155" s="19">
        <f>'DOE25'!F495</f>
        <v>3.7</v>
      </c>
      <c r="C155" s="19">
        <f>'DOE25'!G495</f>
        <v>0</v>
      </c>
      <c r="D155" s="19">
        <f>'DOE25'!H495</f>
        <v>0</v>
      </c>
      <c r="E155" s="19">
        <f>'DOE25'!I495</f>
        <v>0</v>
      </c>
      <c r="F155" s="19">
        <f>'DOE25'!J495</f>
        <v>0</v>
      </c>
      <c r="G155" s="23" t="s">
        <v>288</v>
      </c>
    </row>
    <row r="156" spans="1:9" x14ac:dyDescent="0.2">
      <c r="A156" s="21" t="s">
        <v>32</v>
      </c>
      <c r="B156" s="19">
        <f>'DOE25'!F496</f>
        <v>710000</v>
      </c>
      <c r="C156" s="19">
        <f>'DOE25'!G496</f>
        <v>0</v>
      </c>
      <c r="D156" s="19">
        <f>'DOE25'!H496</f>
        <v>0</v>
      </c>
      <c r="E156" s="19">
        <f>'DOE25'!I496</f>
        <v>0</v>
      </c>
      <c r="F156" s="19">
        <f>'DOE25'!J496</f>
        <v>0</v>
      </c>
      <c r="G156" s="96">
        <f>SUM(B156:F156)</f>
        <v>710000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710000</v>
      </c>
      <c r="C158" s="19">
        <f>'DOE25'!G498</f>
        <v>0</v>
      </c>
      <c r="D158" s="19">
        <f>'DOE25'!H498</f>
        <v>0</v>
      </c>
      <c r="E158" s="19">
        <f>'DOE25'!I498</f>
        <v>0</v>
      </c>
      <c r="F158" s="19">
        <f>'DOE25'!J498</f>
        <v>0</v>
      </c>
      <c r="G158" s="96">
        <f t="shared" si="8"/>
        <v>710000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5" zoomScale="150" zoomScaleNormal="150" workbookViewId="0">
      <selection activeCell="C13" sqref="C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26" t="s">
        <v>736</v>
      </c>
      <c r="B1" s="326"/>
      <c r="C1" s="326"/>
      <c r="D1" s="326"/>
    </row>
    <row r="2" spans="1:4" x14ac:dyDescent="0.2">
      <c r="A2" s="136" t="s">
        <v>713</v>
      </c>
      <c r="B2" s="135" t="str">
        <f>'DOE25'!A2</f>
        <v>Barrington</v>
      </c>
    </row>
    <row r="3" spans="1:4" x14ac:dyDescent="0.2">
      <c r="B3" s="137" t="s">
        <v>1799</v>
      </c>
    </row>
    <row r="4" spans="1:4" x14ac:dyDescent="0.2">
      <c r="B4" t="s">
        <v>61</v>
      </c>
      <c r="C4" s="129">
        <f>IF('DOE25'!F666+'DOE25'!F671=0,0,ROUND('DOE25'!F673,0))</f>
        <v>16682</v>
      </c>
    </row>
    <row r="5" spans="1:4" x14ac:dyDescent="0.2">
      <c r="B5" t="s">
        <v>700</v>
      </c>
      <c r="C5" s="129">
        <f>IF('DOE25'!G666+'DOE25'!G671=0,0,ROUND('DOE25'!G673,0))</f>
        <v>19269</v>
      </c>
    </row>
    <row r="6" spans="1:4" x14ac:dyDescent="0.2">
      <c r="B6" t="s">
        <v>62</v>
      </c>
      <c r="C6" s="129">
        <f>IF('DOE25'!H666+'DOE25'!H671=0,0,ROUND('DOE25'!H673,0))</f>
        <v>0</v>
      </c>
    </row>
    <row r="7" spans="1:4" x14ac:dyDescent="0.2">
      <c r="B7" t="s">
        <v>701</v>
      </c>
      <c r="C7" s="129">
        <f>IF('DOE25'!I666+'DOE25'!I671=0,0,ROUND('DOE25'!I673,0))</f>
        <v>17756</v>
      </c>
    </row>
    <row r="9" spans="1:4" x14ac:dyDescent="0.2">
      <c r="A9" s="136" t="s">
        <v>94</v>
      </c>
      <c r="B9" s="137" t="s">
        <v>1800</v>
      </c>
      <c r="C9" s="131" t="s">
        <v>720</v>
      </c>
      <c r="D9" s="131" t="s">
        <v>721</v>
      </c>
    </row>
    <row r="10" spans="1:4" x14ac:dyDescent="0.2">
      <c r="A10">
        <v>1100</v>
      </c>
      <c r="B10" t="s">
        <v>702</v>
      </c>
      <c r="C10" s="129">
        <f>ROUND('DOE25'!L198+'DOE25'!L216+'DOE25'!L234+'DOE25'!L277+'DOE25'!L296+'DOE25'!L315,0)</f>
        <v>15209356</v>
      </c>
      <c r="D10" s="132">
        <f>ROUND((C10/$C$28)*100,1)</f>
        <v>56.3</v>
      </c>
    </row>
    <row r="11" spans="1:4" x14ac:dyDescent="0.2">
      <c r="A11">
        <v>1200</v>
      </c>
      <c r="B11" t="s">
        <v>703</v>
      </c>
      <c r="C11" s="129">
        <f>ROUND('DOE25'!L199+'DOE25'!L217+'DOE25'!L235+'DOE25'!L278+'DOE25'!L297+'DOE25'!L316,0)</f>
        <v>3683680</v>
      </c>
      <c r="D11" s="132">
        <f>ROUND((C11/$C$28)*100,1)</f>
        <v>13.6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78518</v>
      </c>
      <c r="D13" s="132">
        <f>ROUND((C13/$C$28)*100,1)</f>
        <v>0.3</v>
      </c>
    </row>
    <row r="14" spans="1:4" x14ac:dyDescent="0.2">
      <c r="D14" s="132"/>
    </row>
    <row r="15" spans="1:4" x14ac:dyDescent="0.2">
      <c r="A15">
        <v>2100</v>
      </c>
      <c r="B15" t="s">
        <v>706</v>
      </c>
      <c r="C15" s="129">
        <f>ROUND('DOE25'!L203+'DOE25'!L221+'DOE25'!L239+'DOE25'!L282+'DOE25'!L301+'DOE25'!L320,0)</f>
        <v>1911236</v>
      </c>
      <c r="D15" s="132">
        <f t="shared" ref="D15:D27" si="0">ROUND((C15/$C$28)*100,1)</f>
        <v>7.1</v>
      </c>
    </row>
    <row r="16" spans="1:4" x14ac:dyDescent="0.2">
      <c r="A16">
        <v>2200</v>
      </c>
      <c r="B16" t="s">
        <v>707</v>
      </c>
      <c r="C16" s="129">
        <f>ROUND('DOE25'!L204+'DOE25'!L222+'DOE25'!L240+'DOE25'!L283+'DOE25'!L302+'DOE25'!L321,0)</f>
        <v>998827</v>
      </c>
      <c r="D16" s="132">
        <f t="shared" si="0"/>
        <v>3.7</v>
      </c>
    </row>
    <row r="17" spans="1:4" x14ac:dyDescent="0.2">
      <c r="A17" s="133" t="s">
        <v>723</v>
      </c>
      <c r="B17" t="s">
        <v>738</v>
      </c>
      <c r="C17" s="129">
        <f>ROUND('DOE25'!L205+'DOE25'!L210+'DOE25'!L223+'DOE25'!L228+'DOE25'!L241+'DOE25'!L246+'DOE25'!L284+'DOE25'!L289+'DOE25'!L303+'DOE25'!L308+'DOE25'!L322+'DOE25'!L327,0)</f>
        <v>743387</v>
      </c>
      <c r="D17" s="132">
        <f t="shared" si="0"/>
        <v>2.7</v>
      </c>
    </row>
    <row r="18" spans="1:4" x14ac:dyDescent="0.2">
      <c r="A18">
        <v>2400</v>
      </c>
      <c r="B18" t="s">
        <v>711</v>
      </c>
      <c r="C18" s="129">
        <f>ROUND('DOE25'!L206+'DOE25'!L224+'DOE25'!L242+'DOE25'!L285+'DOE25'!L304+'DOE25'!L323,0)</f>
        <v>992560</v>
      </c>
      <c r="D18" s="132">
        <f t="shared" si="0"/>
        <v>3.7</v>
      </c>
    </row>
    <row r="19" spans="1:4" x14ac:dyDescent="0.2">
      <c r="A19">
        <v>2500</v>
      </c>
      <c r="B19" t="s">
        <v>708</v>
      </c>
      <c r="C19" s="129">
        <f>ROUND('DOE25'!L207+'DOE25'!L225+'DOE25'!L243+'DOE25'!L286+'DOE25'!L305+'DOE25'!L324,0)</f>
        <v>234768</v>
      </c>
      <c r="D19" s="132">
        <f t="shared" si="0"/>
        <v>0.9</v>
      </c>
    </row>
    <row r="20" spans="1:4" x14ac:dyDescent="0.2">
      <c r="A20">
        <v>2600</v>
      </c>
      <c r="B20" t="s">
        <v>709</v>
      </c>
      <c r="C20" s="129">
        <f>ROUND('DOE25'!L208+'DOE25'!L226+'DOE25'!L244+'DOE25'!L287+'DOE25'!L306+'DOE25'!L325,0)</f>
        <v>1714321</v>
      </c>
      <c r="D20" s="132">
        <f t="shared" si="0"/>
        <v>6.3</v>
      </c>
    </row>
    <row r="21" spans="1:4" x14ac:dyDescent="0.2">
      <c r="A21">
        <v>2700</v>
      </c>
      <c r="B21" t="s">
        <v>710</v>
      </c>
      <c r="C21" s="129">
        <f>ROUND('DOE25'!L209+'DOE25'!L227+'DOE25'!L245+'DOE25'!L288+'DOE25'!L307+'DOE25'!L326,0)</f>
        <v>1274137</v>
      </c>
      <c r="D21" s="132">
        <f t="shared" si="0"/>
        <v>4.7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17395</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178734.87</v>
      </c>
      <c r="D27" s="132">
        <f t="shared" si="0"/>
        <v>0.7</v>
      </c>
    </row>
    <row r="28" spans="1:4" x14ac:dyDescent="0.2">
      <c r="B28" s="136" t="s">
        <v>719</v>
      </c>
      <c r="C28" s="130">
        <f>SUM(C10:C27)</f>
        <v>27036919.870000001</v>
      </c>
      <c r="D28" s="134">
        <f>ROUND(SUM(D10:D27),0)</f>
        <v>100</v>
      </c>
    </row>
    <row r="29" spans="1:4" x14ac:dyDescent="0.2">
      <c r="A29">
        <v>4000</v>
      </c>
      <c r="B29" t="s">
        <v>724</v>
      </c>
      <c r="C29" s="129">
        <f>ROUND('DOE25'!L256+'DOE25'!L337+'DOE25'!L375+'DOE25'!L376+'DOE25'!L377+'DOE25'!L378+'DOE25'!L379+'DOE25'!L380+'DOE25'!L381,0)</f>
        <v>178531</v>
      </c>
    </row>
    <row r="30" spans="1:4" x14ac:dyDescent="0.2">
      <c r="B30" s="136" t="s">
        <v>725</v>
      </c>
      <c r="C30" s="130">
        <f>SUM(C28:C29)</f>
        <v>27215450.870000001</v>
      </c>
    </row>
    <row r="31" spans="1:4" x14ac:dyDescent="0.2">
      <c r="B31" s="32"/>
      <c r="C31" s="130"/>
    </row>
    <row r="32" spans="1:4" x14ac:dyDescent="0.2">
      <c r="A32">
        <v>5100</v>
      </c>
      <c r="B32" s="32" t="s">
        <v>726</v>
      </c>
      <c r="C32" s="130">
        <f>ROUND('DOE25'!L261+'DOE25'!L342,0)</f>
        <v>710000</v>
      </c>
    </row>
    <row r="34" spans="1:4" x14ac:dyDescent="0.2">
      <c r="A34" s="136" t="s">
        <v>94</v>
      </c>
      <c r="B34" s="137" t="s">
        <v>1801</v>
      </c>
      <c r="C34" s="131" t="s">
        <v>720</v>
      </c>
      <c r="D34" s="131" t="s">
        <v>721</v>
      </c>
    </row>
    <row r="35" spans="1:4" x14ac:dyDescent="0.2">
      <c r="A35">
        <v>1100</v>
      </c>
      <c r="B35" s="71" t="s">
        <v>727</v>
      </c>
      <c r="C35" s="129">
        <f>ROUND('DOE25'!F60+'DOE25'!G60+'DOE25'!H60+'DOE25'!I60+'DOE25'!J60,0)</f>
        <v>19286302</v>
      </c>
      <c r="D35" s="132">
        <f t="shared" ref="D35:D40" si="1">ROUND((C35/$C$41)*100,1)</f>
        <v>69.099999999999994</v>
      </c>
    </row>
    <row r="36" spans="1:4" x14ac:dyDescent="0.2">
      <c r="B36" s="71" t="s">
        <v>739</v>
      </c>
      <c r="C36" s="129">
        <f>SUM('DOE25'!F112:J112)-SUM('DOE25'!G97:G110)+('DOE25'!F175+'DOE25'!F176+'DOE25'!I175+'DOE25'!I176)-C35</f>
        <v>263036.4299999997</v>
      </c>
      <c r="D36" s="132">
        <f t="shared" si="1"/>
        <v>0.9</v>
      </c>
    </row>
    <row r="37" spans="1:4" x14ac:dyDescent="0.2">
      <c r="A37" s="133" t="s">
        <v>834</v>
      </c>
      <c r="B37" s="71" t="s">
        <v>728</v>
      </c>
      <c r="C37" s="129">
        <f>ROUND('DOE25'!F117+'DOE25'!F118,0)</f>
        <v>6943816</v>
      </c>
      <c r="D37" s="132">
        <f t="shared" si="1"/>
        <v>24.9</v>
      </c>
    </row>
    <row r="38" spans="1:4" x14ac:dyDescent="0.2">
      <c r="A38" s="133" t="s">
        <v>734</v>
      </c>
      <c r="B38" s="71" t="s">
        <v>729</v>
      </c>
      <c r="C38" s="129">
        <f>ROUND(SUM('DOE25'!F140:J140)-SUM('DOE25'!F117:F119),0)</f>
        <v>349969</v>
      </c>
      <c r="D38" s="132">
        <f t="shared" si="1"/>
        <v>1.3</v>
      </c>
    </row>
    <row r="39" spans="1:4" x14ac:dyDescent="0.2">
      <c r="A39">
        <v>4000</v>
      </c>
      <c r="B39" s="71" t="s">
        <v>730</v>
      </c>
      <c r="C39" s="129">
        <f>ROUND('DOE25'!F170+'DOE25'!G170+'DOE25'!H170+'DOE25'!I170,0)</f>
        <v>1060395</v>
      </c>
      <c r="D39" s="132">
        <f t="shared" si="1"/>
        <v>3.8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27903518.43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ColWidth="8.6640625" defaultRowHeight="11.25" x14ac:dyDescent="0.2"/>
  <cols>
    <col min="1" max="1" width="10.16406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Barrington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70</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f>IF('School Level Expenditures'!$B$2='School Tables'!L7,'School Tables'!S7,"")</f>
        <v>4</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f>IF('School Level Expenditures'!$B$2=A19,'School Tables'!H19,"")</f>
        <v>16</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51"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f>IF('School Level Expenditures'!$B$2=A73,'School Tables'!H73,"")</f>
        <v>70</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63.75"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63.75"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2023-09-28T12:37:56Z</cp:lastPrinted>
  <dcterms:created xsi:type="dcterms:W3CDTF">1997-12-04T19:04:30Z</dcterms:created>
  <dcterms:modified xsi:type="dcterms:W3CDTF">2023-12-28T16:08:53Z</dcterms:modified>
</cp:coreProperties>
</file>