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0B0C6A8-3FF5-499F-8236-0E073B048BFA}"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93" i="1" l="1"/>
  <c r="J592" i="1"/>
  <c r="I592" i="1"/>
  <c r="I593" i="1"/>
  <c r="H593" i="1"/>
  <c r="H592" i="1"/>
  <c r="G543" i="1" l="1"/>
  <c r="G542" i="1"/>
  <c r="F544" i="1"/>
  <c r="F543" i="1"/>
  <c r="F542" i="1"/>
  <c r="F57" i="1" l="1"/>
  <c r="F118" i="1"/>
  <c r="G199" i="1" l="1"/>
  <c r="I316" i="1"/>
  <c r="G316" i="1"/>
  <c r="F199" i="1"/>
  <c r="F198" i="1" l="1"/>
  <c r="F583" i="1" l="1"/>
  <c r="H560" i="1" l="1"/>
  <c r="J522" i="1" l="1"/>
  <c r="I524" i="1"/>
  <c r="I523" i="1"/>
  <c r="I522" i="1"/>
  <c r="H524" i="1"/>
  <c r="H523" i="1"/>
  <c r="H522" i="1"/>
  <c r="G524" i="1"/>
  <c r="G523" i="1"/>
  <c r="G522" i="1"/>
  <c r="F524" i="1"/>
  <c r="F523" i="1"/>
  <c r="F522" i="1"/>
  <c r="H527" i="1"/>
  <c r="H221" i="1"/>
  <c r="F221" i="1"/>
  <c r="H528" i="1"/>
  <c r="H529" i="1"/>
  <c r="I529" i="1"/>
  <c r="I528" i="1"/>
  <c r="I527" i="1"/>
  <c r="G529" i="1"/>
  <c r="G528" i="1"/>
  <c r="G527" i="1"/>
  <c r="F529" i="1"/>
  <c r="F528" i="1"/>
  <c r="F527" i="1"/>
  <c r="I287" i="1" l="1"/>
  <c r="I325" i="1" l="1"/>
  <c r="G9" i="1" l="1"/>
  <c r="H368" i="1"/>
  <c r="G368" i="1"/>
  <c r="F368" i="1"/>
  <c r="H369" i="1"/>
  <c r="G369" i="1"/>
  <c r="I605" i="1" l="1"/>
  <c r="I217" i="1"/>
  <c r="J217" i="1"/>
  <c r="H605" i="1"/>
  <c r="J605" i="1"/>
  <c r="G158" i="1" l="1"/>
  <c r="I361" i="1" l="1"/>
  <c r="I360" i="1"/>
  <c r="I359" i="1"/>
  <c r="H306" i="1"/>
  <c r="G301" i="1"/>
  <c r="H155" i="1" l="1"/>
  <c r="H162" i="1" l="1"/>
  <c r="I596" i="1" l="1"/>
  <c r="H596" i="1"/>
  <c r="H159" i="1" l="1"/>
  <c r="F241" i="1" l="1"/>
  <c r="F223" i="1"/>
  <c r="F205" i="1"/>
  <c r="F224" i="1"/>
  <c r="F234" i="1"/>
  <c r="F216" i="1"/>
  <c r="F243" i="1"/>
  <c r="F225" i="1"/>
  <c r="F207" i="1"/>
  <c r="F203" i="1"/>
  <c r="F208" i="1"/>
  <c r="F206" i="1"/>
  <c r="F242" i="1"/>
  <c r="F235" i="1"/>
  <c r="F239" i="1"/>
  <c r="G223" i="1" l="1"/>
  <c r="G198" i="1"/>
  <c r="C28" i="12"/>
  <c r="C29" i="12"/>
  <c r="C39" i="12"/>
  <c r="G246" i="1" l="1"/>
  <c r="G245" i="1"/>
  <c r="G244" i="1"/>
  <c r="G243" i="1"/>
  <c r="G242" i="1"/>
  <c r="G241" i="1"/>
  <c r="G240" i="1"/>
  <c r="G239" i="1"/>
  <c r="G237" i="1"/>
  <c r="G236" i="1"/>
  <c r="G235" i="1"/>
  <c r="G234" i="1"/>
  <c r="G228" i="1"/>
  <c r="G227" i="1"/>
  <c r="G226" i="1"/>
  <c r="G225" i="1"/>
  <c r="G224" i="1"/>
  <c r="G221" i="1"/>
  <c r="G219" i="1"/>
  <c r="G217" i="1"/>
  <c r="G216" i="1"/>
  <c r="G210" i="1"/>
  <c r="G209" i="1"/>
  <c r="G208" i="1"/>
  <c r="G207" i="1"/>
  <c r="G206" i="1"/>
  <c r="G205" i="1"/>
  <c r="G204" i="1"/>
  <c r="G203" i="1"/>
  <c r="G201" i="1"/>
  <c r="G359" i="1" l="1"/>
  <c r="F359" i="1"/>
  <c r="H325" i="1" l="1"/>
  <c r="J234" i="1"/>
  <c r="J216" i="1"/>
  <c r="J199" i="1"/>
  <c r="J198" i="1"/>
  <c r="H244" i="1" l="1"/>
  <c r="H208" i="1"/>
  <c r="G321" i="1"/>
  <c r="G320" i="1"/>
  <c r="F320" i="1"/>
  <c r="H315" i="1" l="1"/>
  <c r="G315" i="1"/>
  <c r="F315" i="1"/>
  <c r="G302" i="1" l="1"/>
  <c r="F301" i="1"/>
  <c r="G299" i="1"/>
  <c r="F299" i="1"/>
  <c r="G296" i="1"/>
  <c r="F296" i="1"/>
  <c r="G283" i="1"/>
  <c r="G282" i="1"/>
  <c r="F282" i="1"/>
  <c r="I280" i="1"/>
  <c r="J278" i="1"/>
  <c r="I278" i="1"/>
  <c r="H278" i="1"/>
  <c r="G278" i="1"/>
  <c r="F278" i="1"/>
  <c r="I277" i="1"/>
  <c r="H277" i="1"/>
  <c r="G277" i="1"/>
  <c r="F277" i="1"/>
  <c r="I306" i="1" l="1"/>
  <c r="I320" i="1"/>
  <c r="I301" i="1"/>
  <c r="I282" i="1"/>
  <c r="G280" i="1"/>
  <c r="I297" i="1"/>
  <c r="I315" i="1"/>
  <c r="I296" i="1"/>
  <c r="H296" i="1"/>
  <c r="F245" i="1" l="1"/>
  <c r="I244" i="1"/>
  <c r="F244" i="1"/>
  <c r="K241" i="1"/>
  <c r="J241" i="1"/>
  <c r="I241" i="1"/>
  <c r="H241" i="1"/>
  <c r="H240" i="1"/>
  <c r="H239" i="1"/>
  <c r="I239" i="1"/>
  <c r="K239" i="1"/>
  <c r="I235" i="1"/>
  <c r="H235" i="1"/>
  <c r="I234" i="1"/>
  <c r="H234" i="1"/>
  <c r="F227" i="1"/>
  <c r="H226" i="1"/>
  <c r="F226" i="1"/>
  <c r="K223" i="1"/>
  <c r="J223" i="1"/>
  <c r="I223" i="1"/>
  <c r="H223" i="1"/>
  <c r="H222" i="1"/>
  <c r="I221" i="1"/>
  <c r="K221" i="1"/>
  <c r="F219" i="1"/>
  <c r="H217" i="1"/>
  <c r="F217" i="1"/>
  <c r="I216" i="1"/>
  <c r="H216" i="1"/>
  <c r="I199" i="1"/>
  <c r="H199" i="1"/>
  <c r="F209" i="1"/>
  <c r="I209" i="1"/>
  <c r="H209" i="1"/>
  <c r="I208" i="1"/>
  <c r="K205" i="1"/>
  <c r="J205" i="1"/>
  <c r="I205" i="1"/>
  <c r="H205" i="1"/>
  <c r="H204" i="1"/>
  <c r="H203" i="1"/>
  <c r="I203" i="1"/>
  <c r="K203" i="1"/>
  <c r="F201" i="1"/>
  <c r="I198" i="1"/>
  <c r="H198" i="1"/>
  <c r="I240" i="1" l="1"/>
  <c r="K237" i="1"/>
  <c r="I237" i="1"/>
  <c r="F237" i="1"/>
  <c r="I222" i="1" l="1"/>
  <c r="J221" i="1"/>
  <c r="K219" i="1"/>
  <c r="H201" i="1"/>
  <c r="I204"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7" i="1"/>
  <c r="L318" i="1"/>
  <c r="L320" i="1"/>
  <c r="L321" i="1"/>
  <c r="L322" i="1"/>
  <c r="E120" i="2" s="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H653" i="1"/>
  <c r="G654" i="1"/>
  <c r="H654" i="1"/>
  <c r="H655" i="1"/>
  <c r="H656" i="1"/>
  <c r="I170" i="1"/>
  <c r="I409" i="1" l="1"/>
  <c r="H58" i="2"/>
  <c r="H140" i="1"/>
  <c r="G62" i="2"/>
  <c r="G663" i="1"/>
  <c r="E111" i="2"/>
  <c r="C32" i="10"/>
  <c r="E121" i="2"/>
  <c r="H80" i="2"/>
  <c r="H28" i="2"/>
  <c r="H17" i="2"/>
  <c r="H72" i="2"/>
  <c r="H113" i="2"/>
  <c r="H137" i="2"/>
  <c r="D144" i="2"/>
  <c r="H29" i="2"/>
  <c r="H24" i="2"/>
  <c r="H101" i="2"/>
  <c r="H76" i="2"/>
  <c r="H97" i="2"/>
  <c r="H87" i="2"/>
  <c r="H35" i="2"/>
  <c r="H13" i="2"/>
  <c r="H9" i="2"/>
  <c r="H143" i="2"/>
  <c r="H48" i="2"/>
  <c r="H100" i="2"/>
  <c r="H73" i="2"/>
  <c r="H23" i="2"/>
  <c r="H132" i="2"/>
  <c r="H96" i="2"/>
  <c r="H59" i="2"/>
  <c r="H34" i="2"/>
  <c r="H94" i="2"/>
  <c r="H27" i="2"/>
  <c r="H12" i="2"/>
  <c r="H99" i="2"/>
  <c r="H79" i="2"/>
  <c r="H93" i="2"/>
  <c r="H26" i="2"/>
  <c r="H22" i="2"/>
  <c r="H135" i="2"/>
  <c r="D18" i="13"/>
  <c r="C18" i="13" s="1"/>
  <c r="H36" i="2"/>
  <c r="H44" i="2"/>
  <c r="H102" i="2"/>
  <c r="H98" i="2"/>
  <c r="H89" i="2"/>
  <c r="H15" i="2"/>
  <c r="H11" i="2"/>
  <c r="H47" i="2"/>
  <c r="H477" i="1"/>
  <c r="H625" i="1" s="1"/>
  <c r="J625" i="1" s="1"/>
  <c r="H8" i="2"/>
  <c r="H61" i="2"/>
  <c r="J652" i="1"/>
  <c r="D78" i="2"/>
  <c r="D81" i="2" s="1"/>
  <c r="H77" i="2"/>
  <c r="G477" i="1"/>
  <c r="H624" i="1" s="1"/>
  <c r="J624" i="1" s="1"/>
  <c r="C121" i="2"/>
  <c r="G662" i="1"/>
  <c r="D29" i="13"/>
  <c r="C29" i="13" s="1"/>
  <c r="E112" i="2"/>
  <c r="C125" i="2"/>
  <c r="H125" i="2" s="1"/>
  <c r="G651" i="1"/>
  <c r="J651" i="1" s="1"/>
  <c r="E13" i="13"/>
  <c r="C13" i="13" s="1"/>
  <c r="C120" i="2"/>
  <c r="H120" i="2" s="1"/>
  <c r="A40" i="12"/>
  <c r="C12" i="10"/>
  <c r="D15" i="13"/>
  <c r="C15" i="13" s="1"/>
  <c r="N2" i="14"/>
  <c r="N3" i="14" s="1"/>
  <c r="M2" i="14"/>
  <c r="M3" i="14" s="1"/>
  <c r="C13" i="10"/>
  <c r="C110" i="2"/>
  <c r="C119" i="2"/>
  <c r="D6" i="13"/>
  <c r="C6" i="13" s="1"/>
  <c r="L2" i="14"/>
  <c r="L3" i="14" s="1"/>
  <c r="C112" i="2"/>
  <c r="E119" i="2"/>
  <c r="H409" i="1"/>
  <c r="H645" i="1" s="1"/>
  <c r="J645" i="1" s="1"/>
  <c r="G339" i="1"/>
  <c r="G353" i="1" s="1"/>
  <c r="J258" i="1"/>
  <c r="J272" i="1" s="1"/>
  <c r="E123" i="2"/>
  <c r="K339" i="1"/>
  <c r="K353" i="1" s="1"/>
  <c r="J656" i="1"/>
  <c r="J572" i="1"/>
  <c r="D50" i="2"/>
  <c r="E131" i="2"/>
  <c r="E144" i="2" s="1"/>
  <c r="G553" i="1"/>
  <c r="H663" i="1"/>
  <c r="F258" i="1"/>
  <c r="F272" i="1" s="1"/>
  <c r="C20" i="10"/>
  <c r="I370" i="1"/>
  <c r="H635" i="1" s="1"/>
  <c r="J635" i="1" s="1"/>
  <c r="L257" i="1"/>
  <c r="H193" i="1"/>
  <c r="A31" i="12"/>
  <c r="E114" i="2"/>
  <c r="E85" i="2"/>
  <c r="E91" i="2" s="1"/>
  <c r="H112" i="1"/>
  <c r="L402" i="1"/>
  <c r="C139" i="2" s="1"/>
  <c r="H139" i="2" s="1"/>
  <c r="C91" i="2"/>
  <c r="H462" i="1"/>
  <c r="H642" i="1" s="1"/>
  <c r="J642"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H111" i="2" l="1"/>
  <c r="H16" i="2"/>
  <c r="H121" i="2"/>
  <c r="H42" i="2"/>
  <c r="H85" i="2"/>
  <c r="H114" i="2"/>
  <c r="H131" i="2"/>
  <c r="H78" i="2"/>
  <c r="H134" i="2"/>
  <c r="H57" i="2"/>
  <c r="H103" i="2"/>
  <c r="H122" i="2"/>
  <c r="H31" i="2"/>
  <c r="H21" i="2"/>
  <c r="L572" i="1"/>
  <c r="H50" i="2"/>
  <c r="B33" i="16"/>
  <c r="H18" i="2"/>
  <c r="H91" i="2"/>
  <c r="H62" i="2"/>
  <c r="C81" i="2"/>
  <c r="H81" i="2" s="1"/>
  <c r="F194" i="1"/>
  <c r="G628" i="1" s="1"/>
  <c r="J628" i="1" s="1"/>
  <c r="D51" i="2"/>
  <c r="I662" i="1"/>
  <c r="D128" i="2"/>
  <c r="D145" i="2" s="1"/>
  <c r="H127" i="2"/>
  <c r="H123" i="2"/>
  <c r="E128" i="2"/>
  <c r="H119" i="2"/>
  <c r="H118" i="2"/>
  <c r="H112" i="2"/>
  <c r="G24" i="14"/>
  <c r="H24" i="14" s="1"/>
  <c r="I24" i="14" s="1"/>
  <c r="I663" i="1"/>
  <c r="F661" i="1"/>
  <c r="F665" i="1" s="1"/>
  <c r="F670" i="1" s="1"/>
  <c r="H109" i="2"/>
  <c r="F144" i="2"/>
  <c r="H130" i="2"/>
  <c r="H194" i="1"/>
  <c r="G630" i="1" s="1"/>
  <c r="J630" i="1" s="1"/>
  <c r="H649" i="1"/>
  <c r="J649" i="1" s="1"/>
  <c r="C141" i="2"/>
  <c r="F51" i="2"/>
  <c r="E104" i="2"/>
  <c r="C36" i="10"/>
  <c r="L435" i="1"/>
  <c r="G639" i="1" s="1"/>
  <c r="J639" i="1" s="1"/>
  <c r="G104" i="2"/>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M24" i="14"/>
  <c r="G670" i="1"/>
  <c r="G673" i="1" s="1"/>
  <c r="C5" i="10" s="1"/>
  <c r="F668" i="1"/>
  <c r="F145" i="2"/>
  <c r="G668" i="1"/>
  <c r="C145" i="2"/>
  <c r="G638" i="1"/>
  <c r="J638" i="1" s="1"/>
  <c r="H647" i="1"/>
  <c r="J647" i="1" s="1"/>
  <c r="C41" i="10"/>
  <c r="D38" i="10" s="1"/>
  <c r="F673" i="1" l="1"/>
  <c r="C4" i="10" s="1"/>
  <c r="D37" i="10"/>
  <c r="D36" i="10"/>
  <c r="D35" i="10"/>
  <c r="D40" i="10"/>
  <c r="D39" i="10"/>
  <c r="D41" i="10" l="1"/>
  <c r="F329" i="1"/>
  <c r="F339" i="1" s="1"/>
  <c r="F353" i="1" s="1"/>
  <c r="K2" i="14"/>
  <c r="K3" i="14" s="1"/>
  <c r="L316" i="1"/>
  <c r="E110" i="2" s="1"/>
  <c r="B18" i="12"/>
  <c r="A22" i="12" s="1"/>
  <c r="L329" i="1" l="1"/>
  <c r="G36" i="14" s="1"/>
  <c r="H36" i="14" s="1"/>
  <c r="M36" i="14" s="1"/>
  <c r="C11" i="10"/>
  <c r="C28" i="10" s="1"/>
  <c r="D15" i="10" s="1"/>
  <c r="E115" i="2"/>
  <c r="H110" i="2"/>
  <c r="H661" i="1" l="1"/>
  <c r="I661" i="1" s="1"/>
  <c r="I665" i="1" s="1"/>
  <c r="D31" i="13"/>
  <c r="D33" i="13" s="1"/>
  <c r="D36" i="13" s="1"/>
  <c r="I36" i="14"/>
  <c r="L339" i="1"/>
  <c r="L353" i="1" s="1"/>
  <c r="G634" i="1" s="1"/>
  <c r="D21" i="10"/>
  <c r="D16" i="10"/>
  <c r="D24" i="10"/>
  <c r="D10" i="10"/>
  <c r="D20" i="10"/>
  <c r="D22" i="10"/>
  <c r="C30" i="10"/>
  <c r="D17" i="10"/>
  <c r="D13" i="10"/>
  <c r="D25" i="10"/>
  <c r="D19" i="10"/>
  <c r="D12" i="10"/>
  <c r="D27" i="10"/>
  <c r="D26" i="10"/>
  <c r="D18" i="10"/>
  <c r="D23" i="10"/>
  <c r="D11" i="10"/>
  <c r="H115" i="2"/>
  <c r="E145" i="2"/>
  <c r="H145" i="2" s="1"/>
  <c r="C31" i="13" l="1"/>
  <c r="H665" i="1"/>
  <c r="H668" i="1" s="1"/>
  <c r="H657" i="1"/>
  <c r="J634" i="1"/>
  <c r="D28" i="10"/>
  <c r="I668" i="1"/>
  <c r="H670" i="1" l="1"/>
  <c r="I670" i="1" s="1"/>
  <c r="I673" i="1" s="1"/>
  <c r="C7" i="10" s="1"/>
  <c r="H673" i="1" l="1"/>
  <c r="C6"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<sst xmlns="http://schemas.openxmlformats.org/spreadsheetml/2006/main" count="6561" uniqueCount="1816">
  <si>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</si>
  <si>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</si>
  <si>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</si>
  <si>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</si>
  <si>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</si>
  <si>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</si>
  <si>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</si>
  <si>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</si>
  <si>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</si>
  <si>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</si>
  <si>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</si>
  <si>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</si>
  <si>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</si>
  <si>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</si>
  <si>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</si>
  <si>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</si>
  <si>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</si>
  <si>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</si>
  <si>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</si>
  <si>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</si>
  <si>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</si>
  <si>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</si>
  <si>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</si>
  <si>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</si>
  <si>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</si>
  <si>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</si>
  <si>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</si>
  <si>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</si>
  <si>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</si>
  <si>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</si>
  <si>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</si>
  <si>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</si>
  <si>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</si>
  <si>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</si>
  <si>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</si>
  <si>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</si>
  <si>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</si>
  <si>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</si>
  <si>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</si>
  <si>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</si>
  <si>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</si>
  <si>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</si>
  <si>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</si>
  <si>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</si>
  <si>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</si>
  <si>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</si>
  <si>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</si>
  <si>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</si>
  <si>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</si>
  <si>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</si>
  <si>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</si>
  <si>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</si>
  <si>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</si>
  <si>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</si>
  <si>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</si>
  <si>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</si>
  <si>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</si>
  <si>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</si>
  <si>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</si>
  <si>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</si>
  <si>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</si>
  <si>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</si>
  <si>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</si>
  <si>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</si>
  <si>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</si>
  <si>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</si>
  <si>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</si>
  <si>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</si>
  <si>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</si>
  <si>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</si>
  <si>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</si>
  <si>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</si>
  <si>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</si>
  <si>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</si>
  <si>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</si>
  <si>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</si>
  <si>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</si>
  <si>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</si>
  <si>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</si>
  <si>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</si>
  <si>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</si>
  <si>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</si>
  <si>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</si>
  <si>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</si>
  <si>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</si>
  <si>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</si>
  <si>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</si>
  <si>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</si>
  <si>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</si>
  <si>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</si>
  <si>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</si>
  <si>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</si>
  <si>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</si>
  <si>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</si>
  <si>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</si>
  <si>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</si>
  <si>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</si>
  <si>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</si>
  <si>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</si>
  <si>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</si>
  <si>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</si>
  <si>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</si>
  <si>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</si>
  <si>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</si>
  <si>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</si>
  <si>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</si>
  <si>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</si>
  <si>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</si>
  <si>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</si>
  <si>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</si>
  <si>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</si>
  <si>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</si>
  <si>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</si>
  <si>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</si>
  <si>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</si>
  <si>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</si>
  <si>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</si>
  <si>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</si>
  <si>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</si>
  <si>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</si>
  <si>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</si>
  <si>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</si>
  <si>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</si>
  <si>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</si>
  <si>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</si>
  <si>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</si>
  <si>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</si>
  <si>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</si>
  <si>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</si>
  <si>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</si>
  <si>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</si>
  <si>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</si>
  <si>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</si>
  <si>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</si>
  <si>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</si>
  <si>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</si>
  <si>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</si>
  <si>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</si>
  <si>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</si>
  <si>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</si>
  <si>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</si>
  <si>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</si>
  <si>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</si>
  <si>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</si>
  <si>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</si>
  <si>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</si>
  <si>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</si>
  <si>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</si>
  <si>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</si>
  <si>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</si>
  <si>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</si>
  <si>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</si>
  <si>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</si>
  <si>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</si>
  <si>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</si>
  <si>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</si>
  <si>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</si>
  <si>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</si>
  <si>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</si>
  <si>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</si>
  <si>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</si>
  <si>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</si>
  <si>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</si>
  <si>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</si>
  <si>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</si>
  <si>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</si>
  <si>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</si>
  <si>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</si>
  <si>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</si>
  <si>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</si>
  <si>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</si>
  <si>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</si>
  <si>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</si>
  <si>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</si>
  <si>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</si>
  <si>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</si>
  <si>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</si>
  <si>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</si>
  <si>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</si>
  <si>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</si>
  <si>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</si>
  <si>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</si>
  <si>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</si>
  <si>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</si>
  <si>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</si>
  <si>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</si>
  <si>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</si>
  <si>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</si>
  <si>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</si>
  <si>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</si>
  <si>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</si>
  <si>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</si>
  <si>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</si>
  <si>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</si>
  <si>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</si>
  <si>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</si>
  <si>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</si>
  <si>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</si>
  <si>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</si>
  <si>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</si>
  <si>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</si>
  <si>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</si>
  <si>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</si>
  <si>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</si>
  <si>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</si>
  <si>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</si>
  <si>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</si>
  <si>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</si>
  <si>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</si>
  <si>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</si>
  <si>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</si>
  <si>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</si>
  <si>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</si>
  <si>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</si>
  <si>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</si>
  <si>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</si>
  <si>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</si>
  <si>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</si>
  <si>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</si>
  <si>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</si>
  <si>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</si>
  <si>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</si>
  <si>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</si>
  <si>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</si>
  <si>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</si>
  <si>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</si>
  <si>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</si>
  <si>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</si>
  <si>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</si>
  <si>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</si>
  <si>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</si>
  <si>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</si>
  <si>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</si>
  <si>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</si>
  <si>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</si>
  <si>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</si>
  <si>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</si>
  <si>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</si>
  <si>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</si>
  <si>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</si>
  <si>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</si>
  <si>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</si>
  <si>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</si>
  <si>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</si>
  <si>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</si>
  <si>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</si>
  <si>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</si>
  <si>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</si>
  <si>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</si>
  <si>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</si>
  <si>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</si>
  <si>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</si>
  <si>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</si>
  <si>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</si>
  <si>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</si>
  <si>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</si>
  <si>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</si>
  <si>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</si>
  <si>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</si>
  <si>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</si>
  <si>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</si>
  <si>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</si>
  <si>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</si>
  <si>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</si>
  <si>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</si>
  <si>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</si>
  <si>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</si>
  <si>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</si>
  <si>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</si>
  <si>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</si>
  <si>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</si>
  <si>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</si>
  <si>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</si>
  <si>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</si>
  <si>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</si>
  <si>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</si>
  <si>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</si>
  <si>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</si>
  <si>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</si>
  <si>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</si>
  <si>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</si>
  <si>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</si>
  <si>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</si>
  <si>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</si>
  <si>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</si>
  <si>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</si>
  <si>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</si>
  <si>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</si>
  <si>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</si>
  <si>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</si>
  <si>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</si>
  <si>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</si>
  <si>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</si>
  <si>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</si>
  <si>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</si>
  <si>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</si>
  <si>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</si>
  <si>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</si>
  <si>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</si>
  <si>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</si>
  <si>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</si>
  <si>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</si>
  <si>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</si>
  <si>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</si>
  <si>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</si>
  <si>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</si>
  <si>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</si>
  <si>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</si>
  <si>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</si>
  <si>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</si>
  <si>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</si>
  <si>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</si>
  <si>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</si>
  <si>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</si>
  <si>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</si>
  <si>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</si>
  <si>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</si>
  <si>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</si>
  <si>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</si>
  <si>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</si>
  <si>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</si>
  <si>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</si>
  <si>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</si>
  <si>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</si>
  <si>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</si>
  <si>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</si>
  <si>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</si>
  <si>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</si>
  <si>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</si>
  <si>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</si>
  <si>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</si>
  <si>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</si>
  <si>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</si>
  <si>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</si>
  <si>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</si>
  <si>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</si>
  <si>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</si>
  <si>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</si>
  <si>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</si>
  <si>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</si>
  <si>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</si>
  <si>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</si>
  <si>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</si>
  <si>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</si>
  <si>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</si>
  <si>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</si>
  <si>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</si>
  <si>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</si>
  <si>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</si>
  <si>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</si>
  <si>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</si>
  <si>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</si>
  <si>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</si>
  <si>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</si>
  <si>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</si>
  <si>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</si>
  <si>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</si>
  <si>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</si>
  <si>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</si>
  <si>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</si>
  <si>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</si>
  <si>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</si>
  <si>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</si>
  <si>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</si>
  <si>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</si>
  <si>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</si>
  <si>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</si>
  <si>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</si>
  <si>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</si>
  <si>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</si>
  <si>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</si>
  <si>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</si>
  <si>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</si>
  <si>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</si>
  <si>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</si>
  <si>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</si>
  <si>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</si>
  <si>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</si>
  <si>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</si>
  <si>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</si>
  <si>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</si>
  <si>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</si>
  <si>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</si>
  <si>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</si>
  <si>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</si>
  <si>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</si>
  <si>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</si>
  <si>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</si>
  <si>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</si>
  <si>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</si>
  <si>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</si>
  <si>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</si>
  <si>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</si>
  <si>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</si>
  <si>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</si>
  <si>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</si>
  <si>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</si>
  <si>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</si>
  <si>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</si>
  <si>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</si>
  <si>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</si>
  <si>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</si>
  <si>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</si>
  <si>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</si>
  <si>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</si>
  <si>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</si>
  <si>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</si>
  <si>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</si>
  <si>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</si>
  <si>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</si>
  <si>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</si>
  <si>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</si>
  <si>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</si>
  <si>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</si>
  <si>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</si>
  <si>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</si>
  <si>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</si>
  <si>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</si>
  <si>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</si>
  <si>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</si>
  <si>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</si>
  <si>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</si>
  <si>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</si>
  <si>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</si>
  <si>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</si>
  <si>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</si>
  <si>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</si>
  <si>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</si>
  <si>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</si>
  <si>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</si>
  <si>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</si>
  <si>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</si>
  <si>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</si>
  <si>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</si>
  <si>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</si>
  <si>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</si>
  <si>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</si>
  <si>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</si>
  <si>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</si>
  <si>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</si>
  <si>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</si>
  <si>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</si>
  <si>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</si>
  <si>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</si>
  <si>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</si>
  <si>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</si>
  <si>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</si>
  <si>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</si>
  <si>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</si>
  <si>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</si>
  <si>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</si>
  <si>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</si>
  <si>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</si>
  <si>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</si>
  <si>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</si>
  <si>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</si>
  <si>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</si>
  <si>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</si>
  <si>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</si>
  <si>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</si>
  <si>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</si>
  <si>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</si>
  <si>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</si>
  <si>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</si>
  <si>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</si>
  <si>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</si>
  <si>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</si>
  <si>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</si>
  <si>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</si>
  <si>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</si>
  <si>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</si>
  <si>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</si>
  <si>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</si>
  <si>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</si>
  <si>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</si>
  <si>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</si>
  <si>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</si>
  <si>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</si>
  <si>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</si>
  <si>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</si>
  <si>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</si>
  <si>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</si>
  <si>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</si>
  <si>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</si>
  <si>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</si>
  <si>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</si>
  <si>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</si>
  <si>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</si>
  <si>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</si>
  <si>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</si>
  <si>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</si>
  <si>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</si>
  <si>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</si>
  <si>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</si>
  <si>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</si>
  <si>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</si>
  <si>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</si>
  <si>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</si>
  <si>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</si>
  <si>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</si>
  <si>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</si>
  <si>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</si>
  <si>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</si>
  <si>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</si>
  <si>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</si>
  <si>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</si>
  <si>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</si>
  <si>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</si>
  <si>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</si>
  <si>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</si>
  <si>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</si>
  <si>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</si>
  <si>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</si>
  <si>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</si>
  <si>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</si>
  <si>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</si>
  <si>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</si>
  <si>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</si>
  <si>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</si>
  <si>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</si>
  <si>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</si>
  <si>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</si>
  <si>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</si>
  <si>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</si>
  <si>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</si>
  <si>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</si>
  <si>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</si>
  <si>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</si>
  <si>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</si>
  <si>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</si>
  <si>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</si>
  <si>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</si>
  <si>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</si>
  <si>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</si>
  <si>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</si>
  <si>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</si>
  <si>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</si>
  <si>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</si>
  <si>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</si>
  <si>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</si>
  <si>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</si>
  <si>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</si>
  <si>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</si>
  <si>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</si>
  <si>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</si>
  <si>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</si>
  <si>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</si>
  <si>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</si>
  <si>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</si>
  <si>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</si>
  <si>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</si>
  <si>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</si>
  <si>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</si>
  <si>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</si>
  <si>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</si>
  <si>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</si>
  <si>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</si>
  <si>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</si>
  <si>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</si>
  <si>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</si>
  <si>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</si>
  <si>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</si>
  <si>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</si>
  <si>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</si>
  <si>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</si>
  <si>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</si>
  <si>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</si>
  <si>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</si>
  <si>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</si>
  <si>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</si>
  <si>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</si>
  <si>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</si>
  <si>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</si>
  <si>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</si>
  <si>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</si>
  <si>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</si>
  <si>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</si>
  <si>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</si>
  <si>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</si>
  <si>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</si>
  <si>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</si>
  <si>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</si>
  <si>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</si>
  <si>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</si>
  <si>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</si>
  <si>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</si>
  <si>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</si>
  <si>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</si>
  <si>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</si>
  <si>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</si>
  <si>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</si>
  <si>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</si>
  <si>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</si>
  <si>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</si>
  <si>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</si>
  <si>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</si>
  <si>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</si>
  <si>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</si>
  <si>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</si>
  <si>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</si>
  <si>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</si>
  <si>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</si>
  <si>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</si>
  <si>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</si>
  <si>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</si>
  <si>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</si>
  <si>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</si>
  <si>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</si>
  <si>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</si>
  <si>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</si>
  <si>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</si>
  <si>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</si>
  <si>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</si>
  <si>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</si>
  <si>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</si>
  <si>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</si>
  <si>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</si>
  <si>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</si>
  <si>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</si>
  <si>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</si>
  <si>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</si>
  <si>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</si>
  <si>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</si>
  <si>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</si>
  <si>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</si>
  <si>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</si>
  <si>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</si>
  <si>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</si>
  <si>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</si>
  <si>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</si>
  <si>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</si>
  <si>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</si>
  <si>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</si>
  <si>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</si>
  <si>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</si>
  <si>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</si>
  <si>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</si>
  <si>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</si>
  <si>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</si>
  <si>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</si>
  <si>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</si>
  <si>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</si>
  <si>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</si>
  <si>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</si>
  <si>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</si>
  <si>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</si>
  <si>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</si>
  <si>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</si>
  <si>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</si>
  <si>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</si>
  <si>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</si>
  <si>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</si>
  <si>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</si>
  <si>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</si>
  <si>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</si>
  <si>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</si>
  <si>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</si>
  <si>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</si>
  <si>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</si>
  <si>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</si>
  <si>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</si>
  <si>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</si>
  <si>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</si>
  <si>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</si>
  <si>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</si>
  <si>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</si>
  <si>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</si>
  <si>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</si>
  <si>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</si>
  <si>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</si>
  <si>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</si>
  <si>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</si>
  <si>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</si>
  <si>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</si>
  <si>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</si>
  <si>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</si>
  <si>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</si>
  <si>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</si>
  <si>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</si>
  <si>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</si>
  <si>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</si>
  <si>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</si>
  <si>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</si>
  <si>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</si>
  <si>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</si>
  <si>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</si>
  <si>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</si>
  <si>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</si>
  <si>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</si>
  <si>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</si>
  <si>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</si>
  <si>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</si>
  <si>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</si>
  <si>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</si>
  <si>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</si>
  <si>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</si>
  <si>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</si>
  <si>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</si>
  <si>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</si>
  <si>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</si>
  <si>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</si>
  <si>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</si>
  <si>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</si>
  <si>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</si>
  <si>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</si>
  <si>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</si>
  <si>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</si>
  <si>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</si>
  <si>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</si>
  <si>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</si>
  <si>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</si>
  <si>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</si>
  <si>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</si>
  <si>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</si>
  <si>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</si>
  <si>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</si>
  <si>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</si>
  <si>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</si>
  <si>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</si>
  <si>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</si>
  <si>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</si>
  <si>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</si>
  <si>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</si>
  <si>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</si>
  <si>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</si>
  <si>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</si>
  <si>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</si>
  <si>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</si>
  <si>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</si>
  <si>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</si>
  <si>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</si>
  <si>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</si>
  <si>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</si>
  <si>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</si>
  <si>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</si>
  <si>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</si>
  <si>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</si>
  <si>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</si>
  <si>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</si>
  <si>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</si>
  <si>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</si>
  <si>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</si>
  <si>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</si>
  <si>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</si>
  <si>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</si>
  <si>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</si>
  <si>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</si>
  <si>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</si>
  <si>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</si>
  <si>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</si>
  <si>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</si>
  <si>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</si>
  <si>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</si>
  <si>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</si>
  <si>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</si>
  <si>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</si>
  <si>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</si>
  <si>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</si>
  <si>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</si>
  <si>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</si>
  <si>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</si>
  <si>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</si>
  <si>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</si>
  <si>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</si>
  <si>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</si>
  <si>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</si>
  <si>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</si>
  <si>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</si>
  <si>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</si>
  <si>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</si>
  <si>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</si>
  <si>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</si>
  <si>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</si>
  <si>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</si>
  <si>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</si>
  <si>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</si>
  <si>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</si>
  <si>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</si>
  <si>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</si>
  <si>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</si>
  <si>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</si>
  <si>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</si>
  <si>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</si>
  <si>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</si>
  <si>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</si>
  <si>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</si>
  <si>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</si>
  <si>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</si>
  <si>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</si>
  <si>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</si>
  <si>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</si>
  <si>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</si>
  <si>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</si>
  <si>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</si>
  <si>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</si>
  <si>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</si>
  <si>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</si>
  <si>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</si>
  <si>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</si>
  <si>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</si>
  <si>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</si>
  <si>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</si>
  <si>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</si>
  <si>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</si>
  <si>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</si>
  <si>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</si>
  <si>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</si>
  <si>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</si>
  <si>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</si>
  <si>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</si>
  <si>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</si>
  <si>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</si>
  <si>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</si>
  <si>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</si>
  <si>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</si>
  <si>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</si>
  <si>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</si>
  <si>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</si>
  <si>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</si>
  <si>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</si>
  <si>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</si>
  <si>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</si>
  <si>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</si>
  <si>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</si>
  <si>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</si>
  <si>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</si>
  <si>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</si>
  <si>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</si>
  <si>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</si>
  <si>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</si>
  <si>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</si>
  <si>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</si>
  <si>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</si>
  <si>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</si>
  <si>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</si>
  <si>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</si>
  <si>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</si>
  <si>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</si>
  <si>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</si>
  <si>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</si>
  <si>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</si>
  <si>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</si>
  <si>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</si>
  <si>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</si>
  <si>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</si>
  <si>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</si>
  <si>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</si>
  <si>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</si>
  <si>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</si>
  <si>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</si>
  <si>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</si>
  <si>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</si>
  <si>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</si>
  <si>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</si>
  <si>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</si>
  <si>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</si>
  <si>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</si>
  <si>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</si>
  <si>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</si>
  <si>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</si>
  <si>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</si>
  <si>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</si>
  <si>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</si>
  <si>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</si>
  <si>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</si>
  <si>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</si>
  <si>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</si>
  <si>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</si>
  <si>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</si>
  <si>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</si>
  <si>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</si>
  <si>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</si>
  <si>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</si>
  <si>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</si>
  <si>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</si>
  <si>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</si>
  <si>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</si>
  <si>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</si>
  <si>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</si>
  <si>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</si>
  <si>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</si>
  <si>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</si>
  <si>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</si>
  <si>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</si>
  <si>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</si>
  <si>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</si>
  <si>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</si>
  <si>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</si>
  <si>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</si>
  <si>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</si>
  <si>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</si>
  <si>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</si>
  <si>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</si>
  <si>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</si>
  <si>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</si>
  <si>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</si>
  <si>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</si>
  <si>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</si>
  <si>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</si>
  <si>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</si>
  <si>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</si>
  <si>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</si>
  <si>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</si>
  <si>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</si>
  <si>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</si>
  <si>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</si>
  <si>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</si>
  <si>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</si>
  <si>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</si>
  <si>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</si>
  <si>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</si>
  <si>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</si>
  <si>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</si>
  <si>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</si>
  <si>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</si>
  <si>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</si>
  <si>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</si>
  <si>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</si>
  <si>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</si>
  <si>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</si>
  <si>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</si>
  <si>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</si>
  <si>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</si>
  <si>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</si>
  <si>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</si>
  <si>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</si>
  <si>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</si>
  <si>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</si>
  <si>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</si>
  <si>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</si>
  <si>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</si>
  <si>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</si>
  <si>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</si>
  <si>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</si>
  <si>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</si>
  <si>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</si>
  <si>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</si>
  <si>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</si>
  <si>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</si>
  <si>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</si>
  <si>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</si>
  <si>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</si>
  <si>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</si>
  <si>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</si>
  <si>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</si>
  <si>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</si>
  <si>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</si>
  <si>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</si>
  <si>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</si>
  <si>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</si>
  <si>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</si>
  <si>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</si>
  <si>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</si>
  <si>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</si>
  <si>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</si>
  <si>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</si>
  <si>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</si>
  <si>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</si>
  <si>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</si>
  <si>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</si>
  <si>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</si>
  <si>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</si>
  <si>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</si>
  <si>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</si>
  <si>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</si>
  <si>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</si>
  <si>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</si>
  <si>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</si>
  <si>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</si>
  <si>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</si>
  <si>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</si>
  <si>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</si>
  <si>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</si>
  <si>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</si>
  <si>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</si>
  <si>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</si>
  <si>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</si>
  <si>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</si>
  <si>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</si>
  <si>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</si>
  <si>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</si>
  <si>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</si>
  <si>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</si>
  <si>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</si>
  <si>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</si>
  <si>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</si>
  <si>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</si>
  <si>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</si>
  <si>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</si>
  <si>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</si>
  <si>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</si>
  <si>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</si>
  <si>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</si>
  <si>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</si>
  <si>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</si>
  <si>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</si>
  <si>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</si>
  <si>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</si>
  <si>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</si>
  <si>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</si>
  <si>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</si>
  <si>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</si>
  <si>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</si>
  <si>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</si>
  <si>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</si>
  <si>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</si>
  <si>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</si>
  <si>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</si>
  <si>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</si>
  <si>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</si>
  <si>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</si>
  <si>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</si>
  <si>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</si>
  <si>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</si>
  <si>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</si>
  <si>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</si>
  <si>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</si>
  <si>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</si>
  <si>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</si>
  <si>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</si>
  <si>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</si>
  <si>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</si>
  <si>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</si>
  <si>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</si>
  <si>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</si>
  <si>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</si>
  <si>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</si>
  <si>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</si>
  <si>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</si>
  <si>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</si>
  <si>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</si>
  <si>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</si>
  <si>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</si>
  <si>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</si>
  <si>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</si>
  <si>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</si>
  <si>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</si>
  <si>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</si>
  <si>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</si>
  <si>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</si>
  <si>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</si>
  <si>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</si>
  <si>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</si>
  <si>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</si>
  <si>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</si>
  <si>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</si>
  <si>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</si>
  <si>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</si>
  <si>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</si>
  <si>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</si>
  <si>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</si>
  <si>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</si>
  <si>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</si>
  <si>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</si>
  <si>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</si>
  <si>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</si>
  <si>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</si>
  <si>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</si>
  <si>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</si>
  <si>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</si>
  <si>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</si>
  <si>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</si>
  <si>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</si>
  <si>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</si>
  <si>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</si>
  <si>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</si>
  <si>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</si>
  <si>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</si>
  <si>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</si>
  <si>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</si>
  <si>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</si>
  <si>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</si>
  <si>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</si>
  <si>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</si>
  <si>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</si>
  <si>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</si>
  <si>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</si>
  <si>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</si>
  <si>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</si>
  <si>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</si>
  <si>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</si>
  <si>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</si>
  <si>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</si>
  <si>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</si>
  <si>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</si>
  <si>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</si>
  <si>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</si>
  <si>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</si>
  <si>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</si>
  <si>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</si>
  <si>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</si>
  <si>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</si>
  <si>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</si>
  <si>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</si>
  <si>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</si>
  <si>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</si>
  <si>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</si>
  <si>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</si>
  <si>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</si>
  <si>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</si>
  <si>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</si>
  <si>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</si>
  <si>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</si>
  <si>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</si>
  <si>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</si>
  <si>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</si>
  <si>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</si>
  <si>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</si>
  <si>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</si>
  <si>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</si>
  <si>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</si>
  <si>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</si>
  <si>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</si>
  <si>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</si>
  <si>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</si>
  <si>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</si>
  <si>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</si>
  <si>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</si>
  <si>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</si>
  <si>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</si>
  <si>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</si>
  <si>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</si>
  <si>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</si>
  <si>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</si>
  <si>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</si>
  <si>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</si>
  <si>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</si>
  <si>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</si>
  <si>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</si>
  <si>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</si>
  <si>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</si>
  <si>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</si>
  <si>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</si>
  <si>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</si>
  <si>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</si>
  <si>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</si>
  <si>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</si>
  <si>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</si>
  <si>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</si>
  <si>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</si>
  <si>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</si>
  <si>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</si>
  <si>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</si>
  <si>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</si>
  <si>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</si>
  <si>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</si>
  <si>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</si>
  <si>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</si>
  <si>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</si>
  <si>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</si>
  <si>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</si>
  <si>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</si>
  <si>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</si>
  <si>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</si>
  <si>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</si>
  <si>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</si>
  <si>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</si>
  <si>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</si>
  <si>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</si>
  <si>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</si>
  <si>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</si>
  <si>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</si>
  <si>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</si>
  <si>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</si>
  <si>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</si>
  <si>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</si>
  <si>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</si>
  <si>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</si>
  <si>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</si>
  <si>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</si>
  <si>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</si>
  <si>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</si>
  <si>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</si>
  <si>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</si>
  <si>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</si>
  <si>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</si>
  <si>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</si>
  <si>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</si>
  <si>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</si>
  <si>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</si>
  <si>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</si>
  <si>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</si>
  <si>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</si>
  <si>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</si>
  <si>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</si>
  <si>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</si>
  <si>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</si>
  <si>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</si>
  <si>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</si>
  <si>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</si>
  <si>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</si>
  <si>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</si>
  <si>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</si>
  <si>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</si>
  <si>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</si>
  <si>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</si>
  <si>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</si>
  <si>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</si>
  <si>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</si>
  <si>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</si>
  <si>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</si>
  <si>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</si>
  <si>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</si>
  <si>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</si>
  <si>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</si>
  <si>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</si>
  <si>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</si>
  <si>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</si>
  <si>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</si>
  <si>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</si>
  <si>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</si>
  <si>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</si>
  <si>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</si>
  <si>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</si>
  <si>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</si>
  <si>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</si>
  <si>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</si>
  <si>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</si>
  <si>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</si>
  <si>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</si>
  <si>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</si>
  <si>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</si>
  <si>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</si>
  <si>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</si>
  <si>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</si>
  <si>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</si>
  <si>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</si>
  <si>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</si>
  <si>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</si>
  <si>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</si>
  <si>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</si>
  <si>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</si>
  <si>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</si>
  <si>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</si>
  <si>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</si>
  <si>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</si>
  <si>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</si>
  <si>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</si>
  <si>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</si>
  <si>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</si>
  <si>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</si>
  <si>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</si>
  <si>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</si>
  <si>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</si>
  <si>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</si>
  <si>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</si>
  <si>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</si>
  <si>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</si>
  <si>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</si>
  <si>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</si>
  <si>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</si>
  <si>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</si>
  <si>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</si>
  <si>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</si>
  <si>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</si>
  <si>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</si>
  <si>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</si>
  <si>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</si>
  <si>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</si>
  <si>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</si>
  <si>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</si>
  <si>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</si>
  <si>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</si>
  <si>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</si>
  <si>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</si>
  <si>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</si>
  <si>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</si>
  <si>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</si>
  <si>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</si>
  <si>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</si>
  <si>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</si>
  <si>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</si>
  <si>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</si>
  <si>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</si>
  <si>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</si>
  <si>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</si>
  <si>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</si>
  <si>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</si>
  <si>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</si>
  <si>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</si>
  <si>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</si>
  <si>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</si>
  <si>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</si>
  <si>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</si>
  <si>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</si>
  <si>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</si>
  <si>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</si>
  <si>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</si>
  <si>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</si>
  <si>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</si>
  <si>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</si>
  <si>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</si>
  <si>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</si>
  <si>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</si>
  <si>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</si>
  <si>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</si>
  <si>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</si>
  <si>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</si>
  <si>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</si>
  <si>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</si>
  <si>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</si>
  <si>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</si>
  <si>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</si>
  <si>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</si>
  <si>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</si>
  <si>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</si>
  <si>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</si>
  <si>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</si>
  <si>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</si>
  <si>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</si>
  <si>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</si>
  <si>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</si>
  <si>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</si>
  <si>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</si>
  <si>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</si>
  <si>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</si>
  <si>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</si>
  <si>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</si>
  <si>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</si>
  <si>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</si>
  <si>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</si>
  <si>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</si>
  <si>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</si>
  <si>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</si>
  <si>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</si>
  <si>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</si>
  <si>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</si>
  <si>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</si>
  <si>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</si>
  <si>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</si>
  <si>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</si>
  <si>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</si>
  <si>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</si>
  <si>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</si>
  <si>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</si>
  <si>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</si>
  <si>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</si>
  <si>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</si>
  <si>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</si>
  <si>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</si>
  <si>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</si>
  <si>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</si>
  <si>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</si>
  <si>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</si>
  <si>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</si>
  <si>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</si>
  <si>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</si>
  <si>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</si>
  <si>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</si>
  <si>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</si>
  <si>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</si>
  <si>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</si>
  <si>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</si>
  <si>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</si>
  <si>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</si>
  <si>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</si>
  <si>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</si>
  <si>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</si>
  <si>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</si>
  <si>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</si>
  <si>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</si>
  <si>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</si>
  <si>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</si>
  <si>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</si>
  <si>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</si>
  <si>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</si>
  <si>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</si>
  <si>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</si>
  <si>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</si>
  <si>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</si>
  <si>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</si>
  <si>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</si>
  <si>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</si>
  <si>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</si>
  <si>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</si>
  <si>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</si>
  <si>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</si>
  <si>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</si>
  <si>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</si>
  <si>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</si>
  <si>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</si>
  <si>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</si>
  <si>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</si>
  <si>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</si>
  <si>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</si>
  <si>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</si>
  <si>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</si>
  <si>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</si>
  <si>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</si>
  <si>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</si>
  <si>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</si>
  <si>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</si>
  <si>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</si>
  <si>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</si>
  <si>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</si>
  <si>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</si>
  <si>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</si>
  <si>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</si>
  <si>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</si>
  <si>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</si>
  <si>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</si>
  <si>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</si>
  <si>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</si>
  <si>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</si>
  <si>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</si>
  <si>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</si>
  <si>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</si>
  <si>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</si>
  <si>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</si>
  <si>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</si>
  <si>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</si>
  <si>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</si>
  <si>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</si>
  <si>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</si>
  <si>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</si>
  <si>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</si>
  <si>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</si>
  <si>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</si>
  <si>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</si>
  <si>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</si>
  <si>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</si>
  <si>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</si>
  <si>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</si>
  <si>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</si>
  <si>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</si>
  <si>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</si>
  <si>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</si>
  <si>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</si>
  <si>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</si>
  <si>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</si>
  <si>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</si>
  <si>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</si>
  <si>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</si>
  <si>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</si>
  <si>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</si>
  <si>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</si>
  <si>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</si>
  <si>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</si>
  <si>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</si>
  <si>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</si>
  <si>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</si>
  <si>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</si>
  <si>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</si>
  <si>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</si>
  <si>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</si>
  <si>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</si>
  <si>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</si>
  <si>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</si>
  <si>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</si>
  <si>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</si>
  <si>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</si>
  <si>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</si>
  <si>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</si>
  <si>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</si>
  <si>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</si>
  <si>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</si>
  <si>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</si>
  <si>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</si>
  <si>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</si>
  <si>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</si>
  <si>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</si>
  <si>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</si>
  <si>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</si>
  <si>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</si>
  <si>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</si>
  <si>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</si>
  <si>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</si>
  <si>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</si>
  <si>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</si>
  <si>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</si>
  <si>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</si>
  <si>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</si>
  <si>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</si>
  <si>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</si>
  <si>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</si>
  <si>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</si>
  <si>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</si>
  <si>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</si>
  <si>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</si>
  <si>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</si>
  <si>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</si>
  <si>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</si>
  <si>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</si>
  <si>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</si>
  <si>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</si>
  <si>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</si>
  <si>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</si>
  <si>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</si>
  <si>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</si>
  <si>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</si>
  <si>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</si>
  <si>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</si>
  <si>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</si>
  <si>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</si>
  <si>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</si>
  <si>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</si>
  <si>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</si>
  <si>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</si>
  <si>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</si>
  <si>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</si>
  <si>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</si>
  <si>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</si>
  <si>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</si>
  <si>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</si>
  <si>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</si>
  <si>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</si>
  <si>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</si>
  <si>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</si>
  <si>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</si>
  <si>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</si>
  <si>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</si>
  <si>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</si>
  <si>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</si>
  <si>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</si>
  <si>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</si>
  <si>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</si>
  <si>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</si>
  <si>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</si>
  <si>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</si>
  <si>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</si>
  <si>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</si>
  <si>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</si>
  <si>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</si>
  <si>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</si>
  <si>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</si>
  <si>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</si>
  <si>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</si>
  <si>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</si>
  <si>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</si>
  <si>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</si>
  <si>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</si>
  <si>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</si>
  <si>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</si>
  <si>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</si>
  <si>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</si>
  <si>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</si>
  <si>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</si>
  <si>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</si>
  <si>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</si>
  <si>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</si>
  <si>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</si>
  <si>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</si>
  <si>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</si>
  <si>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</si>
  <si>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</si>
  <si>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</si>
  <si>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</si>
  <si>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</si>
  <si>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</si>
  <si>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</si>
  <si>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</si>
  <si>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</si>
  <si>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</si>
  <si>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</si>
  <si>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</si>
  <si>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</si>
  <si>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</si>
  <si>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</si>
  <si>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</si>
  <si>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</si>
  <si>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</si>
  <si>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</si>
  <si>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</si>
  <si>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</si>
  <si>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</si>
  <si>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</si>
  <si>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</si>
  <si>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</si>
  <si>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</si>
  <si>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</si>
  <si>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</si>
  <si>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</si>
  <si>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</si>
  <si>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</si>
  <si>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</si>
  <si>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</si>
  <si>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</si>
  <si>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</si>
  <si>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</si>
  <si>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</si>
  <si>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</si>
  <si>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</si>
  <si>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</si>
  <si>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</si>
  <si>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</si>
  <si>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</si>
  <si>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</si>
  <si>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</si>
  <si>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</si>
  <si>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</si>
  <si>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</si>
  <si>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</si>
  <si>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</si>
  <si>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</si>
  <si>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</si>
  <si>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</si>
  <si>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</si>
  <si>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</si>
  <si>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</si>
  <si>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</si>
  <si>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</si>
  <si>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</si>
  <si>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</si>
  <si>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</si>
  <si>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</si>
  <si>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</si>
  <si>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</si>
  <si>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</si>
  <si>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</si>
  <si>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</si>
  <si>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</si>
  <si>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</si>
  <si>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</si>
  <si>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</si>
  <si>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</si>
  <si>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</si>
  <si>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</si>
  <si>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</si>
  <si>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</si>
  <si>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</si>
  <si>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</si>
  <si>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</si>
  <si>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</si>
  <si>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</si>
  <si>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</si>
  <si>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</si>
  <si>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</si>
  <si>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</si>
  <si>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</si>
  <si>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</si>
  <si>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</si>
  <si>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</si>
  <si>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</si>
  <si>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</si>
  <si>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</si>
  <si>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</si>
  <si>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</si>
  <si>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</si>
  <si>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</si>
  <si>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</si>
  <si>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</si>
  <si>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</si>
  <si>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</si>
  <si>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</si>
  <si>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</si>
  <si>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</si>
  <si>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</si>
  <si>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</si>
  <si>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</si>
  <si>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</si>
  <si>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</si>
  <si>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</si>
  <si>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</si>
  <si>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</si>
  <si>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</si>
  <si>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</si>
  <si>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</si>
  <si>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</si>
  <si>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</si>
  <si>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</si>
  <si>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</si>
  <si>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</si>
  <si>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</si>
  <si>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</si>
  <si>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</si>
  <si>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</si>
  <si>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</si>
  <si>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</si>
  <si>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</si>
  <si>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</si>
  <si>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</si>
  <si>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</si>
  <si>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</si>
  <si>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</si>
  <si>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</si>
  <si>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</si>
  <si>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</si>
  <si>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</si>
  <si>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</si>
  <si>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</si>
  <si>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</si>
  <si>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</si>
  <si>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</si>
  <si>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</si>
  <si>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</si>
  <si>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</si>
  <si>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</si>
  <si>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</si>
  <si>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</si>
  <si>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</si>
  <si>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</si>
  <si>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</si>
  <si>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</si>
  <si>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</si>
  <si>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</si>
  <si>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</si>
  <si>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</si>
  <si>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</si>
  <si>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</si>
  <si>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</si>
  <si>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</si>
  <si>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</si>
  <si>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</si>
  <si>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</si>
  <si>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</si>
  <si>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</si>
  <si>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</si>
  <si>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</si>
  <si>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</si>
  <si>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</si>
  <si>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</si>
  <si>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</si>
  <si>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</si>
  <si>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</si>
  <si>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</si>
  <si>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</si>
  <si>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</si>
  <si>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</si>
  <si>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</si>
  <si>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</si>
  <si>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</si>
  <si>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</si>
  <si>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</si>
  <si>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</si>
  <si>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</si>
  <si>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</si>
  <si>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</si>
  <si>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</si>
  <si>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</si>
  <si>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</si>
  <si>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</si>
  <si>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</si>
  <si>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</si>
  <si>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</si>
  <si>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</si>
  <si>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</si>
  <si>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</si>
  <si>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</si>
  <si>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</si>
  <si>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</si>
  <si>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</si>
  <si>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</si>
  <si>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</si>
  <si>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</si>
  <si>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</si>
  <si>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</si>
  <si>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</si>
  <si>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</si>
  <si>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</si>
  <si>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</si>
  <si>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</si>
  <si>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</si>
  <si>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</si>
  <si>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</si>
  <si>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</si>
  <si>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</si>
  <si>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</si>
  <si>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</si>
  <si>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</si>
  <si>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</si>
  <si>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</si>
  <si>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</si>
  <si>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</si>
  <si>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</si>
  <si>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</si>
  <si>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</si>
  <si>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</si>
  <si>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</si>
  <si>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</si>
  <si>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</si>
  <si>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</si>
  <si>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</si>
  <si>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</si>
  <si>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</si>
  <si>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</si>
  <si>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</si>
  <si>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</si>
  <si>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</si>
  <si>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</si>
  <si>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</si>
  <si>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</si>
  <si>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</si>
  <si>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</si>
  <si>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</si>
  <si>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</si>
  <si>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</si>
  <si>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</si>
  <si>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</si>
  <si>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</si>
  <si>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</si>
  <si>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</si>
  <si>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</si>
  <si>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</si>
  <si>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</si>
  <si>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</si>
  <si>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</si>
  <si>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</si>
  <si>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</si>
  <si>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</si>
  <si>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</si>
  <si>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</si>
  <si>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</si>
  <si>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</si>
  <si>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</si>
  <si>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</si>
  <si>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</si>
  <si>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</si>
  <si>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</si>
  <si>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</si>
  <si>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</si>
  <si>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</si>
  <si>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</si>
  <si>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01/10</t>
  </si>
  <si>
    <t>8/25</t>
  </si>
  <si>
    <t>Indirect Cost Rate / District Capitalization Threshold correction for financial reporting</t>
  </si>
  <si>
    <t>We are a dependent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</si>
</sst>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3" fontId="15" fillId="41" borderId="39" xfId="0" applyNumberFormat="1" applyFont="1" applyFill="1" applyBorder="1" applyProtection="1">
      <protection locked="0"/>
    </xf>
    <xf numFmtId="40" fontId="6" fillId="0" borderId="3" xfId="0" applyNumberFormat="1" applyFont="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4" zoomScale="125" zoomScaleNormal="125" workbookViewId="0">
      <selection activeCell="G667" sqref="G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932</v>
      </c>
      <c r="B2">
        <f>INDEX('School Tables'!$AH$3:$AH$209,MATCH('DOE25'!A2,'School Tables'!$AJ$3:$AJ$209,0))</f>
        <v>51</v>
      </c>
      <c r="C2">
        <f>INDEX('School Tables'!$AI$3:$AI$209,MATCH('DOE25'!A2,'School Tables'!$AJ$3:$AJ$209,0))</f>
        <v>51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f>356291.96+35659.85</f>
        <v>391951.81</v>
      </c>
      <c r="H9" s="18">
        <v>132685.22</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391951.81</v>
      </c>
      <c r="H19" s="38">
        <f>SUM(H9:H18)</f>
        <v>132685.22</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391951.81</v>
      </c>
      <c r="H48" s="18">
        <v>132685.22</v>
      </c>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391951.81</v>
      </c>
      <c r="H51" s="38">
        <f>SUM(H35:H50)</f>
        <v>132685.22</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391951.81</v>
      </c>
      <c r="H52" s="38">
        <f>H51+H32</f>
        <v>132685.22</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8147399-1446048.18-10845.48</f>
        <v>6690505.3399999999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6690505.3399999999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1462167.23</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44308.86</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7573.32</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1514049.4100000001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228053.23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131077.23000000001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214633.04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214633.04</v>
      </c>
      <c r="G111" s="38">
        <f>SUM(G96:G110)</f>
        <v>228053.23</v>
      </c>
      <c r="H111" s="38">
        <f>SUM(H96:H110)</f>
        <v>131077.23000000001</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8419187.7899999991</v>
      </c>
      <c r="G112" s="38">
        <f>G60+G111</f>
        <v>228053.23</v>
      </c>
      <c r="H112" s="38">
        <f>H60+H79+H94+H111</f>
        <v>131077.23000000001</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10911431.529999999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498819</f>
        <v>498819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0</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11410250.529999999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74759.149999999994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9482.58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74759.149999999994</v>
      </c>
      <c r="G136" s="38">
        <f>SUM(G123:G135)</f>
        <v>9482.58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11485009.68</v>
      </c>
      <c r="G140" s="38">
        <f>G121+SUM(G136:G137)</f>
        <v>9482.58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847187.05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233501.48+93175.15+22899+103327.9</f>
        <v>452903.53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78320.52</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514307.52+63064.93</f>
        <v>577372.45000000007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333495.69+29547.55</f>
        <v>363043.24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237897.82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1682915.43+-463824.08+61442.97+2882.73</f>
        <v>1283417.0499999998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237897.82</v>
      </c>
      <c r="G163" s="38">
        <f>SUM(G150:G162)</f>
        <v>577372.45000000007</v>
      </c>
      <c r="H163" s="38">
        <f>SUM(H150:H162)</f>
        <v>3024871.3899999997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15670.78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253568.6</v>
      </c>
      <c r="G170" s="38">
        <f>G147+G163+SUM(G164:G169)</f>
        <v>577372.45000000007</v>
      </c>
      <c r="H170" s="38">
        <f>H147+H163+SUM(H164:H169)</f>
        <v>3024871.3899999997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20157766.07</v>
      </c>
      <c r="G194" s="38">
        <f>G112+G140+G170+G193</f>
        <v>814908.26</v>
      </c>
      <c r="H194" s="38">
        <f>H112+H140+H170+H193</f>
        <v>3155948.6199999996</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1991411.58+82139.99+5928+5928+5928+5928+5928+1482+5928+2608.32+2608.32</f>
        <v>2115818.21</v>
      </c>
      <c r="G198" s="18">
        <f>957084.22+46915.69+17455.26</f>
        <v>1021455.1699999999</v>
      </c>
      <c r="H198" s="18">
        <f>12560.46+45731.65</f>
        <v>58292.11</v>
      </c>
      <c r="I198" s="18">
        <f>89256.71+7812.23</f>
        <v>97068.94</v>
      </c>
      <c r="J198" s="18">
        <f>43125.5+36241.62+5733.78</f>
        <v>85100.9</v>
      </c>
      <c r="K198" s="18">
        <v>215</v>
      </c>
      <c r="L198" s="13">
        <f>SUM(F198:K198)</f>
        <v>3377950.3299999996</v>
      </c>
      <c r="M198" s="8"/>
      <c r="N198" s="165"/>
    </row>
    <row r="199" spans="1:14" s="3" customFormat="1" ht="12.2" customHeight="1" x14ac:dyDescent="0.15">
      <c r="A199" s="1" t="s">
        <v>439</v>
      </c>
      <c r="B199" s="2" t="s">
        <v>341</v>
      </c>
      <c r="C199" s="2" t="s">
        <v>291</v>
      </c>
      <c r="D199" s="2" t="s">
        <v>431</v>
      </c>
      <c r="E199" s="6">
        <v>1200</v>
      </c>
      <c r="F199" s="18">
        <f>1004126.28+26906.49+13960.8+1790.95+112892.65+1976</f>
        <v>1161653.17</v>
      </c>
      <c r="G199" s="18">
        <f>325925.39+1871.28+137.01+1347.76+47755.81+9762.22+5655.78</f>
        <v>392455.25000000006</v>
      </c>
      <c r="H199" s="18">
        <f>311884.09+5655.78+35855.54+20225.71+1680</f>
        <v>375301.12000000005</v>
      </c>
      <c r="I199" s="18">
        <f>2274.73+398.28+214.19+491.41</f>
        <v>3378.61</v>
      </c>
      <c r="J199" s="18">
        <f>2404</f>
        <v>2404</v>
      </c>
      <c r="K199" s="18"/>
      <c r="L199" s="13">
        <f>SUM(F199:K199)</f>
        <v>1935192.1500000001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12907.08+34712+1712.5+37719.31</f>
        <v>87050.89</v>
      </c>
      <c r="G201" s="18">
        <f>2245.74+6520.64+122.63+20188.35+732.8</f>
        <v>29810.16</v>
      </c>
      <c r="H201" s="18">
        <f>1805</f>
        <v>1805</v>
      </c>
      <c r="I201" s="18">
        <v>1126.83</v>
      </c>
      <c r="J201" s="18"/>
      <c r="K201" s="18">
        <v>840</v>
      </c>
      <c r="L201" s="13">
        <f>SUM(F201:K201)</f>
        <v>120632.88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107894.85+75688.44+97536.78+202935.39+5928</f>
        <v>489983.46</v>
      </c>
      <c r="G203" s="18">
        <f>66806.12+45587.58+40335.39+89414.07+4078.61</f>
        <v>246221.77</v>
      </c>
      <c r="H203" s="18">
        <f>3330+6543.68+97.6+38291.51+294511.68</f>
        <v>342774.47</v>
      </c>
      <c r="I203" s="18">
        <f>1273.95+576.89+2481.78+2493.28</f>
        <v>6825.9000000000015</v>
      </c>
      <c r="J203" s="18"/>
      <c r="K203" s="18">
        <f>1358+198.25</f>
        <v>1556.25</v>
      </c>
      <c r="L203" s="13">
        <f t="shared" ref="L203:L209" si="0">SUM(F203:K203)</f>
        <v>1087361.8499999999</v>
      </c>
      <c r="M203" s="8"/>
      <c r="N203" s="165"/>
    </row>
    <row r="204" spans="1:14" s="3" customFormat="1" ht="12.2" customHeight="1" x14ac:dyDescent="0.15">
      <c r="A204" s="1" t="s">
        <v>443</v>
      </c>
      <c r="B204" s="2" t="s">
        <v>341</v>
      </c>
      <c r="C204" s="2" t="s">
        <v>295</v>
      </c>
      <c r="D204" s="2" t="s">
        <v>431</v>
      </c>
      <c r="E204" s="6">
        <v>2200</v>
      </c>
      <c r="F204" s="18">
        <v>60563</v>
      </c>
      <c r="G204" s="18">
        <f>21703.1+36371.92+509.82</f>
        <v>58584.84</v>
      </c>
      <c r="H204" s="18">
        <f>5213.26+6499.68</f>
        <v>11712.94</v>
      </c>
      <c r="I204" s="18">
        <f>595.09+7360.13</f>
        <v>7955.22</v>
      </c>
      <c r="J204" s="18"/>
      <c r="K204" s="18"/>
      <c r="L204" s="13">
        <f t="shared" si="0"/>
        <v>138816</v>
      </c>
      <c r="M204" s="8"/>
      <c r="N204" s="165"/>
    </row>
    <row r="205" spans="1:14" s="3" customFormat="1" ht="12.2" customHeight="1" x14ac:dyDescent="0.15">
      <c r="A205" s="1" t="s">
        <v>444</v>
      </c>
      <c r="B205" s="2" t="s">
        <v>341</v>
      </c>
      <c r="C205" s="2" t="s">
        <v>296</v>
      </c>
      <c r="D205" s="2" t="s">
        <v>431</v>
      </c>
      <c r="E205" s="6">
        <v>2300</v>
      </c>
      <c r="F205" s="18">
        <f>88380.71+82443.73+2904.72+434.72+2907.72</f>
        <v>177071.6</v>
      </c>
      <c r="G205" s="18">
        <f>31248.42+21122.98+1438.01</f>
        <v>53809.409999999996</v>
      </c>
      <c r="H205" s="18">
        <f>5788.83+28536.44+4383.78</f>
        <v>38709.049999999996</v>
      </c>
      <c r="I205" s="18">
        <f>7516.45+1564.09</f>
        <v>9080.5399999999991</v>
      </c>
      <c r="J205" s="18">
        <f>7725.27+1664.09</f>
        <v>9389.36</v>
      </c>
      <c r="K205" s="18">
        <f>13935.49+2218.95+487.55</f>
        <v>16641.989999999998</v>
      </c>
      <c r="L205" s="13">
        <f t="shared" si="0"/>
        <v>304701.94999999995</v>
      </c>
      <c r="M205" s="8"/>
      <c r="N205" s="165"/>
    </row>
    <row r="206" spans="1:14" s="3" customFormat="1" ht="12.2" customHeight="1" x14ac:dyDescent="0.15">
      <c r="A206" s="1" t="s">
        <v>445</v>
      </c>
      <c r="B206" s="2" t="s">
        <v>341</v>
      </c>
      <c r="C206" s="2" t="s">
        <v>297</v>
      </c>
      <c r="D206" s="2" t="s">
        <v>431</v>
      </c>
      <c r="E206" s="6">
        <v>2400</v>
      </c>
      <c r="F206" s="18">
        <f>275759.76+11856</f>
        <v>287615.76</v>
      </c>
      <c r="G206" s="18">
        <f>94228.1+2321.36</f>
        <v>96549.46</v>
      </c>
      <c r="H206" s="18">
        <v>45073.95</v>
      </c>
      <c r="I206" s="18">
        <v>1972.22</v>
      </c>
      <c r="J206" s="18"/>
      <c r="K206" s="18">
        <v>2501</v>
      </c>
      <c r="L206" s="13">
        <f t="shared" si="0"/>
        <v>433712.39</v>
      </c>
      <c r="M206" s="8"/>
      <c r="N206" s="165"/>
    </row>
    <row r="207" spans="1:14" s="3" customFormat="1" ht="12.2" customHeight="1" x14ac:dyDescent="0.15">
      <c r="A207" s="1" t="s">
        <v>446</v>
      </c>
      <c r="B207" s="2" t="s">
        <v>341</v>
      </c>
      <c r="C207" s="2" t="s">
        <v>298</v>
      </c>
      <c r="D207" s="2" t="s">
        <v>431</v>
      </c>
      <c r="E207" s="6">
        <v>2500</v>
      </c>
      <c r="F207" s="18">
        <f>95036.35+2608.32</f>
        <v>97644.670000000013</v>
      </c>
      <c r="G207" s="18">
        <f>30399.25+800.02</f>
        <v>31199.27</v>
      </c>
      <c r="H207" s="18">
        <v>1794.2</v>
      </c>
      <c r="I207" s="18"/>
      <c r="J207" s="18"/>
      <c r="K207" s="18">
        <v>176</v>
      </c>
      <c r="L207" s="13">
        <f t="shared" si="0"/>
        <v>130814.14000000001</v>
      </c>
      <c r="M207" s="8"/>
      <c r="N207" s="165"/>
    </row>
    <row r="208" spans="1:14" s="3" customFormat="1" ht="12.2" customHeight="1" x14ac:dyDescent="0.15">
      <c r="A208" s="1" t="s">
        <v>447</v>
      </c>
      <c r="B208" s="2" t="s">
        <v>341</v>
      </c>
      <c r="C208" s="2" t="s">
        <v>299</v>
      </c>
      <c r="D208" s="2" t="s">
        <v>431</v>
      </c>
      <c r="E208" s="6">
        <v>2600</v>
      </c>
      <c r="F208" s="18">
        <f>131279.27+91631.17+3458</f>
        <v>226368.44</v>
      </c>
      <c r="G208" s="18">
        <f>72150.48+46616.24+1884.95</f>
        <v>120651.67</v>
      </c>
      <c r="H208" s="18">
        <f>18493.29+122689.53+14802.5</f>
        <v>155985.32</v>
      </c>
      <c r="I208" s="18">
        <f>231825.4+70522.84</f>
        <v>302348.24</v>
      </c>
      <c r="J208" s="18">
        <v>9451.67</v>
      </c>
      <c r="K208" s="18">
        <v>70.400000000000006</v>
      </c>
      <c r="L208" s="13">
        <f t="shared" si="0"/>
        <v>814875.74</v>
      </c>
      <c r="M208" s="8"/>
      <c r="N208" s="165"/>
    </row>
    <row r="209" spans="1:14" s="3" customFormat="1" ht="12.2" customHeight="1" x14ac:dyDescent="0.15">
      <c r="A209" s="1" t="s">
        <v>448</v>
      </c>
      <c r="B209" s="2" t="s">
        <v>341</v>
      </c>
      <c r="C209" s="2" t="s">
        <v>300</v>
      </c>
      <c r="D209" s="2" t="s">
        <v>431</v>
      </c>
      <c r="E209" s="6">
        <v>2700</v>
      </c>
      <c r="F209" s="18">
        <f>27.51+1385.21+697.41+117769.52+2725.61</f>
        <v>122605.26000000001</v>
      </c>
      <c r="G209" s="18">
        <f>2.11+105.87+53.29+27569.75+208.24+1032.1</f>
        <v>28971.360000000001</v>
      </c>
      <c r="H209" s="18">
        <f>36912.35</f>
        <v>36912.35</v>
      </c>
      <c r="I209" s="18">
        <f>48544.83</f>
        <v>48544.83</v>
      </c>
      <c r="J209" s="18">
        <v>2344.65</v>
      </c>
      <c r="K209" s="18">
        <v>264.55</v>
      </c>
      <c r="L209" s="13">
        <f t="shared" si="0"/>
        <v>239642.99999999997</v>
      </c>
      <c r="M209" s="8"/>
      <c r="N209" s="165"/>
    </row>
    <row r="210" spans="1:14" s="3" customFormat="1" ht="12.2" customHeight="1" x14ac:dyDescent="0.15">
      <c r="A210" s="1" t="s">
        <v>449</v>
      </c>
      <c r="B210" s="2" t="s">
        <v>341</v>
      </c>
      <c r="C210" s="2" t="s">
        <v>343</v>
      </c>
      <c r="D210" s="2" t="s">
        <v>431</v>
      </c>
      <c r="E210" s="6">
        <v>2800</v>
      </c>
      <c r="F210" s="18">
        <v>850.5</v>
      </c>
      <c r="G210" s="18">
        <f>65.07+7.16</f>
        <v>72.22999999999999</v>
      </c>
      <c r="H210" s="18"/>
      <c r="I210" s="18"/>
      <c r="J210" s="18"/>
      <c r="K210" s="18"/>
      <c r="L210" s="13">
        <f>SUM(F210:K210)</f>
        <v>922.73</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4827224.96</v>
      </c>
      <c r="G212" s="38">
        <f t="shared" si="1"/>
        <v>2079780.5899999999</v>
      </c>
      <c r="H212" s="38">
        <f t="shared" si="1"/>
        <v>1068360.51</v>
      </c>
      <c r="I212" s="38">
        <f t="shared" si="1"/>
        <v>478301.33</v>
      </c>
      <c r="J212" s="38">
        <f t="shared" si="1"/>
        <v>108690.57999999999</v>
      </c>
      <c r="K212" s="38">
        <f t="shared" si="1"/>
        <v>22265.19</v>
      </c>
      <c r="L212" s="38">
        <f t="shared" si="1"/>
        <v>8584623.1599999983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1100037.83+41070+11856+1304.16+1304.16</f>
        <v>1155572.1499999999</v>
      </c>
      <c r="G216" s="18">
        <f>611656.28+23457.85+9605.9</f>
        <v>644720.03</v>
      </c>
      <c r="H216" s="18">
        <f>37752.2+22865.83</f>
        <v>60618.03</v>
      </c>
      <c r="I216" s="18">
        <f>21302.17+3906.11</f>
        <v>25208.28</v>
      </c>
      <c r="J216" s="18">
        <f>18457.61+18120.81+2828</f>
        <v>39406.42</v>
      </c>
      <c r="K216" s="18">
        <v>873.2</v>
      </c>
      <c r="L216" s="13">
        <f>SUM(F216:K216)</f>
        <v>1926398.1099999999</v>
      </c>
      <c r="M216" s="8"/>
      <c r="N216" s="165"/>
    </row>
    <row r="217" spans="1:14" s="3" customFormat="1" ht="12.2" customHeight="1" x14ac:dyDescent="0.15">
      <c r="A217" s="1" t="s">
        <v>439</v>
      </c>
      <c r="B217" s="2" t="s">
        <v>346</v>
      </c>
      <c r="C217" s="2" t="s">
        <v>291</v>
      </c>
      <c r="D217" s="2" t="s">
        <v>431</v>
      </c>
      <c r="E217" s="6">
        <v>1200</v>
      </c>
      <c r="F217" s="18">
        <f>435178.49+81908.01+4071.9+767.55</f>
        <v>521925.95</v>
      </c>
      <c r="G217" s="18">
        <f>192124.23+51025.49+58.72+393.1+4393.6</f>
        <v>247995.14</v>
      </c>
      <c r="H217" s="18">
        <f>294185.93+15366.66+62.48</f>
        <v>309615.06999999995</v>
      </c>
      <c r="I217" s="18">
        <f>102+1248.98</f>
        <v>1350.98</v>
      </c>
      <c r="J217" s="18">
        <f>954</f>
        <v>954</v>
      </c>
      <c r="K217" s="18"/>
      <c r="L217" s="13">
        <f>SUM(F217:K217)</f>
        <v>1081841.1400000001</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16852.3+38421+4661.94</f>
        <v>59935.240000000005</v>
      </c>
      <c r="G219" s="18">
        <f>4181.62+8046.05+2495.19+504.54</f>
        <v>15227.400000000001</v>
      </c>
      <c r="H219" s="18"/>
      <c r="I219" s="18">
        <v>2651.64</v>
      </c>
      <c r="J219" s="18">
        <v>3953</v>
      </c>
      <c r="K219" s="18">
        <f>1100+475</f>
        <v>1575</v>
      </c>
      <c r="L219" s="13">
        <f>SUM(F219:K219)</f>
        <v>83342.280000000013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59044.19+49448+33578.24+91955.1</f>
        <v>234025.53</v>
      </c>
      <c r="G221" s="18">
        <f>34978.94+24307.32+13885.96+40515.76+2216.47</f>
        <v>115904.45000000001</v>
      </c>
      <c r="H221" s="18">
        <f>1665+3271.84+33.6+17350.85+36400.32+29069.25</f>
        <v>87790.86</v>
      </c>
      <c r="I221" s="18">
        <f>807.71+3000+854.39+1129.76</f>
        <v>5791.8600000000006</v>
      </c>
      <c r="J221" s="18">
        <f>699.15+100</f>
        <v>799.15</v>
      </c>
      <c r="K221" s="18">
        <f>129+68.25</f>
        <v>197.25</v>
      </c>
      <c r="L221" s="13">
        <f t="shared" ref="L221:L227" si="2">SUM(F221:K221)</f>
        <v>444509.1</v>
      </c>
      <c r="M221" s="8"/>
      <c r="N221" s="165"/>
    </row>
    <row r="222" spans="1:14" s="3" customFormat="1" ht="12.2" customHeight="1" x14ac:dyDescent="0.15">
      <c r="A222" s="1" t="s">
        <v>443</v>
      </c>
      <c r="B222" s="2" t="s">
        <v>346</v>
      </c>
      <c r="C222" s="2" t="s">
        <v>295</v>
      </c>
      <c r="D222" s="2" t="s">
        <v>431</v>
      </c>
      <c r="E222" s="6">
        <v>2200</v>
      </c>
      <c r="F222" s="18"/>
      <c r="G222" s="18">
        <v>7413.8</v>
      </c>
      <c r="H222" s="18">
        <f>630+3249.84</f>
        <v>3879.84</v>
      </c>
      <c r="I222" s="18">
        <f>306.07+7670.06</f>
        <v>7976.13</v>
      </c>
      <c r="J222" s="18"/>
      <c r="K222" s="18"/>
      <c r="L222" s="13">
        <f t="shared" si="2"/>
        <v>19269.77</v>
      </c>
      <c r="M222" s="8"/>
      <c r="N222" s="165"/>
    </row>
    <row r="223" spans="1:14" s="3" customFormat="1" ht="12.2" customHeight="1" x14ac:dyDescent="0.15">
      <c r="A223" s="1" t="s">
        <v>444</v>
      </c>
      <c r="B223" s="2" t="s">
        <v>346</v>
      </c>
      <c r="C223" s="2" t="s">
        <v>296</v>
      </c>
      <c r="D223" s="2" t="s">
        <v>431</v>
      </c>
      <c r="E223" s="6">
        <v>2300</v>
      </c>
      <c r="F223" s="18">
        <f>44190.35+35333.03+1244.88+217.36+1244.88</f>
        <v>82230.500000000015</v>
      </c>
      <c r="G223" s="18">
        <f>15624.21+9052.7+669.43+2216.47+669.43</f>
        <v>28232.240000000002</v>
      </c>
      <c r="H223" s="18">
        <f>2894.41+14268.22+1878.76</f>
        <v>19041.389999999996</v>
      </c>
      <c r="I223" s="18">
        <f>3758.22+456.19</f>
        <v>4214.41</v>
      </c>
      <c r="J223" s="18">
        <f>3862.64+713.19</f>
        <v>4575.83</v>
      </c>
      <c r="K223" s="18">
        <f>6967.74+1109.47+208.95</f>
        <v>8286.16</v>
      </c>
      <c r="L223" s="13">
        <f t="shared" si="2"/>
        <v>146580.53</v>
      </c>
      <c r="M223" s="8"/>
      <c r="N223" s="165"/>
    </row>
    <row r="224" spans="1:14" s="3" customFormat="1" ht="12.2" customHeight="1" x14ac:dyDescent="0.15">
      <c r="A224" s="1" t="s">
        <v>445</v>
      </c>
      <c r="B224" s="2" t="s">
        <v>346</v>
      </c>
      <c r="C224" s="2" t="s">
        <v>297</v>
      </c>
      <c r="D224" s="2" t="s">
        <v>431</v>
      </c>
      <c r="E224" s="6">
        <v>2400</v>
      </c>
      <c r="F224" s="18">
        <f>191543.42</f>
        <v>191543.42</v>
      </c>
      <c r="G224" s="18">
        <f>87660.93+1612.42</f>
        <v>89273.349999999991</v>
      </c>
      <c r="H224" s="18">
        <v>8708.7099999999991</v>
      </c>
      <c r="I224" s="18">
        <v>2994.48</v>
      </c>
      <c r="J224" s="18">
        <v>987.71</v>
      </c>
      <c r="K224" s="18">
        <v>1700</v>
      </c>
      <c r="L224" s="13">
        <f t="shared" si="2"/>
        <v>295207.67000000004</v>
      </c>
      <c r="M224" s="8"/>
      <c r="N224" s="165"/>
    </row>
    <row r="225" spans="1:14" s="3" customFormat="1" ht="12.2" customHeight="1" x14ac:dyDescent="0.15">
      <c r="A225" s="1" t="s">
        <v>446</v>
      </c>
      <c r="B225" s="2" t="s">
        <v>346</v>
      </c>
      <c r="C225" s="2" t="s">
        <v>298</v>
      </c>
      <c r="D225" s="2" t="s">
        <v>431</v>
      </c>
      <c r="E225" s="6">
        <v>2500</v>
      </c>
      <c r="F225" s="18">
        <f>47518.17+1304.16</f>
        <v>48822.33</v>
      </c>
      <c r="G225" s="18">
        <f>15199.63+400.01</f>
        <v>15599.64</v>
      </c>
      <c r="H225" s="18">
        <v>897.11</v>
      </c>
      <c r="I225" s="18"/>
      <c r="J225" s="18"/>
      <c r="K225" s="18">
        <v>88</v>
      </c>
      <c r="L225" s="13">
        <f t="shared" si="2"/>
        <v>65407.08</v>
      </c>
      <c r="M225" s="8"/>
      <c r="N225" s="165"/>
    </row>
    <row r="226" spans="1:14" s="3" customFormat="1" ht="12.2" customHeight="1" x14ac:dyDescent="0.15">
      <c r="A226" s="1" t="s">
        <v>447</v>
      </c>
      <c r="B226" s="2" t="s">
        <v>346</v>
      </c>
      <c r="C226" s="2" t="s">
        <v>299</v>
      </c>
      <c r="D226" s="2" t="s">
        <v>431</v>
      </c>
      <c r="E226" s="6">
        <v>2600</v>
      </c>
      <c r="F226" s="18">
        <f>67206.99+45815.58</f>
        <v>113022.57</v>
      </c>
      <c r="G226" s="18">
        <f>43891.95+23308.12+951.43</f>
        <v>68151.499999999985</v>
      </c>
      <c r="H226" s="18">
        <f>6823+61344.76</f>
        <v>68167.760000000009</v>
      </c>
      <c r="I226" s="18">
        <v>35261.42</v>
      </c>
      <c r="J226" s="18">
        <v>4725.84</v>
      </c>
      <c r="K226" s="18">
        <v>31.9</v>
      </c>
      <c r="L226" s="13">
        <f t="shared" si="2"/>
        <v>289360.99000000005</v>
      </c>
      <c r="M226" s="8"/>
      <c r="N226" s="165"/>
    </row>
    <row r="227" spans="1:14" s="3" customFormat="1" ht="12.2" customHeight="1" x14ac:dyDescent="0.15">
      <c r="A227" s="1" t="s">
        <v>448</v>
      </c>
      <c r="B227" s="2" t="s">
        <v>346</v>
      </c>
      <c r="C227" s="2" t="s">
        <v>300</v>
      </c>
      <c r="D227" s="2" t="s">
        <v>431</v>
      </c>
      <c r="E227" s="6">
        <v>2700</v>
      </c>
      <c r="F227" s="18">
        <f>27.51+792.9+362.77+38048.61+336.87</f>
        <v>39568.660000000003</v>
      </c>
      <c r="G227" s="18">
        <f>2.11+60.64+27.72+8907.15+25.74+333.08</f>
        <v>9356.4399999999987</v>
      </c>
      <c r="H227" s="18">
        <v>11925.53</v>
      </c>
      <c r="I227" s="18">
        <v>15683.71</v>
      </c>
      <c r="J227" s="18">
        <v>757.5</v>
      </c>
      <c r="K227" s="18">
        <v>85.47</v>
      </c>
      <c r="L227" s="13">
        <f t="shared" si="2"/>
        <v>77377.31</v>
      </c>
      <c r="M227" s="8"/>
      <c r="N227" s="165"/>
    </row>
    <row r="228" spans="1:14" s="3" customFormat="1" ht="12.2" customHeight="1" x14ac:dyDescent="0.15">
      <c r="A228" s="1" t="s">
        <v>449</v>
      </c>
      <c r="B228" s="2" t="s">
        <v>346</v>
      </c>
      <c r="C228" s="2" t="s">
        <v>343</v>
      </c>
      <c r="D228" s="2" t="s">
        <v>431</v>
      </c>
      <c r="E228" s="6">
        <v>2800</v>
      </c>
      <c r="F228" s="18">
        <v>425.25</v>
      </c>
      <c r="G228" s="18">
        <f>32.53+3.58</f>
        <v>36.11</v>
      </c>
      <c r="H228" s="18"/>
      <c r="I228" s="18"/>
      <c r="J228" s="18"/>
      <c r="K228" s="18"/>
      <c r="L228" s="13">
        <f>SUM(F228:K228)</f>
        <v>461.36</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2447071.6</v>
      </c>
      <c r="G230" s="38">
        <f>SUM(G216:G229)</f>
        <v>1241910.1000000001</v>
      </c>
      <c r="H230" s="38">
        <f>SUM(H216:H229)</f>
        <v>570644.30000000005</v>
      </c>
      <c r="I230" s="38">
        <f>SUM(I216:I229)</f>
        <v>101132.90999999997</v>
      </c>
      <c r="J230" s="38">
        <f>SUM(J216:J229)</f>
        <v>56159.45</v>
      </c>
      <c r="K230" s="38">
        <f t="shared" si="3"/>
        <v>12836.98</v>
      </c>
      <c r="L230" s="38">
        <f t="shared" si="3"/>
        <v>4429755.34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1763211.74+63471.81+24700+2015.52+2015.52</f>
        <v>1855414.59</v>
      </c>
      <c r="G234" s="18">
        <f>876883.33+36253.03+15377.11</f>
        <v>928513.47</v>
      </c>
      <c r="H234" s="18">
        <f>22818.49+35338.09</f>
        <v>58156.58</v>
      </c>
      <c r="I234" s="18">
        <f>50542.04+6036.72</f>
        <v>56578.76</v>
      </c>
      <c r="J234" s="18">
        <f>32146.81+28004.89+4705</f>
        <v>64856.7</v>
      </c>
      <c r="K234" s="18">
        <v>300</v>
      </c>
      <c r="L234" s="13">
        <f>SUM(F234:K234)</f>
        <v>2963820.1</v>
      </c>
      <c r="M234" s="8"/>
      <c r="N234" s="165"/>
    </row>
    <row r="235" spans="1:14" s="3" customFormat="1" ht="12.2" customHeight="1" x14ac:dyDescent="0.15">
      <c r="A235" s="1" t="s">
        <v>439</v>
      </c>
      <c r="B235" s="2" t="s">
        <v>350</v>
      </c>
      <c r="C235" s="2" t="s">
        <v>291</v>
      </c>
      <c r="D235" s="2" t="s">
        <v>431</v>
      </c>
      <c r="E235" s="6">
        <v>1200</v>
      </c>
      <c r="F235" s="18">
        <f>243345.04+1357.3+1096.5+11362</f>
        <v>257160.84</v>
      </c>
      <c r="G235" s="18">
        <f>97475.81+83.88+131.03+2069.15</f>
        <v>99759.87</v>
      </c>
      <c r="H235" s="18">
        <f>552338.17+43175+21952.37</f>
        <v>617465.54</v>
      </c>
      <c r="I235" s="18">
        <f>1243.26+20.83</f>
        <v>1264.0899999999999</v>
      </c>
      <c r="J235" s="18"/>
      <c r="K235" s="18"/>
      <c r="L235" s="13">
        <f>SUM(F235:K235)</f>
        <v>975650.34</v>
      </c>
      <c r="M235" s="8"/>
      <c r="N235" s="165"/>
    </row>
    <row r="236" spans="1:14" s="3" customFormat="1" ht="12.2" customHeight="1" x14ac:dyDescent="0.15">
      <c r="A236" s="1" t="s">
        <v>440</v>
      </c>
      <c r="B236" s="2" t="s">
        <v>350</v>
      </c>
      <c r="C236" s="2" t="s">
        <v>292</v>
      </c>
      <c r="D236" s="2" t="s">
        <v>431</v>
      </c>
      <c r="E236" s="6">
        <v>1300</v>
      </c>
      <c r="F236" s="18">
        <v>491531.65</v>
      </c>
      <c r="G236" s="18">
        <f>250308.58+4137.74</f>
        <v>254446.31999999998</v>
      </c>
      <c r="H236" s="18">
        <v>1664.39</v>
      </c>
      <c r="I236" s="18">
        <v>40381.49</v>
      </c>
      <c r="J236" s="18">
        <v>738.93</v>
      </c>
      <c r="K236" s="18"/>
      <c r="L236" s="13">
        <f>SUM(F236:K236)</f>
        <v>788762.78</v>
      </c>
      <c r="M236" s="8"/>
      <c r="N236" s="165"/>
    </row>
    <row r="237" spans="1:14" s="3" customFormat="1" ht="12.2" customHeight="1" x14ac:dyDescent="0.15">
      <c r="A237" s="1" t="s">
        <v>441</v>
      </c>
      <c r="B237" s="2" t="s">
        <v>350</v>
      </c>
      <c r="C237" s="2" t="s">
        <v>293</v>
      </c>
      <c r="D237" s="2" t="s">
        <v>431</v>
      </c>
      <c r="E237" s="6">
        <v>1400</v>
      </c>
      <c r="F237" s="18">
        <f>17204+103027.31</f>
        <v>120231.31</v>
      </c>
      <c r="G237" s="18">
        <f>4282.71+19702.4+1012.11</f>
        <v>24997.22</v>
      </c>
      <c r="H237" s="18">
        <v>78059.47</v>
      </c>
      <c r="I237" s="18">
        <f>1154.96+22529.01</f>
        <v>23683.969999999998</v>
      </c>
      <c r="J237" s="18">
        <v>7907.91</v>
      </c>
      <c r="K237" s="18">
        <f>500+12727</f>
        <v>13227</v>
      </c>
      <c r="L237" s="13">
        <f>SUM(F237:K237)</f>
        <v>268106.88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217710.21+50667+28781.34+22196.06+5928</f>
        <v>325282.61</v>
      </c>
      <c r="G239" s="18">
        <f>88418.7+40472.36+11902.25+9779.67+2688.76</f>
        <v>153261.74000000002</v>
      </c>
      <c r="H239" s="18">
        <f>3532.63+1665+5056.48+28.8+4188.14</f>
        <v>14471.05</v>
      </c>
      <c r="I239" s="18">
        <f>6267.02+2482.84+732.33+272.7</f>
        <v>9754.8900000000012</v>
      </c>
      <c r="J239" s="18">
        <v>1746.64</v>
      </c>
      <c r="K239" s="18">
        <f>393+58.5</f>
        <v>451.5</v>
      </c>
      <c r="L239" s="13">
        <f t="shared" ref="L239:L245" si="4">SUM(F239:K239)</f>
        <v>504968.43</v>
      </c>
      <c r="M239" s="8"/>
      <c r="N239" s="165"/>
    </row>
    <row r="240" spans="1:14" s="3" customFormat="1" ht="12.2" customHeight="1" x14ac:dyDescent="0.15">
      <c r="A240" s="1" t="s">
        <v>443</v>
      </c>
      <c r="B240" s="2" t="s">
        <v>350</v>
      </c>
      <c r="C240" s="2" t="s">
        <v>295</v>
      </c>
      <c r="D240" s="2" t="s">
        <v>431</v>
      </c>
      <c r="E240" s="6">
        <v>2200</v>
      </c>
      <c r="F240" s="18">
        <v>64290</v>
      </c>
      <c r="G240" s="18">
        <f>23193.6+28587.33+541.2</f>
        <v>52322.13</v>
      </c>
      <c r="H240" s="18">
        <f>1100+4896.12+5022.48</f>
        <v>11018.599999999999</v>
      </c>
      <c r="I240" s="18">
        <f>2871.44+5463.08</f>
        <v>8334.52</v>
      </c>
      <c r="J240" s="18"/>
      <c r="K240" s="18"/>
      <c r="L240" s="13">
        <f t="shared" si="4"/>
        <v>135965.25</v>
      </c>
      <c r="M240" s="8"/>
      <c r="N240" s="165"/>
    </row>
    <row r="241" spans="1:14" s="3" customFormat="1" ht="12.2" customHeight="1" x14ac:dyDescent="0.15">
      <c r="A241" s="1" t="s">
        <v>444</v>
      </c>
      <c r="B241" s="2" t="s">
        <v>350</v>
      </c>
      <c r="C241" s="2" t="s">
        <v>296</v>
      </c>
      <c r="D241" s="2" t="s">
        <v>431</v>
      </c>
      <c r="E241" s="6">
        <v>2300</v>
      </c>
      <c r="F241" s="18">
        <f>83313.38+68294.18+50475.75+1778.4+335.92+1778.4</f>
        <v>205976.03</v>
      </c>
      <c r="G241" s="18">
        <f>32896.98+24146.5+12932.43+1701.15</f>
        <v>71677.06</v>
      </c>
      <c r="H241" s="18">
        <f>3843.7+4473.18+22050.89+2683.94</f>
        <v>33051.71</v>
      </c>
      <c r="I241" s="18">
        <f>5808.17+152.06</f>
        <v>5960.2300000000005</v>
      </c>
      <c r="J241" s="18">
        <f>5969.53+1018.84</f>
        <v>6988.37</v>
      </c>
      <c r="K241" s="18">
        <f>10768.33+1500+1714.64+298.5</f>
        <v>14281.47</v>
      </c>
      <c r="L241" s="13">
        <f t="shared" si="4"/>
        <v>337934.86999999994</v>
      </c>
      <c r="M241" s="8"/>
      <c r="N241" s="165"/>
    </row>
    <row r="242" spans="1:14" s="3" customFormat="1" ht="12.2" customHeight="1" x14ac:dyDescent="0.15">
      <c r="A242" s="1" t="s">
        <v>445</v>
      </c>
      <c r="B242" s="2" t="s">
        <v>350</v>
      </c>
      <c r="C242" s="2" t="s">
        <v>297</v>
      </c>
      <c r="D242" s="2" t="s">
        <v>431</v>
      </c>
      <c r="E242" s="6">
        <v>2400</v>
      </c>
      <c r="F242" s="18">
        <f>182803.06+5928</f>
        <v>188731.06</v>
      </c>
      <c r="G242" s="18">
        <f>79710.08+1538.85</f>
        <v>81248.930000000008</v>
      </c>
      <c r="H242" s="18">
        <v>21126.61</v>
      </c>
      <c r="I242" s="18">
        <v>6448.21</v>
      </c>
      <c r="J242" s="18">
        <v>935</v>
      </c>
      <c r="K242" s="18">
        <v>13154.12</v>
      </c>
      <c r="L242" s="13">
        <f t="shared" si="4"/>
        <v>311643.93</v>
      </c>
      <c r="M242" s="8"/>
      <c r="N242" s="165"/>
    </row>
    <row r="243" spans="1:14" s="3" customFormat="1" ht="12.2" customHeight="1" x14ac:dyDescent="0.15">
      <c r="A243" s="1" t="s">
        <v>446</v>
      </c>
      <c r="B243" s="2" t="s">
        <v>350</v>
      </c>
      <c r="C243" s="2" t="s">
        <v>298</v>
      </c>
      <c r="D243" s="2" t="s">
        <v>431</v>
      </c>
      <c r="E243" s="6">
        <v>2500</v>
      </c>
      <c r="F243" s="18">
        <f>73437.18+2015.52</f>
        <v>75452.7</v>
      </c>
      <c r="G243" s="18">
        <f>23490.33+618.2</f>
        <v>24108.530000000002</v>
      </c>
      <c r="H243" s="18">
        <v>1386.44</v>
      </c>
      <c r="I243" s="18"/>
      <c r="J243" s="18"/>
      <c r="K243" s="18">
        <v>136</v>
      </c>
      <c r="L243" s="13">
        <f t="shared" si="4"/>
        <v>101083.67</v>
      </c>
      <c r="M243" s="8"/>
      <c r="N243" s="165"/>
    </row>
    <row r="244" spans="1:14" s="3" customFormat="1" ht="12.2" customHeight="1" x14ac:dyDescent="0.15">
      <c r="A244" s="1" t="s">
        <v>447</v>
      </c>
      <c r="B244" s="2" t="s">
        <v>350</v>
      </c>
      <c r="C244" s="2" t="s">
        <v>299</v>
      </c>
      <c r="D244" s="2" t="s">
        <v>431</v>
      </c>
      <c r="E244" s="6">
        <v>2600</v>
      </c>
      <c r="F244" s="18">
        <f>82384.2+70805.9</f>
        <v>153190.09999999998</v>
      </c>
      <c r="G244" s="18">
        <f>47628.51+36021.64+1289.56</f>
        <v>84939.709999999992</v>
      </c>
      <c r="H244" s="18">
        <f>18083.69+94805.55+2000</f>
        <v>114889.24</v>
      </c>
      <c r="I244" s="18">
        <f>249050.71+54494.92</f>
        <v>303545.63</v>
      </c>
      <c r="J244" s="18">
        <v>7303.56</v>
      </c>
      <c r="K244" s="18">
        <v>7.7</v>
      </c>
      <c r="L244" s="13">
        <f t="shared" si="4"/>
        <v>663875.93999999994</v>
      </c>
      <c r="M244" s="8"/>
      <c r="N244" s="165"/>
    </row>
    <row r="245" spans="1:14" s="3" customFormat="1" ht="12.2" customHeight="1" x14ac:dyDescent="0.15">
      <c r="A245" s="1" t="s">
        <v>448</v>
      </c>
      <c r="B245" s="2" t="s">
        <v>350</v>
      </c>
      <c r="C245" s="2" t="s">
        <v>300</v>
      </c>
      <c r="D245" s="2" t="s">
        <v>431</v>
      </c>
      <c r="E245" s="6">
        <v>2700</v>
      </c>
      <c r="F245" s="18">
        <f>8571.04+3380.25+25365.74</f>
        <v>37317.03</v>
      </c>
      <c r="G245" s="18">
        <f>655.42+258.46+5938.1+314.14</f>
        <v>7166.1200000000008</v>
      </c>
      <c r="H245" s="18">
        <v>7950.35</v>
      </c>
      <c r="I245" s="18">
        <v>10455.81</v>
      </c>
      <c r="J245" s="18">
        <v>505</v>
      </c>
      <c r="K245" s="18">
        <v>56.98</v>
      </c>
      <c r="L245" s="13">
        <f t="shared" si="4"/>
        <v>63451.29</v>
      </c>
      <c r="M245" s="8"/>
      <c r="N245" s="165"/>
    </row>
    <row r="246" spans="1:14" s="3" customFormat="1" ht="12.2" customHeight="1" x14ac:dyDescent="0.15">
      <c r="A246" s="1" t="s">
        <v>449</v>
      </c>
      <c r="B246" s="2" t="s">
        <v>350</v>
      </c>
      <c r="C246" s="2" t="s">
        <v>343</v>
      </c>
      <c r="D246" s="2" t="s">
        <v>431</v>
      </c>
      <c r="E246" s="6">
        <v>2800</v>
      </c>
      <c r="F246" s="18">
        <v>657.2</v>
      </c>
      <c r="G246" s="18">
        <f>50.28+5.53</f>
        <v>55.81</v>
      </c>
      <c r="H246" s="18"/>
      <c r="I246" s="18"/>
      <c r="J246" s="18"/>
      <c r="K246" s="18"/>
      <c r="L246" s="13">
        <f>SUM(F246:K246)</f>
        <v>713.01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3775235.12</v>
      </c>
      <c r="G248" s="38">
        <f t="shared" si="5"/>
        <v>1782496.91</v>
      </c>
      <c r="H248" s="38">
        <f t="shared" si="5"/>
        <v>959239.97999999986</v>
      </c>
      <c r="I248" s="38">
        <f t="shared" si="5"/>
        <v>466407.60000000003</v>
      </c>
      <c r="J248" s="38">
        <f t="shared" si="5"/>
        <v>90982.109999999986</v>
      </c>
      <c r="K248" s="38">
        <f t="shared" si="5"/>
        <v>41614.770000000004</v>
      </c>
      <c r="L248" s="38">
        <f t="shared" si="5"/>
        <v>7115976.4899999993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11049531.68</v>
      </c>
      <c r="G258" s="38">
        <f t="shared" si="8"/>
        <v>5104187.5999999996</v>
      </c>
      <c r="H258" s="38">
        <f t="shared" si="8"/>
        <v>2598244.79</v>
      </c>
      <c r="I258" s="38">
        <f t="shared" si="8"/>
        <v>1045841.8400000001</v>
      </c>
      <c r="J258" s="38">
        <f t="shared" si="8"/>
        <v>255832.13999999996</v>
      </c>
      <c r="K258" s="38">
        <f t="shared" si="8"/>
        <v>76716.94</v>
      </c>
      <c r="L258" s="38">
        <f t="shared" si="8"/>
        <v>20130354.989999998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24900</v>
      </c>
      <c r="L261" s="13">
        <f>SUM(F261:K261)</f>
        <v>24900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2511.08</v>
      </c>
      <c r="L262" s="13">
        <f>SUM(F262:K262)</f>
        <v>2511.08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27411.08</v>
      </c>
      <c r="L271" s="38">
        <f t="shared" si="9"/>
        <v>27411.08</v>
      </c>
      <c r="M271" s="8"/>
      <c r="N271" s="165"/>
    </row>
    <row r="272" spans="1:14" s="33" customFormat="1" ht="12.2" customHeight="1" thickTop="1" x14ac:dyDescent="0.2">
      <c r="A272" s="40" t="s">
        <v>464</v>
      </c>
      <c r="B272" s="37">
        <v>10</v>
      </c>
      <c r="C272" s="37">
        <v>18</v>
      </c>
      <c r="D272" s="36" t="s">
        <v>431</v>
      </c>
      <c r="E272" s="37"/>
      <c r="F272" s="39">
        <f t="shared" ref="F272:L272" si="11">F258+F271</f>
        <v>11049531.68</v>
      </c>
      <c r="G272" s="39">
        <f t="shared" si="11"/>
        <v>5104187.5999999996</v>
      </c>
      <c r="H272" s="39">
        <f t="shared" si="11"/>
        <v>2598244.79</v>
      </c>
      <c r="I272" s="39">
        <f t="shared" si="11"/>
        <v>1045841.8400000001</v>
      </c>
      <c r="J272" s="39">
        <f t="shared" si="11"/>
        <v>255832.13999999996</v>
      </c>
      <c r="K272" s="39">
        <f t="shared" si="11"/>
        <v>104128.02</v>
      </c>
      <c r="L272" s="39">
        <f t="shared" si="11"/>
        <v>20157766.069999997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42540.57+43474</f>
        <v>86014.57</v>
      </c>
      <c r="G277" s="18">
        <f>14788.23+20805.53</f>
        <v>35593.759999999995</v>
      </c>
      <c r="H277" s="18">
        <f>9315.31+28824.4+11912</f>
        <v>50051.71</v>
      </c>
      <c r="I277" s="18">
        <f>16293.3+7265.77+1699.2</f>
        <v>25258.27</v>
      </c>
      <c r="J277" s="18">
        <v>10075.56</v>
      </c>
      <c r="K277" s="18"/>
      <c r="L277" s="13">
        <f>SUM(F277:K277)</f>
        <v>206993.87</v>
      </c>
      <c r="M277" s="8"/>
      <c r="N277" s="165"/>
    </row>
    <row r="278" spans="1:14" s="3" customFormat="1" ht="12.2" customHeight="1" x14ac:dyDescent="0.15">
      <c r="A278" s="1" t="s">
        <v>439</v>
      </c>
      <c r="B278" s="2" t="s">
        <v>357</v>
      </c>
      <c r="C278" s="2" t="s">
        <v>291</v>
      </c>
      <c r="D278" s="2" t="s">
        <v>431</v>
      </c>
      <c r="E278" s="6">
        <v>1200</v>
      </c>
      <c r="F278" s="18">
        <f>157064.55+554631.75</f>
        <v>711696.3</v>
      </c>
      <c r="G278" s="18">
        <f>44498.52+214724.2</f>
        <v>259222.72</v>
      </c>
      <c r="H278" s="18">
        <f>15948+21124</f>
        <v>37072</v>
      </c>
      <c r="I278" s="18">
        <f>233.26+1597.98+34616.23</f>
        <v>36447.47</v>
      </c>
      <c r="J278" s="18">
        <f>2375.28+301.87</f>
        <v>2677.15</v>
      </c>
      <c r="K278" s="18">
        <v>7519</v>
      </c>
      <c r="L278" s="13">
        <f>SUM(F278:K278)</f>
        <v>1054634.6400000001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142178.04999999999</v>
      </c>
      <c r="G280" s="18">
        <f>9828.39+10715.58</f>
        <v>20543.97</v>
      </c>
      <c r="H280" s="18">
        <v>6726.87</v>
      </c>
      <c r="I280" s="18">
        <f>16200.4+3367.68</f>
        <v>19568.079999999998</v>
      </c>
      <c r="J280" s="18">
        <v>4059.22</v>
      </c>
      <c r="K280" s="18"/>
      <c r="L280" s="13">
        <f>SUM(F280:K280)</f>
        <v>193076.18999999997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23340.37+2195.2+1005.25</f>
        <v>26540.82</v>
      </c>
      <c r="G282" s="18">
        <f>1794.57+4930.89+167.93+461.43+76.88+211.23</f>
        <v>7642.93</v>
      </c>
      <c r="H282" s="18">
        <v>2558.11</v>
      </c>
      <c r="I282" s="18">
        <f>487.73+48.35</f>
        <v>536.08000000000004</v>
      </c>
      <c r="J282" s="18"/>
      <c r="K282" s="18"/>
      <c r="L282" s="13">
        <f t="shared" ref="L282:L288" si="12">SUM(F282:K282)</f>
        <v>37277.94</v>
      </c>
      <c r="M282" s="8"/>
      <c r="N282" s="165"/>
    </row>
    <row r="283" spans="1:14" s="3" customFormat="1" ht="12.2" customHeight="1" x14ac:dyDescent="0.15">
      <c r="A283" s="1" t="s">
        <v>443</v>
      </c>
      <c r="B283" s="2" t="s">
        <v>357</v>
      </c>
      <c r="C283" s="2" t="s">
        <v>295</v>
      </c>
      <c r="D283" s="2" t="s">
        <v>431</v>
      </c>
      <c r="E283" s="6">
        <v>2200</v>
      </c>
      <c r="F283" s="18">
        <v>27600</v>
      </c>
      <c r="G283" s="18">
        <f>2102.33+5801.52</f>
        <v>7903.85</v>
      </c>
      <c r="H283" s="18">
        <v>4832.96</v>
      </c>
      <c r="I283" s="18">
        <v>577</v>
      </c>
      <c r="J283" s="18"/>
      <c r="K283" s="18"/>
      <c r="L283" s="13">
        <f t="shared" si="12"/>
        <v>40913.81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46886.46</v>
      </c>
      <c r="I287" s="18">
        <f>3388+7877.25+9800</f>
        <v>21065.25</v>
      </c>
      <c r="J287" s="18"/>
      <c r="K287" s="18"/>
      <c r="L287" s="13">
        <f t="shared" si="12"/>
        <v>67951.709999999992</v>
      </c>
      <c r="M287" s="8"/>
      <c r="N287" s="165"/>
    </row>
    <row r="288" spans="1:14" s="3" customFormat="1" ht="12.2" customHeight="1" x14ac:dyDescent="0.15">
      <c r="A288" s="1" t="s">
        <v>448</v>
      </c>
      <c r="B288" s="2" t="s">
        <v>357</v>
      </c>
      <c r="C288" s="2" t="s">
        <v>300</v>
      </c>
      <c r="D288" s="2" t="s">
        <v>431</v>
      </c>
      <c r="E288" s="6">
        <v>2700</v>
      </c>
      <c r="F288" s="18"/>
      <c r="G288" s="18"/>
      <c r="H288" s="18">
        <v>1012.37</v>
      </c>
      <c r="I288" s="18"/>
      <c r="J288" s="18"/>
      <c r="K288" s="18"/>
      <c r="L288" s="13">
        <f t="shared" si="12"/>
        <v>1012.37</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994029.74000000011</v>
      </c>
      <c r="G291" s="39">
        <f t="shared" si="13"/>
        <v>330907.22999999992</v>
      </c>
      <c r="H291" s="39">
        <f t="shared" si="13"/>
        <v>149140.47999999998</v>
      </c>
      <c r="I291" s="39">
        <f t="shared" si="13"/>
        <v>103452.15000000001</v>
      </c>
      <c r="J291" s="39">
        <f t="shared" si="13"/>
        <v>16811.93</v>
      </c>
      <c r="K291" s="39">
        <f t="shared" si="13"/>
        <v>7519</v>
      </c>
      <c r="L291" s="38">
        <f t="shared" si="13"/>
        <v>1601860.5300000003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21270.29+10500</f>
        <v>31770.29</v>
      </c>
      <c r="G296" s="18">
        <f>7394.12+3010.35</f>
        <v>10404.469999999999</v>
      </c>
      <c r="H296" s="18">
        <f>4657.65+14412.2</f>
        <v>19069.849999999999</v>
      </c>
      <c r="I296" s="18">
        <f>8146.66+3632.88</f>
        <v>11779.54</v>
      </c>
      <c r="J296" s="18">
        <v>5037.78</v>
      </c>
      <c r="K296" s="18"/>
      <c r="L296" s="13">
        <f>SUM(F296:K296)</f>
        <v>78061.929999999993</v>
      </c>
      <c r="M296" s="8"/>
      <c r="N296" s="165"/>
    </row>
    <row r="297" spans="1:14" s="3" customFormat="1" ht="12.2" customHeight="1" x14ac:dyDescent="0.15">
      <c r="A297" s="1" t="s">
        <v>439</v>
      </c>
      <c r="B297" s="2" t="s">
        <v>358</v>
      </c>
      <c r="C297" s="2" t="s">
        <v>291</v>
      </c>
      <c r="D297" s="2" t="s">
        <v>431</v>
      </c>
      <c r="E297" s="6">
        <v>1200</v>
      </c>
      <c r="F297" s="18">
        <v>45810.5</v>
      </c>
      <c r="G297" s="18">
        <v>12978.73</v>
      </c>
      <c r="H297" s="18">
        <v>4651.5</v>
      </c>
      <c r="I297" s="18">
        <f>68.03+466.08</f>
        <v>534.11</v>
      </c>
      <c r="J297" s="18">
        <v>692.79</v>
      </c>
      <c r="K297" s="18"/>
      <c r="L297" s="13">
        <f>SUM(F297:K297)</f>
        <v>64667.63</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17572.57+18900</f>
        <v>36472.57</v>
      </c>
      <c r="G299" s="18">
        <f>1214.74+1324.4+1445.85</f>
        <v>3984.9900000000002</v>
      </c>
      <c r="H299" s="18">
        <v>831.41</v>
      </c>
      <c r="I299" s="18">
        <v>2002.3</v>
      </c>
      <c r="J299" s="18">
        <v>501.7</v>
      </c>
      <c r="K299" s="18"/>
      <c r="L299" s="13">
        <f>SUM(F299:K299)</f>
        <v>43792.97</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8035.21+6162.19</f>
        <v>14197.4</v>
      </c>
      <c r="G301" s="18">
        <f>617.8+1697.52+442.13+866.38</f>
        <v>3623.83</v>
      </c>
      <c r="H301" s="18">
        <v>1279.06</v>
      </c>
      <c r="I301" s="18">
        <f>243.87+24.18</f>
        <v>268.05</v>
      </c>
      <c r="J301" s="18"/>
      <c r="K301" s="18"/>
      <c r="L301" s="13">
        <f t="shared" ref="L301:L307" si="14">SUM(F301:K301)</f>
        <v>19368.34</v>
      </c>
      <c r="M301" s="8"/>
      <c r="N301" s="165"/>
    </row>
    <row r="302" spans="1:14" s="3" customFormat="1" ht="12.2" customHeight="1" x14ac:dyDescent="0.15">
      <c r="A302" s="1" t="s">
        <v>443</v>
      </c>
      <c r="B302" s="2" t="s">
        <v>358</v>
      </c>
      <c r="C302" s="2" t="s">
        <v>295</v>
      </c>
      <c r="D302" s="2" t="s">
        <v>431</v>
      </c>
      <c r="E302" s="6">
        <v>2200</v>
      </c>
      <c r="F302" s="18">
        <v>4800</v>
      </c>
      <c r="G302" s="18">
        <f>367.2+1008.96</f>
        <v>1376.16</v>
      </c>
      <c r="H302" s="18">
        <v>2416.48</v>
      </c>
      <c r="I302" s="18"/>
      <c r="J302" s="18"/>
      <c r="K302" s="18"/>
      <c r="L302" s="13">
        <f t="shared" si="14"/>
        <v>8592.64</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f>23443.23</f>
        <v>23443.23</v>
      </c>
      <c r="I306" s="18">
        <f>1694+3938.62</f>
        <v>5632.62</v>
      </c>
      <c r="J306" s="18"/>
      <c r="K306" s="18"/>
      <c r="L306" s="13">
        <f t="shared" si="14"/>
        <v>29075.85</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133050.76</v>
      </c>
      <c r="G310" s="39">
        <f t="shared" si="15"/>
        <v>32368.179999999997</v>
      </c>
      <c r="H310" s="39">
        <f t="shared" si="15"/>
        <v>51691.53</v>
      </c>
      <c r="I310" s="39">
        <f t="shared" si="15"/>
        <v>20216.62</v>
      </c>
      <c r="J310" s="39">
        <f t="shared" si="15"/>
        <v>6232.2699999999995</v>
      </c>
      <c r="K310" s="39">
        <f t="shared" si="15"/>
        <v>0</v>
      </c>
      <c r="L310" s="38">
        <f t="shared" si="15"/>
        <v>243559.36000000002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32872.26+2100</f>
        <v>34972.26</v>
      </c>
      <c r="G315" s="18">
        <f>11427.27+602.07</f>
        <v>12029.34</v>
      </c>
      <c r="H315" s="18">
        <f>7198.19+22273.4+3788.56+1679547.75-884169.38</f>
        <v>828638.5199999999</v>
      </c>
      <c r="I315" s="18">
        <f>12590.29+5614.45</f>
        <v>18204.740000000002</v>
      </c>
      <c r="J315" s="18">
        <v>7785.66</v>
      </c>
      <c r="K315" s="18"/>
      <c r="L315" s="13">
        <f>SUM(F315:K315)</f>
        <v>901630.5199999999</v>
      </c>
      <c r="M315" s="8"/>
      <c r="N315" s="165"/>
    </row>
    <row r="316" spans="1:14" s="3" customFormat="1" ht="12.2" customHeight="1" x14ac:dyDescent="0.15">
      <c r="A316" s="1" t="s">
        <v>439</v>
      </c>
      <c r="B316" s="2" t="s">
        <v>359</v>
      </c>
      <c r="C316" s="2" t="s">
        <v>291</v>
      </c>
      <c r="D316" s="2" t="s">
        <v>431</v>
      </c>
      <c r="E316" s="6">
        <v>1200</v>
      </c>
      <c r="F316" s="18">
        <v>15270.17</v>
      </c>
      <c r="G316" s="18">
        <f>4326.24</f>
        <v>4326.24</v>
      </c>
      <c r="H316" s="18">
        <v>1550.5</v>
      </c>
      <c r="I316" s="18">
        <f>22.68+155.36+23623.41</f>
        <v>23801.45</v>
      </c>
      <c r="J316" s="18">
        <v>230.93</v>
      </c>
      <c r="K316" s="18"/>
      <c r="L316" s="13">
        <f>SUM(F316:K316)</f>
        <v>45179.29</v>
      </c>
      <c r="M316" s="8"/>
      <c r="N316" s="165"/>
    </row>
    <row r="317" spans="1:14" s="3" customFormat="1" ht="12.2" customHeight="1" x14ac:dyDescent="0.15">
      <c r="A317" s="1" t="s">
        <v>440</v>
      </c>
      <c r="B317" s="2" t="s">
        <v>359</v>
      </c>
      <c r="C317" s="2" t="s">
        <v>292</v>
      </c>
      <c r="D317" s="2" t="s">
        <v>431</v>
      </c>
      <c r="E317" s="6">
        <v>1300</v>
      </c>
      <c r="F317" s="18"/>
      <c r="G317" s="18"/>
      <c r="H317" s="18"/>
      <c r="I317" s="18">
        <v>12052.12</v>
      </c>
      <c r="J317" s="18">
        <v>59783.35</v>
      </c>
      <c r="K317" s="18">
        <v>6485.05</v>
      </c>
      <c r="L317" s="13">
        <f>SUM(F317:K317)</f>
        <v>78320.52</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6887.32+41045</f>
        <v>47932.32</v>
      </c>
      <c r="G320" s="18">
        <f>529.54+1455.02+8870.62</f>
        <v>10855.18</v>
      </c>
      <c r="H320" s="18">
        <v>1976.73</v>
      </c>
      <c r="I320" s="18">
        <f>376.88+37.36</f>
        <v>414.24</v>
      </c>
      <c r="J320" s="18"/>
      <c r="K320" s="18"/>
      <c r="L320" s="13">
        <f t="shared" ref="L320:L326" si="16">SUM(F320:K320)</f>
        <v>61178.47</v>
      </c>
      <c r="M320" s="8"/>
      <c r="N320" s="165"/>
    </row>
    <row r="321" spans="1:14" s="3" customFormat="1" ht="12.2" customHeight="1" x14ac:dyDescent="0.15">
      <c r="A321" s="1" t="s">
        <v>443</v>
      </c>
      <c r="B321" s="2" t="s">
        <v>359</v>
      </c>
      <c r="C321" s="2" t="s">
        <v>295</v>
      </c>
      <c r="D321" s="2" t="s">
        <v>431</v>
      </c>
      <c r="E321" s="6">
        <v>2200</v>
      </c>
      <c r="F321" s="18">
        <v>22200</v>
      </c>
      <c r="G321" s="18">
        <f>1698.3+4666.44</f>
        <v>6364.74</v>
      </c>
      <c r="H321" s="18">
        <v>3734.56</v>
      </c>
      <c r="I321" s="18"/>
      <c r="J321" s="18"/>
      <c r="K321" s="18"/>
      <c r="L321" s="13">
        <f t="shared" si="16"/>
        <v>32299.3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f>36230.44+14300</f>
        <v>50530.44</v>
      </c>
      <c r="I325" s="18">
        <f>6086.97+2618</f>
        <v>8704.9700000000012</v>
      </c>
      <c r="J325" s="18"/>
      <c r="K325" s="18"/>
      <c r="L325" s="13">
        <f t="shared" si="16"/>
        <v>59235.41</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120374.75</v>
      </c>
      <c r="G329" s="39">
        <f t="shared" si="17"/>
        <v>33575.5</v>
      </c>
      <c r="H329" s="39">
        <f t="shared" si="17"/>
        <v>886430.75</v>
      </c>
      <c r="I329" s="39">
        <f t="shared" si="17"/>
        <v>63177.520000000004</v>
      </c>
      <c r="J329" s="39">
        <f t="shared" si="17"/>
        <v>67799.94</v>
      </c>
      <c r="K329" s="39">
        <f t="shared" si="17"/>
        <v>6485.05</v>
      </c>
      <c r="L329" s="38">
        <f t="shared" si="17"/>
        <v>1177843.51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1247455.25</v>
      </c>
      <c r="G339" s="38">
        <f t="shared" si="20"/>
        <v>396850.90999999992</v>
      </c>
      <c r="H339" s="38">
        <f t="shared" si="20"/>
        <v>1087262.76</v>
      </c>
      <c r="I339" s="38">
        <f t="shared" si="20"/>
        <v>186846.29</v>
      </c>
      <c r="J339" s="38">
        <f t="shared" si="20"/>
        <v>90844.14</v>
      </c>
      <c r="K339" s="38">
        <f t="shared" si="20"/>
        <v>14004.05</v>
      </c>
      <c r="L339" s="38">
        <f t="shared" si="20"/>
        <v>3023263.4000000004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1247455.25</v>
      </c>
      <c r="G353" s="38">
        <f>G339</f>
        <v>396850.90999999992</v>
      </c>
      <c r="H353" s="38">
        <f>H339</f>
        <v>1087262.76</v>
      </c>
      <c r="I353" s="38">
        <f>I339</f>
        <v>186846.29</v>
      </c>
      <c r="J353" s="38">
        <f>J339</f>
        <v>90844.14</v>
      </c>
      <c r="K353" s="38">
        <f>K339+K352</f>
        <v>14004.05</v>
      </c>
      <c r="L353" s="38">
        <f>L339+L352</f>
        <v>3023263.4000000004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196957.61+3415.73</f>
        <v>200373.34</v>
      </c>
      <c r="G359" s="18">
        <f>24408.63+260.99</f>
        <v>24669.620000000003</v>
      </c>
      <c r="H359" s="18">
        <v>17403.09</v>
      </c>
      <c r="I359" s="18">
        <f>144054.88+12606.34</f>
        <v>156661.22</v>
      </c>
      <c r="J359" s="18">
        <v>2097.6</v>
      </c>
      <c r="K359" s="18">
        <v>734.62</v>
      </c>
      <c r="L359" s="13">
        <f>SUM(F359:K359)</f>
        <v>401939.49</v>
      </c>
      <c r="M359" s="8"/>
      <c r="N359" s="165"/>
    </row>
    <row r="360" spans="1:22" s="3" customFormat="1" ht="12.2" customHeight="1" x14ac:dyDescent="0.15">
      <c r="A360" s="1" t="s">
        <v>542</v>
      </c>
      <c r="B360" s="2" t="s">
        <v>366</v>
      </c>
      <c r="C360" s="6">
        <v>2</v>
      </c>
      <c r="D360" s="2" t="s">
        <v>431</v>
      </c>
      <c r="E360" s="6"/>
      <c r="F360" s="18">
        <v>63307.8</v>
      </c>
      <c r="G360" s="18">
        <v>7845.63</v>
      </c>
      <c r="H360" s="18">
        <v>9079.8799999999992</v>
      </c>
      <c r="I360" s="18">
        <f>75159.06+6577.22</f>
        <v>81736.28</v>
      </c>
      <c r="J360" s="18">
        <v>1094.4000000000001</v>
      </c>
      <c r="K360" s="18">
        <v>383.28</v>
      </c>
      <c r="L360" s="13">
        <f>SUM(F360:K360)</f>
        <v>163447.27000000002</v>
      </c>
      <c r="M360" s="8"/>
      <c r="N360" s="165"/>
    </row>
    <row r="361" spans="1:22" s="3" customFormat="1" ht="12.2" customHeight="1" x14ac:dyDescent="0.15">
      <c r="A361" s="3" t="s">
        <v>543</v>
      </c>
      <c r="B361" s="2" t="s">
        <v>366</v>
      </c>
      <c r="C361" s="6">
        <v>3</v>
      </c>
      <c r="D361" s="2" t="s">
        <v>431</v>
      </c>
      <c r="E361" s="6"/>
      <c r="F361" s="18">
        <v>91444.61</v>
      </c>
      <c r="G361" s="18">
        <v>11332.58</v>
      </c>
      <c r="H361" s="18">
        <v>11349.85</v>
      </c>
      <c r="I361" s="18">
        <f>93948.83+8221.52</f>
        <v>102170.35</v>
      </c>
      <c r="J361" s="18">
        <v>1368</v>
      </c>
      <c r="K361" s="18">
        <v>479.1</v>
      </c>
      <c r="L361" s="13">
        <f>SUM(F361:K361)</f>
        <v>218144.49000000002</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355125.75</v>
      </c>
      <c r="G363" s="38">
        <f t="shared" si="22"/>
        <v>43847.83</v>
      </c>
      <c r="H363" s="38">
        <f t="shared" si="22"/>
        <v>37832.82</v>
      </c>
      <c r="I363" s="38">
        <f t="shared" si="22"/>
        <v>340567.85</v>
      </c>
      <c r="J363" s="38">
        <f t="shared" si="22"/>
        <v>4560</v>
      </c>
      <c r="K363" s="38">
        <f t="shared" si="22"/>
        <v>1597</v>
      </c>
      <c r="L363" s="38">
        <f t="shared" si="22"/>
        <v>783531.25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127026.39+15346.85</f>
        <v>142373.24</v>
      </c>
      <c r="G368" s="18">
        <f>66274.64+4932.91</f>
        <v>71207.55</v>
      </c>
      <c r="H368" s="18">
        <f>82843.3+7125.32</f>
        <v>89968.62</v>
      </c>
      <c r="I368" s="13">
        <f>SUM(F368:H368)</f>
        <v>303549.40999999997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17028.490000000002</v>
      </c>
      <c r="G369" s="53">
        <f>8884.42</f>
        <v>8884.42</v>
      </c>
      <c r="H369" s="53">
        <f>11105.53</f>
        <v>11105.53</v>
      </c>
      <c r="I369" s="13">
        <f>SUM(F369:H369)</f>
        <v>37018.44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159401.72999999998</v>
      </c>
      <c r="G370" s="38">
        <f>SUM(G368:G369)</f>
        <v>80091.97</v>
      </c>
      <c r="H370" s="38">
        <f>SUM(H368:H369)</f>
        <v>101074.15</v>
      </c>
      <c r="I370" s="38">
        <f>SUM(I368:I369)</f>
        <v>340567.85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c r="G466" s="18">
        <v>360574.8</v>
      </c>
      <c r="H466" s="18">
        <v>0</v>
      </c>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20157766.07</v>
      </c>
      <c r="G469" s="18">
        <v>814908.26</v>
      </c>
      <c r="H469" s="18">
        <v>3155948.62</v>
      </c>
      <c r="I469" s="18"/>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20157766.07</v>
      </c>
      <c r="G471" s="19">
        <f>SUM(G469:G470)</f>
        <v>814908.26</v>
      </c>
      <c r="H471" s="19">
        <f>SUM(H469:H470)</f>
        <v>3155948.62</v>
      </c>
      <c r="I471" s="19">
        <f>SUM(I469:I470)</f>
        <v>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20157766.07</v>
      </c>
      <c r="G473" s="18">
        <v>783531.25</v>
      </c>
      <c r="H473" s="18">
        <v>3023263.4</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20157766.07</v>
      </c>
      <c r="G475" s="19">
        <f>SUM(G473:G474)</f>
        <v>783531.25</v>
      </c>
      <c r="H475" s="19">
        <f>SUM(H473:H474)</f>
        <v>3023263.4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0</v>
      </c>
      <c r="G477" s="19">
        <f>(G466+G471)- G475</f>
        <v>391951.81000000006</v>
      </c>
      <c r="H477" s="19">
        <f>(H466+H471)- H475</f>
        <v>132685.2200000002</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29</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357204.63</v>
      </c>
      <c r="G494" s="18"/>
      <c r="H494" s="18"/>
      <c r="I494" s="18"/>
      <c r="J494" s="18"/>
      <c r="K494" s="23" t="s">
        <v>288</v>
      </c>
      <c r="L494" s="23" t="s">
        <v>288</v>
      </c>
      <c r="N494" s="131"/>
    </row>
    <row r="495" spans="1:14" ht="12.2" customHeight="1" x14ac:dyDescent="0.2">
      <c r="A495" s="21" t="s">
        <v>618</v>
      </c>
      <c r="B495" s="22">
        <v>20</v>
      </c>
      <c r="C495" s="22">
        <v>5</v>
      </c>
      <c r="D495" s="2" t="s">
        <v>432</v>
      </c>
      <c r="E495" s="22"/>
      <c r="F495" s="18">
        <v>2.85</v>
      </c>
      <c r="G495" s="18"/>
      <c r="H495" s="18"/>
      <c r="I495" s="18"/>
      <c r="J495" s="18"/>
      <c r="K495" s="23" t="s">
        <v>288</v>
      </c>
      <c r="L495" s="23" t="s">
        <v>288</v>
      </c>
      <c r="N495" s="131"/>
    </row>
    <row r="496" spans="1:14" ht="12.2" customHeight="1" x14ac:dyDescent="0.2">
      <c r="A496" s="21" t="s">
        <v>619</v>
      </c>
      <c r="B496" s="22">
        <v>20</v>
      </c>
      <c r="C496" s="22">
        <v>6</v>
      </c>
      <c r="D496" s="2" t="s">
        <v>432</v>
      </c>
      <c r="E496" s="22"/>
      <c r="F496" s="18">
        <v>122788.93</v>
      </c>
      <c r="G496" s="18"/>
      <c r="H496" s="18"/>
      <c r="I496" s="18"/>
      <c r="J496" s="18"/>
      <c r="K496" s="19">
        <f>SUM(F496:J496)</f>
        <v>122788.93</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24900</v>
      </c>
      <c r="G498" s="18"/>
      <c r="H498" s="18"/>
      <c r="I498" s="18"/>
      <c r="J498" s="18"/>
      <c r="K498" s="19">
        <f t="shared" si="35"/>
        <v>24900</v>
      </c>
      <c r="L498" s="23" t="s">
        <v>288</v>
      </c>
      <c r="N498" s="131"/>
    </row>
    <row r="499" spans="1:14" ht="12.2" customHeight="1" x14ac:dyDescent="0.2">
      <c r="A499" s="144" t="s">
        <v>622</v>
      </c>
      <c r="B499" s="145">
        <v>20</v>
      </c>
      <c r="C499" s="145">
        <v>9</v>
      </c>
      <c r="D499" s="146" t="s">
        <v>432</v>
      </c>
      <c r="E499" s="145"/>
      <c r="F499" s="147">
        <v>81853.33</v>
      </c>
      <c r="G499" s="147"/>
      <c r="H499" s="147"/>
      <c r="I499" s="147"/>
      <c r="J499" s="147"/>
      <c r="K499" s="148">
        <f t="shared" si="35"/>
        <v>81853.33</v>
      </c>
      <c r="L499" s="149" t="s">
        <v>288</v>
      </c>
      <c r="N499" s="131"/>
    </row>
    <row r="500" spans="1:14" ht="12.2" customHeight="1" thickBot="1" x14ac:dyDescent="0.25">
      <c r="A500" s="21" t="s">
        <v>623</v>
      </c>
      <c r="B500" s="22">
        <v>20</v>
      </c>
      <c r="C500" s="22">
        <v>10</v>
      </c>
      <c r="D500" s="2" t="s">
        <v>432</v>
      </c>
      <c r="E500" s="22"/>
      <c r="F500" s="18">
        <v>3457.45</v>
      </c>
      <c r="G500" s="18"/>
      <c r="H500" s="18"/>
      <c r="I500" s="18"/>
      <c r="J500" s="18"/>
      <c r="K500" s="19">
        <f t="shared" si="35"/>
        <v>3457.45</v>
      </c>
      <c r="L500" s="23" t="s">
        <v>288</v>
      </c>
      <c r="N500" s="131"/>
    </row>
    <row r="501" spans="1:14" ht="12.2" customHeight="1" thickTop="1" x14ac:dyDescent="0.2">
      <c r="A501" s="97" t="s">
        <v>624</v>
      </c>
      <c r="B501" s="41">
        <v>20</v>
      </c>
      <c r="C501" s="41">
        <v>11</v>
      </c>
      <c r="D501" s="36" t="s">
        <v>432</v>
      </c>
      <c r="E501" s="41"/>
      <c r="F501" s="39">
        <f>SUM(F499:F500)</f>
        <v>85310.78</v>
      </c>
      <c r="G501" s="39">
        <f>SUM(G499:G500)</f>
        <v>0</v>
      </c>
      <c r="H501" s="39">
        <f>SUM(H499:H500)</f>
        <v>0</v>
      </c>
      <c r="I501" s="39">
        <f>SUM(I499:I500)</f>
        <v>0</v>
      </c>
      <c r="J501" s="39">
        <f>SUM(J499:J500)</f>
        <v>0</v>
      </c>
      <c r="K501" s="39">
        <f t="shared" si="35"/>
        <v>85310.78</v>
      </c>
      <c r="L501" s="42" t="s">
        <v>288</v>
      </c>
      <c r="N501" s="131"/>
    </row>
    <row r="502" spans="1:14" ht="12.2" customHeight="1" x14ac:dyDescent="0.2">
      <c r="A502" s="144" t="s">
        <v>651</v>
      </c>
      <c r="B502" s="145">
        <v>20</v>
      </c>
      <c r="C502" s="145">
        <v>12</v>
      </c>
      <c r="D502" s="146" t="s">
        <v>432</v>
      </c>
      <c r="E502" s="145"/>
      <c r="F502" s="147">
        <v>55625.33</v>
      </c>
      <c r="G502" s="147"/>
      <c r="H502" s="147"/>
      <c r="I502" s="147"/>
      <c r="J502" s="147"/>
      <c r="K502" s="148">
        <f t="shared" si="35"/>
        <v>55625.33</v>
      </c>
      <c r="L502" s="149" t="s">
        <v>288</v>
      </c>
      <c r="N502" s="131"/>
    </row>
    <row r="503" spans="1:14" ht="12.2" customHeight="1" thickBot="1" x14ac:dyDescent="0.25">
      <c r="A503" s="21" t="s">
        <v>625</v>
      </c>
      <c r="B503" s="22">
        <v>20</v>
      </c>
      <c r="C503" s="22">
        <v>13</v>
      </c>
      <c r="D503" s="2" t="s">
        <v>432</v>
      </c>
      <c r="E503" s="22"/>
      <c r="F503" s="18">
        <v>3457.45</v>
      </c>
      <c r="G503" s="18"/>
      <c r="H503" s="18"/>
      <c r="I503" s="18"/>
      <c r="J503" s="18"/>
      <c r="K503" s="19">
        <f t="shared" si="35"/>
        <v>3457.45</v>
      </c>
      <c r="L503" s="23" t="s">
        <v>288</v>
      </c>
      <c r="N503" s="131"/>
    </row>
    <row r="504" spans="1:14" ht="12.2" customHeight="1" thickTop="1" x14ac:dyDescent="0.2">
      <c r="A504" s="97" t="s">
        <v>626</v>
      </c>
      <c r="B504" s="41">
        <v>20</v>
      </c>
      <c r="C504" s="41">
        <v>14</v>
      </c>
      <c r="D504" s="36" t="s">
        <v>432</v>
      </c>
      <c r="E504" s="41"/>
      <c r="F504" s="39">
        <f>SUM(F502:F503)</f>
        <v>59082.78</v>
      </c>
      <c r="G504" s="39">
        <f>SUM(G502:G503)</f>
        <v>0</v>
      </c>
      <c r="H504" s="39">
        <f>SUM(H502:H503)</f>
        <v>0</v>
      </c>
      <c r="I504" s="39">
        <f>SUM(I502:I503)</f>
        <v>0</v>
      </c>
      <c r="J504" s="39">
        <f>SUM(J502:J503)</f>
        <v>0</v>
      </c>
      <c r="K504" s="39">
        <f t="shared" si="35"/>
        <v>59082.78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13960.8+1790.95+1004126.28+112892.65+157064.55</f>
        <v>1289835.23</v>
      </c>
      <c r="G522" s="18">
        <f>137.01+1347.76+325925.39+47755.81+44498.52</f>
        <v>419664.49000000005</v>
      </c>
      <c r="H522" s="18">
        <f>35855.54+311884.09+1680+15948</f>
        <v>365367.63</v>
      </c>
      <c r="I522" s="18">
        <f>214.19+2274.73+491.41+233.26+1597.98</f>
        <v>4811.57</v>
      </c>
      <c r="J522" s="18">
        <f>2375.28+2404</f>
        <v>4779.2800000000007</v>
      </c>
      <c r="K522" s="18"/>
      <c r="L522" s="69">
        <f>SUM(F522:K522)</f>
        <v>2084458.2000000002</v>
      </c>
      <c r="N522" s="131"/>
    </row>
    <row r="523" spans="1:14" ht="12.2" customHeight="1" x14ac:dyDescent="0.2">
      <c r="A523" s="21" t="s">
        <v>634</v>
      </c>
      <c r="B523" s="22">
        <v>21</v>
      </c>
      <c r="C523" s="22">
        <v>2</v>
      </c>
      <c r="D523" s="2" t="s">
        <v>432</v>
      </c>
      <c r="E523" s="22"/>
      <c r="F523" s="18">
        <f>4071.9+767.55+435178.49+45810.5</f>
        <v>485828.44</v>
      </c>
      <c r="G523" s="18">
        <f>58.72+393.1+192124.23+12978.73</f>
        <v>205554.78000000003</v>
      </c>
      <c r="H523" s="18">
        <f>15366.66+294185.93+4651.5</f>
        <v>314204.08999999997</v>
      </c>
      <c r="I523" s="18">
        <f>62.48+102+68.03+466.08</f>
        <v>698.58999999999992</v>
      </c>
      <c r="J523" s="18">
        <v>692.79</v>
      </c>
      <c r="K523" s="18"/>
      <c r="L523" s="69">
        <f>SUM(F523:K523)</f>
        <v>1006978.69</v>
      </c>
      <c r="N523" s="131"/>
    </row>
    <row r="524" spans="1:14" ht="12.2" customHeight="1" thickBot="1" x14ac:dyDescent="0.25">
      <c r="A524" s="21" t="s">
        <v>635</v>
      </c>
      <c r="B524" s="22">
        <v>21</v>
      </c>
      <c r="C524" s="22">
        <v>3</v>
      </c>
      <c r="D524" s="2" t="s">
        <v>432</v>
      </c>
      <c r="E524" s="22"/>
      <c r="F524" s="18">
        <f>1357.3+1096.5+243345.04+15270.17</f>
        <v>261069.01</v>
      </c>
      <c r="G524" s="18">
        <f>83.88+131.03+97475.81+4326.24</f>
        <v>102016.96000000001</v>
      </c>
      <c r="H524" s="18">
        <f>21952.37+552338.17+1550.5</f>
        <v>575841.04</v>
      </c>
      <c r="I524" s="18">
        <f>20.83+1243.26+22.68+155.36</f>
        <v>1442.13</v>
      </c>
      <c r="J524" s="18">
        <v>230.93</v>
      </c>
      <c r="K524" s="18"/>
      <c r="L524" s="69">
        <f>SUM(F524:K524)</f>
        <v>940600.07000000007</v>
      </c>
      <c r="N524" s="131"/>
    </row>
    <row r="525" spans="1:14" ht="12.2" customHeight="1" thickTop="1" x14ac:dyDescent="0.2">
      <c r="A525" s="97" t="s">
        <v>63</v>
      </c>
      <c r="B525" s="41">
        <v>21</v>
      </c>
      <c r="C525" s="41">
        <v>4</v>
      </c>
      <c r="D525" s="115" t="s">
        <v>432</v>
      </c>
      <c r="E525" s="41"/>
      <c r="F525" s="81">
        <f>SUM(F522:F524)</f>
        <v>2036732.68</v>
      </c>
      <c r="G525" s="81">
        <f t="shared" ref="G525:L525" si="36">SUM(G522:G524)</f>
        <v>727236.23</v>
      </c>
      <c r="H525" s="81">
        <f t="shared" si="36"/>
        <v>1255412.76</v>
      </c>
      <c r="I525" s="81">
        <f t="shared" si="36"/>
        <v>6952.29</v>
      </c>
      <c r="J525" s="81">
        <f t="shared" si="36"/>
        <v>5703.0000000000009</v>
      </c>
      <c r="K525" s="81">
        <f t="shared" si="36"/>
        <v>0</v>
      </c>
      <c r="L525" s="70">
        <f t="shared" si="36"/>
        <v>4032036.96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97536.78+202935.39</f>
        <v>300472.17000000004</v>
      </c>
      <c r="G527" s="18">
        <f>40335.39+89414.07</f>
        <v>129749.46</v>
      </c>
      <c r="H527" s="18">
        <f>97.6+38291.51+294511.68+29069.25</f>
        <v>361970.04</v>
      </c>
      <c r="I527" s="18">
        <f>2481.78+2493.28</f>
        <v>4975.0600000000004</v>
      </c>
      <c r="J527" s="18"/>
      <c r="K527" s="18">
        <v>198.25</v>
      </c>
      <c r="L527" s="69">
        <f>SUM(F527:K527)</f>
        <v>797364.9800000001</v>
      </c>
      <c r="M527" s="8"/>
      <c r="N527" s="165"/>
    </row>
    <row r="528" spans="1:14" s="3" customFormat="1" ht="12.2" customHeight="1" x14ac:dyDescent="0.15">
      <c r="A528" s="21" t="s">
        <v>634</v>
      </c>
      <c r="B528" s="22">
        <v>21</v>
      </c>
      <c r="C528" s="22">
        <v>6</v>
      </c>
      <c r="D528" s="2" t="s">
        <v>432</v>
      </c>
      <c r="E528" s="22"/>
      <c r="F528" s="18">
        <f>33578.24+91955.1</f>
        <v>125533.34</v>
      </c>
      <c r="G528" s="18">
        <f>13885.96+40515.76</f>
        <v>54401.72</v>
      </c>
      <c r="H528" s="18">
        <f>33.6+17350.85+36400.32</f>
        <v>53784.77</v>
      </c>
      <c r="I528" s="18">
        <f>854.39+1129.76</f>
        <v>1984.15</v>
      </c>
      <c r="J528" s="18"/>
      <c r="K528" s="18">
        <v>68.25</v>
      </c>
      <c r="L528" s="69">
        <f>SUM(F528:K528)</f>
        <v>235772.22999999998</v>
      </c>
      <c r="M528" s="8"/>
      <c r="N528" s="165"/>
    </row>
    <row r="529" spans="1:14" s="3" customFormat="1" ht="12.2" customHeight="1" thickBot="1" x14ac:dyDescent="0.2">
      <c r="A529" s="21" t="s">
        <v>635</v>
      </c>
      <c r="B529" s="22">
        <v>21</v>
      </c>
      <c r="C529" s="22">
        <v>7</v>
      </c>
      <c r="D529" s="2" t="s">
        <v>432</v>
      </c>
      <c r="E529" s="22"/>
      <c r="F529" s="18">
        <f>28781.34+22196.06</f>
        <v>50977.4</v>
      </c>
      <c r="G529" s="18">
        <f>11902.25+9779.67</f>
        <v>21681.919999999998</v>
      </c>
      <c r="H529" s="18">
        <f>28.8+4188.14</f>
        <v>4216.9400000000005</v>
      </c>
      <c r="I529" s="18">
        <f>732.33+272.7</f>
        <v>1005.03</v>
      </c>
      <c r="J529" s="18"/>
      <c r="K529" s="18">
        <v>58.5</v>
      </c>
      <c r="L529" s="69">
        <f>SUM(F529:K529)</f>
        <v>77939.790000000008</v>
      </c>
      <c r="M529" s="8"/>
      <c r="N529" s="165"/>
    </row>
    <row r="530" spans="1:14" s="3" customFormat="1" ht="12.2" customHeight="1" thickTop="1" x14ac:dyDescent="0.15">
      <c r="A530" s="97" t="s">
        <v>65</v>
      </c>
      <c r="B530" s="41">
        <v>21</v>
      </c>
      <c r="C530" s="41">
        <v>8</v>
      </c>
      <c r="D530" s="115" t="s">
        <v>432</v>
      </c>
      <c r="E530" s="41"/>
      <c r="F530" s="70">
        <f>SUM(F527:F529)</f>
        <v>476982.91000000003</v>
      </c>
      <c r="G530" s="70">
        <f t="shared" ref="G530:L530" si="37">SUM(G527:G529)</f>
        <v>205833.09999999998</v>
      </c>
      <c r="H530" s="70">
        <f t="shared" si="37"/>
        <v>419971.75</v>
      </c>
      <c r="I530" s="70">
        <f t="shared" si="37"/>
        <v>7964.2400000000007</v>
      </c>
      <c r="J530" s="70">
        <f t="shared" si="37"/>
        <v>0</v>
      </c>
      <c r="K530" s="70">
        <f t="shared" si="37"/>
        <v>325</v>
      </c>
      <c r="L530" s="70">
        <f t="shared" si="37"/>
        <v>1111077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82443.73</v>
      </c>
      <c r="G532" s="18">
        <v>21122.98</v>
      </c>
      <c r="H532" s="18">
        <v>4383.78</v>
      </c>
      <c r="I532" s="18">
        <v>1564.09</v>
      </c>
      <c r="J532" s="18">
        <v>1664.09</v>
      </c>
      <c r="K532" s="18">
        <v>487.55</v>
      </c>
      <c r="L532" s="69">
        <f>SUM(F532:K532)</f>
        <v>111666.21999999999</v>
      </c>
      <c r="M532" s="8"/>
      <c r="N532" s="165"/>
    </row>
    <row r="533" spans="1:14" s="3" customFormat="1" ht="12.2" customHeight="1" x14ac:dyDescent="0.15">
      <c r="A533" s="21" t="s">
        <v>634</v>
      </c>
      <c r="B533" s="22">
        <v>21</v>
      </c>
      <c r="C533" s="22">
        <v>10</v>
      </c>
      <c r="D533" s="2" t="s">
        <v>432</v>
      </c>
      <c r="E533" s="22"/>
      <c r="F533" s="18">
        <v>35333.03</v>
      </c>
      <c r="G533" s="18">
        <v>9052.7000000000007</v>
      </c>
      <c r="H533" s="18">
        <v>1878.76</v>
      </c>
      <c r="I533" s="18">
        <v>456.19</v>
      </c>
      <c r="J533" s="18">
        <v>713.19</v>
      </c>
      <c r="K533" s="18">
        <v>208.95</v>
      </c>
      <c r="L533" s="69">
        <f>SUM(F533:K533)</f>
        <v>47642.82</v>
      </c>
      <c r="M533" s="8"/>
      <c r="N533" s="165"/>
    </row>
    <row r="534" spans="1:14" s="3" customFormat="1" ht="12.2" customHeight="1" thickBot="1" x14ac:dyDescent="0.2">
      <c r="A534" s="21" t="s">
        <v>635</v>
      </c>
      <c r="B534" s="22">
        <v>21</v>
      </c>
      <c r="C534" s="22">
        <v>11</v>
      </c>
      <c r="D534" s="2" t="s">
        <v>432</v>
      </c>
      <c r="E534" s="22"/>
      <c r="F534" s="18">
        <v>50475.75</v>
      </c>
      <c r="G534" s="18">
        <v>12932.43</v>
      </c>
      <c r="H534" s="18">
        <v>2683.94</v>
      </c>
      <c r="I534" s="18">
        <v>152.06</v>
      </c>
      <c r="J534" s="18">
        <v>1018.84</v>
      </c>
      <c r="K534" s="18">
        <v>298.5</v>
      </c>
      <c r="L534" s="69">
        <f>SUM(F534:K534)</f>
        <v>67561.51999999999</v>
      </c>
      <c r="M534" s="8"/>
      <c r="N534" s="165"/>
    </row>
    <row r="535" spans="1:14" s="3" customFormat="1" ht="12.2" customHeight="1" thickTop="1" x14ac:dyDescent="0.15">
      <c r="A535" s="97" t="s">
        <v>67</v>
      </c>
      <c r="B535" s="41">
        <v>21</v>
      </c>
      <c r="C535" s="41">
        <v>12</v>
      </c>
      <c r="D535" s="115" t="s">
        <v>432</v>
      </c>
      <c r="E535" s="41"/>
      <c r="F535" s="70">
        <f>SUM(F532:F534)</f>
        <v>168252.51</v>
      </c>
      <c r="G535" s="70">
        <f t="shared" ref="G535:L535" si="38">SUM(G532:G534)</f>
        <v>43108.11</v>
      </c>
      <c r="H535" s="70">
        <f t="shared" si="38"/>
        <v>8946.48</v>
      </c>
      <c r="I535" s="70">
        <f t="shared" si="38"/>
        <v>2172.34</v>
      </c>
      <c r="J535" s="70">
        <f t="shared" si="38"/>
        <v>3396.12</v>
      </c>
      <c r="K535" s="70">
        <f t="shared" si="38"/>
        <v>995</v>
      </c>
      <c r="L535" s="70">
        <f t="shared" si="38"/>
        <v>226870.55999999997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27.51+19625.09</f>
        <v>19652.599999999999</v>
      </c>
      <c r="G542" s="18">
        <f>2.11+1501.32</f>
        <v>1503.4299999999998</v>
      </c>
      <c r="H542" s="18"/>
      <c r="I542" s="18"/>
      <c r="J542" s="18"/>
      <c r="K542" s="18"/>
      <c r="L542" s="69">
        <f>SUM(F542:K542)</f>
        <v>21156.03</v>
      </c>
      <c r="M542" s="8"/>
      <c r="N542" s="165"/>
    </row>
    <row r="543" spans="1:14" s="3" customFormat="1" ht="12.2" customHeight="1" x14ac:dyDescent="0.15">
      <c r="A543" s="21" t="s">
        <v>634</v>
      </c>
      <c r="B543" s="22">
        <v>21</v>
      </c>
      <c r="C543" s="22">
        <v>18</v>
      </c>
      <c r="D543" s="2" t="s">
        <v>432</v>
      </c>
      <c r="E543" s="22"/>
      <c r="F543" s="18">
        <f>27.51+6340.41</f>
        <v>6367.92</v>
      </c>
      <c r="G543" s="18">
        <f>2.11+485.04</f>
        <v>487.15000000000003</v>
      </c>
      <c r="H543" s="18"/>
      <c r="I543" s="18"/>
      <c r="J543" s="18"/>
      <c r="K543" s="18"/>
      <c r="L543" s="69">
        <f>SUM(F543:K543)</f>
        <v>6855.07</v>
      </c>
      <c r="M543" s="8"/>
      <c r="N543" s="165"/>
    </row>
    <row r="544" spans="1:14" s="3" customFormat="1" ht="12.2" customHeight="1" thickBot="1" x14ac:dyDescent="0.2">
      <c r="A544" s="21" t="s">
        <v>635</v>
      </c>
      <c r="B544" s="22">
        <v>21</v>
      </c>
      <c r="C544" s="22">
        <v>19</v>
      </c>
      <c r="D544" s="2" t="s">
        <v>432</v>
      </c>
      <c r="E544" s="22"/>
      <c r="F544" s="18">
        <f>4226.94</f>
        <v>4226.9399999999996</v>
      </c>
      <c r="G544" s="18">
        <v>323.36</v>
      </c>
      <c r="H544" s="18"/>
      <c r="I544" s="18"/>
      <c r="J544" s="18"/>
      <c r="K544" s="18"/>
      <c r="L544" s="69">
        <f>SUM(F544:K544)</f>
        <v>4550.2999999999993</v>
      </c>
      <c r="M544" s="8"/>
      <c r="N544" s="165"/>
    </row>
    <row r="545" spans="1:14" s="3" customFormat="1" ht="12.2" customHeight="1" thickTop="1" thickBot="1" x14ac:dyDescent="0.2">
      <c r="A545" s="93" t="s">
        <v>71</v>
      </c>
      <c r="B545" s="63">
        <v>21</v>
      </c>
      <c r="C545" s="63">
        <v>20</v>
      </c>
      <c r="D545" s="140" t="s">
        <v>432</v>
      </c>
      <c r="E545" s="63"/>
      <c r="F545" s="141">
        <f>SUM(F542:F544)</f>
        <v>30247.459999999995</v>
      </c>
      <c r="G545" s="141">
        <f t="shared" ref="G545:L545" si="40">SUM(G542:G544)</f>
        <v>2313.94</v>
      </c>
      <c r="H545" s="141">
        <f t="shared" si="40"/>
        <v>0</v>
      </c>
      <c r="I545" s="141">
        <f t="shared" si="40"/>
        <v>0</v>
      </c>
      <c r="J545" s="141">
        <f t="shared" si="40"/>
        <v>0</v>
      </c>
      <c r="K545" s="141">
        <f t="shared" si="40"/>
        <v>0</v>
      </c>
      <c r="L545" s="141">
        <f t="shared" si="40"/>
        <v>32561.399999999998</v>
      </c>
      <c r="M545" s="8"/>
      <c r="N545" s="165"/>
    </row>
    <row r="546" spans="1:14" s="3" customFormat="1" ht="12.2" customHeight="1" thickTop="1" x14ac:dyDescent="0.15">
      <c r="A546" s="75" t="s">
        <v>72</v>
      </c>
      <c r="B546" s="41">
        <v>21</v>
      </c>
      <c r="C546" s="41">
        <v>21</v>
      </c>
      <c r="D546" s="115" t="s">
        <v>432</v>
      </c>
      <c r="E546" s="41"/>
      <c r="F546" s="70">
        <f>F525+F530+F535+F540+F545</f>
        <v>2712215.5599999996</v>
      </c>
      <c r="G546" s="70">
        <f t="shared" ref="G546:L546" si="41">G525+G530+G535+G540+G545</f>
        <v>978491.37999999989</v>
      </c>
      <c r="H546" s="70">
        <f t="shared" si="41"/>
        <v>1684330.99</v>
      </c>
      <c r="I546" s="70">
        <f t="shared" si="41"/>
        <v>17088.870000000003</v>
      </c>
      <c r="J546" s="70">
        <f t="shared" si="41"/>
        <v>9099.1200000000008</v>
      </c>
      <c r="K546" s="70">
        <f t="shared" si="41"/>
        <v>1320</v>
      </c>
      <c r="L546" s="70">
        <f t="shared" si="41"/>
        <v>5402545.9199999999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2084458.2000000002</v>
      </c>
      <c r="G550" s="69">
        <f>L527</f>
        <v>797364.9800000001</v>
      </c>
      <c r="H550" s="69">
        <f>L532</f>
        <v>111666.21999999999</v>
      </c>
      <c r="I550" s="69">
        <f>L537</f>
        <v>0</v>
      </c>
      <c r="J550" s="69">
        <f>L542</f>
        <v>21156.03</v>
      </c>
      <c r="K550" s="69">
        <f>SUM(F550:J550)</f>
        <v>3014645.43</v>
      </c>
      <c r="L550" s="23" t="s">
        <v>288</v>
      </c>
      <c r="M550" s="8"/>
      <c r="N550" s="165"/>
    </row>
    <row r="551" spans="1:14" s="3" customFormat="1" ht="12.2" customHeight="1" x14ac:dyDescent="0.15">
      <c r="A551" s="21" t="s">
        <v>634</v>
      </c>
      <c r="B551" s="22">
        <v>21</v>
      </c>
      <c r="C551" s="22">
        <v>23</v>
      </c>
      <c r="D551" s="2" t="s">
        <v>432</v>
      </c>
      <c r="E551" s="22"/>
      <c r="F551" s="69">
        <f>L523</f>
        <v>1006978.69</v>
      </c>
      <c r="G551" s="69">
        <f>L528</f>
        <v>235772.22999999998</v>
      </c>
      <c r="H551" s="69">
        <f>L533</f>
        <v>47642.82</v>
      </c>
      <c r="I551" s="69">
        <f>L538</f>
        <v>0</v>
      </c>
      <c r="J551" s="69">
        <f>L543</f>
        <v>6855.07</v>
      </c>
      <c r="K551" s="69">
        <f>SUM(F551:J551)</f>
        <v>1297248.81</v>
      </c>
      <c r="L551" s="23" t="s">
        <v>288</v>
      </c>
      <c r="M551" s="8"/>
      <c r="N551" s="165"/>
    </row>
    <row r="552" spans="1:14" s="3" customFormat="1" ht="12.2" customHeight="1" thickBot="1" x14ac:dyDescent="0.2">
      <c r="A552" s="21" t="s">
        <v>635</v>
      </c>
      <c r="B552" s="22">
        <v>21</v>
      </c>
      <c r="C552" s="22">
        <v>24</v>
      </c>
      <c r="D552" s="2" t="s">
        <v>432</v>
      </c>
      <c r="E552" s="22"/>
      <c r="F552" s="69">
        <f>L524</f>
        <v>940600.07000000007</v>
      </c>
      <c r="G552" s="69">
        <f>L529</f>
        <v>77939.790000000008</v>
      </c>
      <c r="H552" s="69">
        <f>L534</f>
        <v>67561.51999999999</v>
      </c>
      <c r="I552" s="69">
        <f>L539</f>
        <v>0</v>
      </c>
      <c r="J552" s="69">
        <f>L544</f>
        <v>4550.2999999999993</v>
      </c>
      <c r="K552" s="69">
        <f>SUM(F552:J552)</f>
        <v>1090651.6800000002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4032036.96</v>
      </c>
      <c r="G553" s="70">
        <f t="shared" si="42"/>
        <v>1111077</v>
      </c>
      <c r="H553" s="70">
        <f t="shared" si="42"/>
        <v>226870.55999999997</v>
      </c>
      <c r="I553" s="70">
        <f t="shared" si="42"/>
        <v>0</v>
      </c>
      <c r="J553" s="70">
        <f t="shared" si="42"/>
        <v>32561.399999999998</v>
      </c>
      <c r="K553" s="70">
        <f t="shared" si="42"/>
        <v>5402545.9199999999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581538.24</v>
      </c>
      <c r="G558" s="18">
        <v>222251.26</v>
      </c>
      <c r="H558" s="18">
        <v>21124</v>
      </c>
      <c r="I558" s="18">
        <v>35014.51</v>
      </c>
      <c r="J558" s="18">
        <v>301.87</v>
      </c>
      <c r="K558" s="18">
        <v>7519</v>
      </c>
      <c r="L558" s="69">
        <f>SUM(F558:K558)</f>
        <v>867748.88</v>
      </c>
      <c r="M558" s="8"/>
      <c r="N558" s="165"/>
    </row>
    <row r="559" spans="1:14" s="3" customFormat="1" ht="12.2" customHeight="1" x14ac:dyDescent="0.15">
      <c r="A559" s="21" t="s">
        <v>634</v>
      </c>
      <c r="B559" s="22">
        <v>22</v>
      </c>
      <c r="C559" s="22">
        <v>2</v>
      </c>
      <c r="D559" s="2" t="s">
        <v>432</v>
      </c>
      <c r="E559" s="22"/>
      <c r="F559" s="18">
        <v>81908.009999999995</v>
      </c>
      <c r="G559" s="18">
        <v>51025.49</v>
      </c>
      <c r="H559" s="18"/>
      <c r="I559" s="18">
        <v>294.98</v>
      </c>
      <c r="J559" s="18">
        <v>954</v>
      </c>
      <c r="K559" s="18"/>
      <c r="L559" s="69">
        <f>SUM(F559:K559)</f>
        <v>134182.48000000001</v>
      </c>
      <c r="M559" s="8"/>
      <c r="N559" s="165"/>
    </row>
    <row r="560" spans="1:14" s="3" customFormat="1" ht="12.2" customHeight="1" thickBot="1" x14ac:dyDescent="0.2">
      <c r="A560" s="21" t="s">
        <v>635</v>
      </c>
      <c r="B560" s="22">
        <v>22</v>
      </c>
      <c r="C560" s="22">
        <v>3</v>
      </c>
      <c r="D560" s="2" t="s">
        <v>432</v>
      </c>
      <c r="E560" s="22"/>
      <c r="F560" s="18"/>
      <c r="G560" s="18"/>
      <c r="H560" s="18">
        <f>18000+25175</f>
        <v>43175</v>
      </c>
      <c r="I560" s="18"/>
      <c r="J560" s="18"/>
      <c r="K560" s="18"/>
      <c r="L560" s="69">
        <f>SUM(F560:K560)</f>
        <v>43175</v>
      </c>
      <c r="M560" s="8"/>
      <c r="N560" s="165"/>
    </row>
    <row r="561" spans="1:14" s="3" customFormat="1" ht="12.2" customHeight="1" thickTop="1" x14ac:dyDescent="0.15">
      <c r="A561" s="97" t="s">
        <v>63</v>
      </c>
      <c r="B561" s="41">
        <v>22</v>
      </c>
      <c r="C561" s="41">
        <v>4</v>
      </c>
      <c r="D561" s="115" t="s">
        <v>432</v>
      </c>
      <c r="E561" s="41"/>
      <c r="F561" s="81">
        <f t="shared" ref="F561:L561" si="43">SUM(F558:F560)</f>
        <v>663446.25</v>
      </c>
      <c r="G561" s="81">
        <f t="shared" si="43"/>
        <v>273276.75</v>
      </c>
      <c r="H561" s="81">
        <f t="shared" si="43"/>
        <v>64299</v>
      </c>
      <c r="I561" s="81">
        <f t="shared" si="43"/>
        <v>35309.490000000005</v>
      </c>
      <c r="J561" s="81">
        <f t="shared" si="43"/>
        <v>1255.8699999999999</v>
      </c>
      <c r="K561" s="81">
        <f t="shared" si="43"/>
        <v>7519</v>
      </c>
      <c r="L561" s="70">
        <f t="shared" si="43"/>
        <v>1045106.36</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663446.25</v>
      </c>
      <c r="G572" s="70">
        <f t="shared" ref="G572:L572" si="46">G561+G566+G571</f>
        <v>273276.75</v>
      </c>
      <c r="H572" s="70">
        <f t="shared" si="46"/>
        <v>64299</v>
      </c>
      <c r="I572" s="70">
        <f t="shared" si="46"/>
        <v>35309.490000000005</v>
      </c>
      <c r="J572" s="70">
        <f t="shared" si="46"/>
        <v>1255.8699999999999</v>
      </c>
      <c r="K572" s="70">
        <f t="shared" si="46"/>
        <v>7519</v>
      </c>
      <c r="L572" s="70">
        <f t="shared" si="46"/>
        <v>1045106.36</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8617.83</v>
      </c>
      <c r="G576" s="18">
        <v>8022.41</v>
      </c>
      <c r="H576" s="18">
        <v>12700</v>
      </c>
      <c r="I576" s="69">
        <f>SUM(F576:H576)</f>
        <v>29340.239999999998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12500</v>
      </c>
      <c r="I578" s="69">
        <f t="shared" si="47"/>
        <v>12500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4"/>
      <c r="G579" s="4"/>
      <c r="H579" s="4"/>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312254.98+1680</f>
        <v>313934.98</v>
      </c>
      <c r="G583" s="18">
        <v>323790.71999999997</v>
      </c>
      <c r="H583" s="18">
        <v>587282.66</v>
      </c>
      <c r="I583" s="69">
        <f>SUM(F583:H583)</f>
        <v>1225008.3599999999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233405.64+1032.11-19625.09-1501.32</f>
        <v>213311.34</v>
      </c>
      <c r="I592" s="18">
        <f>75407.98+333.07-6340.41-485.04</f>
        <v>68915.600000000006</v>
      </c>
      <c r="J592" s="18">
        <f>50271.98+314.14-4226.94-323.36</f>
        <v>46035.82</v>
      </c>
      <c r="K592" s="80">
        <f t="shared" ref="K592:K598" si="48">SUM(H592:J592)</f>
        <v>328262.76</v>
      </c>
      <c r="L592" s="23" t="s">
        <v>288</v>
      </c>
      <c r="M592" s="8"/>
      <c r="N592" s="165"/>
    </row>
    <row r="593" spans="1:14" s="3" customFormat="1" ht="12.2" customHeight="1" x14ac:dyDescent="0.15">
      <c r="A593" s="3" t="s">
        <v>638</v>
      </c>
      <c r="B593" s="22">
        <v>23</v>
      </c>
      <c r="C593" s="22">
        <v>2</v>
      </c>
      <c r="D593" s="2" t="s">
        <v>432</v>
      </c>
      <c r="E593" s="22"/>
      <c r="F593" s="78">
        <v>2722</v>
      </c>
      <c r="G593" s="79" t="s">
        <v>97</v>
      </c>
      <c r="H593" s="18">
        <f>29.62+19625.09+1501.32</f>
        <v>21156.03</v>
      </c>
      <c r="I593" s="18">
        <f>29.62+6340.41+485.04</f>
        <v>6855.07</v>
      </c>
      <c r="J593" s="18">
        <f>4226.94+323.36</f>
        <v>4550.2999999999993</v>
      </c>
      <c r="K593" s="80">
        <f t="shared" si="48"/>
        <v>32561.399999999998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1491.08</v>
      </c>
      <c r="I595" s="18">
        <v>853.54</v>
      </c>
      <c r="J595" s="18">
        <v>9226.4599999999991</v>
      </c>
      <c r="K595" s="80">
        <f t="shared" si="48"/>
        <v>11571.079999999998</v>
      </c>
      <c r="L595" s="23" t="s">
        <v>288</v>
      </c>
      <c r="M595" s="8"/>
      <c r="N595" s="165"/>
    </row>
    <row r="596" spans="1:14" s="3" customFormat="1" ht="12.2" customHeight="1" x14ac:dyDescent="0.15">
      <c r="A596" s="103" t="s">
        <v>652</v>
      </c>
      <c r="B596" s="22">
        <v>23</v>
      </c>
      <c r="C596" s="22">
        <v>5</v>
      </c>
      <c r="D596" s="2" t="s">
        <v>432</v>
      </c>
      <c r="E596" s="22"/>
      <c r="F596" s="78">
        <v>2725</v>
      </c>
      <c r="G596" s="79" t="s">
        <v>97</v>
      </c>
      <c r="H596" s="18">
        <f>750.7+2933.85</f>
        <v>3684.55</v>
      </c>
      <c r="I596" s="18">
        <f>390.49+362.61</f>
        <v>753.1</v>
      </c>
      <c r="J596" s="18">
        <v>3638.71</v>
      </c>
      <c r="K596" s="80">
        <f t="shared" si="48"/>
        <v>8076.3600000000006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239642.99999999997</v>
      </c>
      <c r="I599" s="81">
        <f>SUM(I592:I598)</f>
        <v>77377.310000000012</v>
      </c>
      <c r="J599" s="81">
        <f>SUM(J592:J598)</f>
        <v>63451.289999999994</v>
      </c>
      <c r="K599" s="81">
        <f>SUM(K592:K598)</f>
        <v>380471.60000000003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19554.38+30647.46+36241.62+13968.39+1024+3299+25478.61</f>
        <v>130213.45999999999</v>
      </c>
      <c r="I605" s="18">
        <f>9777.2+14979.47+18120.81+4808.79+464+13000</f>
        <v>61150.27</v>
      </c>
      <c r="J605" s="18">
        <f>15110.2+102413.64+28004.89+4121.82+112+5550</f>
        <v>155312.54999999999</v>
      </c>
      <c r="K605" s="80">
        <f>SUM(H605:J605)</f>
        <v>346676.27999999997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130213.45999999999</v>
      </c>
      <c r="I606" s="81">
        <f>SUM(I603:I605)</f>
        <v>61150.27</v>
      </c>
      <c r="J606" s="81">
        <f>SUM(J603:J605)</f>
        <v>155312.54999999999</v>
      </c>
      <c r="K606" s="81">
        <f>SUM(K603:K605)</f>
        <v>346676.27999999997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391951.81</v>
      </c>
      <c r="H619" s="80">
        <f>SUM(G52)</f>
        <v>391951.81</v>
      </c>
      <c r="I619" s="87" t="s">
        <v>875</v>
      </c>
      <c r="J619" s="80">
        <f>G619-H619</f>
        <v>0</v>
      </c>
      <c r="K619" s="80"/>
      <c r="L619" s="80"/>
      <c r="M619" s="8"/>
    </row>
    <row r="620" spans="1:14" s="3" customFormat="1" ht="12.2" customHeight="1" x14ac:dyDescent="0.15">
      <c r="A620" s="74"/>
      <c r="B620" s="22"/>
      <c r="C620" s="22"/>
      <c r="D620" s="22"/>
      <c r="E620" s="22"/>
      <c r="F620" s="87" t="s">
        <v>685</v>
      </c>
      <c r="G620" s="80">
        <f>SUM(H19)</f>
        <v>132685.22</v>
      </c>
      <c r="H620" s="80">
        <f>SUM(H52)</f>
        <v>132685.22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391951.81</v>
      </c>
      <c r="H624" s="80">
        <f>G477</f>
        <v>391951.81000000006</v>
      </c>
      <c r="I624" s="87" t="s">
        <v>102</v>
      </c>
      <c r="J624" s="80">
        <f t="shared" si="50"/>
        <v>0</v>
      </c>
      <c r="K624" s="80"/>
      <c r="L624" s="80"/>
      <c r="M624" s="8"/>
    </row>
    <row r="625" spans="1:13" s="3" customFormat="1" ht="12.2" customHeight="1" x14ac:dyDescent="0.15">
      <c r="A625" s="74"/>
      <c r="B625" s="22"/>
      <c r="C625" s="22"/>
      <c r="D625" s="22"/>
      <c r="E625" s="22"/>
      <c r="F625" s="86" t="s">
        <v>866</v>
      </c>
      <c r="G625" s="80">
        <f>H51</f>
        <v>132685.22</v>
      </c>
      <c r="H625" s="80">
        <f>H477</f>
        <v>132685.2200000002</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20157766.07</v>
      </c>
      <c r="H628" s="80">
        <f>SUM(F469)</f>
        <v>20157766.07</v>
      </c>
      <c r="I628" s="87" t="s">
        <v>106</v>
      </c>
      <c r="J628" s="80">
        <f>G628-H628</f>
        <v>0</v>
      </c>
      <c r="K628" s="67"/>
      <c r="L628" s="69"/>
      <c r="M628" s="8"/>
    </row>
    <row r="629" spans="1:13" s="3" customFormat="1" ht="12.2" customHeight="1" x14ac:dyDescent="0.15">
      <c r="A629" s="21"/>
      <c r="B629" s="22"/>
      <c r="C629" s="22"/>
      <c r="D629" s="22"/>
      <c r="E629" s="22"/>
      <c r="F629" s="86" t="s">
        <v>659</v>
      </c>
      <c r="G629" s="80">
        <f>G194</f>
        <v>814908.26</v>
      </c>
      <c r="H629" s="80">
        <f>SUM(G469)</f>
        <v>814908.26</v>
      </c>
      <c r="I629" s="87" t="s">
        <v>107</v>
      </c>
      <c r="J629" s="80">
        <f>G629-H629</f>
        <v>0</v>
      </c>
      <c r="K629" s="67"/>
      <c r="L629" s="69"/>
      <c r="M629" s="8"/>
    </row>
    <row r="630" spans="1:13" s="3" customFormat="1" ht="12.2" customHeight="1" x14ac:dyDescent="0.15">
      <c r="A630" s="21"/>
      <c r="B630" s="22"/>
      <c r="C630" s="22"/>
      <c r="D630" s="22"/>
      <c r="E630" s="22"/>
      <c r="F630" s="86" t="s">
        <v>660</v>
      </c>
      <c r="G630" s="80">
        <f>H194</f>
        <v>3155948.6199999996</v>
      </c>
      <c r="H630" s="80">
        <f>SUM(H469)</f>
        <v>3155948.62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20157766.069999997</v>
      </c>
      <c r="H633" s="80">
        <f>SUM(F473)</f>
        <v>20157766.07</v>
      </c>
      <c r="I633" s="87" t="s">
        <v>111</v>
      </c>
      <c r="J633" s="80">
        <f t="shared" si="50"/>
        <v>0</v>
      </c>
      <c r="K633" s="67"/>
      <c r="L633" s="69"/>
      <c r="M633" s="8"/>
    </row>
    <row r="634" spans="1:13" s="3" customFormat="1" ht="12.2" customHeight="1" x14ac:dyDescent="0.15">
      <c r="A634" s="21"/>
      <c r="B634" s="22"/>
      <c r="C634" s="22"/>
      <c r="D634" s="22"/>
      <c r="E634" s="22"/>
      <c r="F634" s="86" t="s">
        <v>395</v>
      </c>
      <c r="G634" s="80">
        <f>SUM(L353)</f>
        <v>3023263.4000000004</v>
      </c>
      <c r="H634" s="80">
        <f>SUM(H473)</f>
        <v>3023263.4</v>
      </c>
      <c r="I634" s="87" t="s">
        <v>112</v>
      </c>
      <c r="J634" s="80">
        <f>G634-H634</f>
        <v>0</v>
      </c>
      <c r="K634" s="67"/>
      <c r="L634" s="69"/>
      <c r="M634" s="8"/>
    </row>
    <row r="635" spans="1:13" s="124" customFormat="1" ht="12.2" customHeight="1" x14ac:dyDescent="0.15">
      <c r="A635" s="21"/>
      <c r="B635" s="22"/>
      <c r="C635" s="22"/>
      <c r="D635" s="22"/>
      <c r="E635" s="22"/>
      <c r="F635" s="99" t="s">
        <v>247</v>
      </c>
      <c r="G635" s="80">
        <f>I363</f>
        <v>340567.85</v>
      </c>
      <c r="H635" s="80">
        <f>I370</f>
        <v>340567.85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783531.25</v>
      </c>
      <c r="H636" s="80">
        <f>SUM(G473)</f>
        <v>783531.25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380471.60000000003</v>
      </c>
      <c r="H648" s="80">
        <f>L209+L227+L245</f>
        <v>380471.59999999992</v>
      </c>
      <c r="I648" s="87" t="s">
        <v>396</v>
      </c>
      <c r="J648" s="80">
        <f t="shared" si="50"/>
        <v>0</v>
      </c>
      <c r="K648" s="67"/>
      <c r="L648" s="69"/>
      <c r="M648" s="8"/>
    </row>
    <row r="649" spans="1:13" s="3" customFormat="1" ht="12.2" customHeight="1" x14ac:dyDescent="0.15">
      <c r="A649" s="21"/>
      <c r="B649" s="22"/>
      <c r="C649" s="22"/>
      <c r="D649" s="22"/>
      <c r="E649" s="22"/>
      <c r="F649" s="86" t="s">
        <v>52</v>
      </c>
      <c r="G649" s="80">
        <f>K606</f>
        <v>346676.27999999997</v>
      </c>
      <c r="H649" s="80">
        <f>(J258+J339)-(J256+J337)</f>
        <v>346676.27999999997</v>
      </c>
      <c r="I649" s="87" t="s">
        <v>699</v>
      </c>
      <c r="J649" s="80">
        <f t="shared" si="50"/>
        <v>0</v>
      </c>
      <c r="K649" s="67"/>
      <c r="L649" s="69"/>
      <c r="M649" s="8"/>
    </row>
    <row r="650" spans="1:13" s="3" customFormat="1" ht="12.2" customHeight="1" x14ac:dyDescent="0.15">
      <c r="A650" s="21"/>
      <c r="B650" s="22"/>
      <c r="C650" s="22"/>
      <c r="D650" s="22"/>
      <c r="E650" s="22"/>
      <c r="F650" s="86" t="s">
        <v>387</v>
      </c>
      <c r="G650" s="80">
        <f>L209</f>
        <v>239642.99999999997</v>
      </c>
      <c r="H650" s="80">
        <f>H599</f>
        <v>239642.99999999997</v>
      </c>
      <c r="I650" s="87" t="s">
        <v>388</v>
      </c>
      <c r="J650" s="80">
        <f t="shared" si="50"/>
        <v>0</v>
      </c>
      <c r="K650" s="67"/>
      <c r="L650" s="69"/>
      <c r="M650" s="8"/>
    </row>
    <row r="651" spans="1:13" s="3" customFormat="1" ht="12.2" customHeight="1" x14ac:dyDescent="0.15">
      <c r="A651" s="21"/>
      <c r="B651" s="22"/>
      <c r="C651" s="22"/>
      <c r="D651" s="22"/>
      <c r="E651" s="22"/>
      <c r="F651" s="86" t="s">
        <v>392</v>
      </c>
      <c r="G651" s="80">
        <f>L227</f>
        <v>77377.31</v>
      </c>
      <c r="H651" s="80">
        <f>I599</f>
        <v>77377.310000000012</v>
      </c>
      <c r="I651" s="87" t="s">
        <v>389</v>
      </c>
      <c r="J651" s="80">
        <f t="shared" si="50"/>
        <v>0</v>
      </c>
      <c r="K651" s="67"/>
      <c r="L651" s="69"/>
      <c r="M651" s="8"/>
    </row>
    <row r="652" spans="1:13" s="3" customFormat="1" ht="12.2" customHeight="1" x14ac:dyDescent="0.15">
      <c r="A652" s="21"/>
      <c r="B652" s="22"/>
      <c r="C652" s="22"/>
      <c r="D652" s="22"/>
      <c r="E652" s="22"/>
      <c r="F652" s="86" t="s">
        <v>393</v>
      </c>
      <c r="G652" s="80">
        <f>L245</f>
        <v>63451.29</v>
      </c>
      <c r="H652" s="80">
        <f>J599</f>
        <v>63451.289999999994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10588423.179999998</v>
      </c>
      <c r="G661" s="13">
        <f>(L230+L310+L360)</f>
        <v>4836761.9700000007</v>
      </c>
      <c r="H661" s="13">
        <f>(L248+L329+L361)</f>
        <v>8511964.4899999984</v>
      </c>
      <c r="I661" s="13">
        <f>SUM(F661:H661)</f>
        <v>23937149.639999997</v>
      </c>
      <c r="J661" s="13"/>
      <c r="K661" s="13"/>
      <c r="L661" s="13"/>
      <c r="M661" s="9"/>
    </row>
    <row r="662" spans="1:13" s="3" customFormat="1" ht="12.2" customHeight="1" x14ac:dyDescent="0.2">
      <c r="A662" s="1" t="s">
        <v>127</v>
      </c>
      <c r="F662" s="13">
        <f>(L359/IF(SUM(L359:L361)=0,1,SUM(L359:L361))*(SUM(G97:G110)))</f>
        <v>116987.80228491549</v>
      </c>
      <c r="G662" s="13">
        <f>(L360/IF(SUM(L359:L361)=0,1,SUM(L359:L361))*(SUM(G97:G110)))</f>
        <v>47572.675446170273</v>
      </c>
      <c r="H662" s="13">
        <f>(L361/IF(SUM(L359:L361)=0,1,SUM(L359:L361))*(SUM(G97:G110)))</f>
        <v>63492.752268914242</v>
      </c>
      <c r="I662" s="13">
        <f>SUM(F662:H662)</f>
        <v>228053.23</v>
      </c>
      <c r="J662"/>
      <c r="K662" s="13"/>
      <c r="L662" s="13"/>
      <c r="M662" s="8"/>
    </row>
    <row r="663" spans="1:13" s="3" customFormat="1" ht="12.2" customHeight="1" x14ac:dyDescent="0.2">
      <c r="A663" s="1" t="s">
        <v>128</v>
      </c>
      <c r="F663" s="13">
        <f>(L209+L288)-(J209+J288)</f>
        <v>238310.71999999997</v>
      </c>
      <c r="G663" s="13">
        <f>(L227+L307)-(J227+J307)</f>
        <v>76619.81</v>
      </c>
      <c r="H663" s="13">
        <f>(L245+L326)-(J245+J326)</f>
        <v>62946.29</v>
      </c>
      <c r="I663" s="13">
        <f>SUM(F663:H663)</f>
        <v>377876.81999999995</v>
      </c>
      <c r="J663"/>
      <c r="K663" s="13"/>
      <c r="L663" s="13"/>
      <c r="M663" s="9"/>
    </row>
    <row r="664" spans="1:13" s="3" customFormat="1" ht="12.2" customHeight="1" x14ac:dyDescent="0.15">
      <c r="A664" s="142" t="s">
        <v>129</v>
      </c>
      <c r="B664" s="124"/>
      <c r="C664" s="124"/>
      <c r="D664" s="124"/>
      <c r="E664" s="124"/>
      <c r="F664" s="143">
        <f>SUM(F576:F588)+SUM(H603:H605)+SUM(L612)</f>
        <v>452766.27</v>
      </c>
      <c r="G664" s="143">
        <f>SUM(G576:G588)+SUM(I603:I605)+L613</f>
        <v>392963.39999999997</v>
      </c>
      <c r="H664" s="143">
        <f>SUM(H576:H588)+SUM(J603:J605)+L614</f>
        <v>767795.21</v>
      </c>
      <c r="I664" s="13">
        <f>SUM(F664:H664)</f>
        <v>1613524.88</v>
      </c>
      <c r="J664" s="13"/>
      <c r="K664" s="13"/>
      <c r="L664" s="13"/>
      <c r="M664" s="9"/>
    </row>
    <row r="665" spans="1:13" s="3" customFormat="1" ht="12.2" customHeight="1" x14ac:dyDescent="0.15">
      <c r="A665" s="1" t="s">
        <v>130</v>
      </c>
      <c r="F665" s="13">
        <f>F661-SUM(F662:F664)</f>
        <v>9780358.3877150826</v>
      </c>
      <c r="G665" s="13">
        <f>G661-SUM(G662:G664)</f>
        <v>4319606.0845538303</v>
      </c>
      <c r="H665" s="13">
        <f>H661-SUM(H662:H664)</f>
        <v>7617730.2377310842</v>
      </c>
      <c r="I665" s="13">
        <f>I661-SUM(I662:I664)</f>
        <v>21717694.709999997</v>
      </c>
      <c r="J665" s="13"/>
      <c r="K665" s="13"/>
      <c r="L665" s="13"/>
      <c r="M665" s="8"/>
    </row>
    <row r="666" spans="1:13" s="3" customFormat="1" ht="12.2" customHeight="1" x14ac:dyDescent="0.2">
      <c r="A666" s="1" t="s">
        <v>131</v>
      </c>
      <c r="F666" s="183">
        <v>428.93</v>
      </c>
      <c r="G666" s="184">
        <v>222.61</v>
      </c>
      <c r="H666" s="184">
        <v>345.7</v>
      </c>
      <c r="I666" s="13">
        <f>SUM(F666:H666)</f>
        <v>997.24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22801.759999999998</v>
      </c>
      <c r="G668" s="13">
        <f>ROUND(G665/G666,2)</f>
        <v>19404.37</v>
      </c>
      <c r="H668" s="13">
        <f>ROUND(H665/H666,2)</f>
        <v>22035.67</v>
      </c>
      <c r="I668" s="13">
        <f>ROUND(I665/I666,2)</f>
        <v>21777.8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6.56</v>
      </c>
      <c r="I671" s="13">
        <f>SUM(F671:H671)</f>
        <v>6.56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22801.759999999998</v>
      </c>
      <c r="G673" s="13">
        <f>ROUND((G665+G670)/(G666+G671),2)</f>
        <v>19404.37</v>
      </c>
      <c r="H673" s="13">
        <f>ROUND((H665+H670)/(H666+H671),2)</f>
        <v>21625.31</v>
      </c>
      <c r="I673" s="13">
        <f>ROUND((I665+I670)/(I666+I671),2)</f>
        <v>21635.48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452903.53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93175.15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103327.9</v>
      </c>
      <c r="F13" s="272" t="s">
        <v>1629</v>
      </c>
    </row>
    <row r="14" spans="2:8" x14ac:dyDescent="0.25">
      <c r="B14" s="271"/>
      <c r="C14" s="271"/>
      <c r="D14" s="272"/>
      <c r="E14" s="271"/>
      <c r="F14" s="271"/>
    </row>
    <row r="15" spans="2:8" x14ac:dyDescent="0.25">
      <c r="B15" s="271"/>
      <c r="C15" s="272" t="s">
        <v>1623</v>
      </c>
      <c r="D15" s="272" t="s">
        <v>1636</v>
      </c>
      <c r="E15" s="260">
        <v>233501.48</v>
      </c>
      <c r="F15" s="272" t="s">
        <v>1630</v>
      </c>
    </row>
    <row r="16" spans="2:8" x14ac:dyDescent="0.25">
      <c r="B16" s="271"/>
      <c r="C16" s="271"/>
      <c r="D16" s="271"/>
      <c r="E16" s="271"/>
      <c r="F16" s="271"/>
    </row>
    <row r="17" spans="2:8" x14ac:dyDescent="0.25">
      <c r="B17" s="271"/>
      <c r="C17" s="272" t="s">
        <v>1622</v>
      </c>
      <c r="D17" s="272" t="s">
        <v>1637</v>
      </c>
      <c r="E17" s="260">
        <v>22899</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Berlin</v>
      </c>
      <c r="C5" s="318"/>
      <c r="D5" s="318"/>
      <c r="E5" s="318"/>
      <c r="F5" s="318"/>
    </row>
    <row r="8" spans="1:9" ht="18" x14ac:dyDescent="0.25">
      <c r="A8" s="240" t="s">
        <v>1560</v>
      </c>
      <c r="F8" s="247" t="s">
        <v>1578</v>
      </c>
    </row>
    <row r="9" spans="1:9" ht="15" x14ac:dyDescent="0.2">
      <c r="A9" s="238" t="s">
        <v>1561</v>
      </c>
      <c r="B9" s="241">
        <f>'DOE25'!G97</f>
        <v>228053.23</v>
      </c>
      <c r="F9" s="238" t="s">
        <v>1574</v>
      </c>
    </row>
    <row r="10" spans="1:9" ht="15" x14ac:dyDescent="0.2">
      <c r="A10" s="238" t="s">
        <v>1562</v>
      </c>
      <c r="B10" s="241">
        <f>'DOE25'!G112-'DOE25'!G97</f>
        <v>0</v>
      </c>
      <c r="F10" s="238" t="s">
        <v>1575</v>
      </c>
    </row>
    <row r="11" spans="1:9" ht="15" x14ac:dyDescent="0.2">
      <c r="A11" s="238" t="s">
        <v>1563</v>
      </c>
      <c r="B11" s="241">
        <f>'DOE25'!G140</f>
        <v>9482.58</v>
      </c>
      <c r="F11" s="238" t="s">
        <v>1576</v>
      </c>
    </row>
    <row r="12" spans="1:9" ht="15" x14ac:dyDescent="0.2">
      <c r="A12" s="238" t="s">
        <v>1564</v>
      </c>
      <c r="B12" s="241">
        <f>'DOE25'!G170</f>
        <v>577372.45000000007</v>
      </c>
      <c r="F12" s="238" t="s">
        <v>1577</v>
      </c>
    </row>
    <row r="13" spans="1:9" ht="15" x14ac:dyDescent="0.2">
      <c r="A13" s="238" t="s">
        <v>1565</v>
      </c>
      <c r="B13" s="241">
        <f>'DOE25'!G193-'DOE25'!G180</f>
        <v>0</v>
      </c>
      <c r="F13" s="238" t="s">
        <v>1587</v>
      </c>
    </row>
    <row r="14" spans="1:9" ht="18" x14ac:dyDescent="0.25">
      <c r="A14" s="240" t="s">
        <v>732</v>
      </c>
      <c r="B14" s="242">
        <f>SUM(B9:B13)</f>
        <v>814908.26</v>
      </c>
    </row>
    <row r="16" spans="1:9" ht="18" x14ac:dyDescent="0.25">
      <c r="A16" s="240" t="s">
        <v>786</v>
      </c>
      <c r="F16" s="247" t="s">
        <v>1579</v>
      </c>
    </row>
    <row r="17" spans="1:6" ht="15" x14ac:dyDescent="0.2">
      <c r="A17" s="238" t="s">
        <v>1566</v>
      </c>
      <c r="B17" s="241">
        <f>'DOE25'!L363-'DOE25'!L362</f>
        <v>783531.25</v>
      </c>
      <c r="F17" s="238" t="s">
        <v>1580</v>
      </c>
    </row>
    <row r="18" spans="1:6" ht="15" x14ac:dyDescent="0.2">
      <c r="A18" s="238" t="s">
        <v>1567</v>
      </c>
      <c r="B18" s="251"/>
      <c r="F18" s="247" t="s">
        <v>1604</v>
      </c>
    </row>
    <row r="19" spans="1:6" ht="18" x14ac:dyDescent="0.25">
      <c r="A19" s="240" t="s">
        <v>725</v>
      </c>
      <c r="B19" s="242">
        <f>SUM(B17:B18)</f>
        <v>783531.25</v>
      </c>
    </row>
    <row r="21" spans="1:6" ht="18.75" thickBot="1" x14ac:dyDescent="0.3">
      <c r="A21" s="240" t="s">
        <v>1568</v>
      </c>
    </row>
    <row r="22" spans="1:6" ht="18.75" thickTop="1" x14ac:dyDescent="0.25">
      <c r="A22" s="240" t="s">
        <v>1569</v>
      </c>
      <c r="B22" s="246">
        <f>B14-B19</f>
        <v>31377.010000000009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360574.8</v>
      </c>
      <c r="F31" s="238" t="s">
        <v>1584</v>
      </c>
    </row>
    <row r="33" spans="1:6" ht="15" x14ac:dyDescent="0.2">
      <c r="A33" s="238" t="s">
        <v>1798</v>
      </c>
      <c r="B33" s="241">
        <f>'DOE25'!G477</f>
        <v>391951.81000000006</v>
      </c>
      <c r="F33" s="238" t="s">
        <v>1585</v>
      </c>
    </row>
    <row r="36" spans="1:6" ht="15" x14ac:dyDescent="0.2">
      <c r="A36" s="238" t="s">
        <v>1571</v>
      </c>
      <c r="B36" s="252">
        <v>39475.9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Berlin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5279562.07</v>
      </c>
      <c r="C9" s="167">
        <f>'DOE25'!G198+'DOE25'!G216+'DOE25'!G234+'DOE25'!G277+'DOE25'!G296+'DOE25'!G315</f>
        <v>2652716.2399999998</v>
      </c>
    </row>
    <row r="10" spans="1:3" x14ac:dyDescent="0.2">
      <c r="A10" t="s">
        <v>775</v>
      </c>
      <c r="B10" s="177">
        <v>4885391.74</v>
      </c>
      <c r="C10" s="177">
        <v>2649606.17</v>
      </c>
    </row>
    <row r="11" spans="1:3" x14ac:dyDescent="0.2">
      <c r="A11" t="s">
        <v>776</v>
      </c>
      <c r="B11" s="177">
        <v>146448.56</v>
      </c>
      <c r="C11" s="177">
        <v>1055.96</v>
      </c>
    </row>
    <row r="12" spans="1:3" x14ac:dyDescent="0.2">
      <c r="A12" t="s">
        <v>777</v>
      </c>
      <c r="B12" s="177">
        <v>247721.77</v>
      </c>
      <c r="C12" s="177">
        <v>2054.11</v>
      </c>
    </row>
    <row r="13" spans="1:3" x14ac:dyDescent="0.2">
      <c r="A13" t="str">
        <f>IF(B9=B13,IF(C9=C13,"Check Total OK","Check Total Error"),"Check Total Error")</f>
        <v>Check Total OK</v>
      </c>
      <c r="B13" s="169">
        <f>SUM(B10:B12)</f>
        <v>5279562.0699999994</v>
      </c>
      <c r="C13" s="169">
        <f>SUM(C10:C12)</f>
        <v>2652716.2399999998</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2713516.9299999997</v>
      </c>
      <c r="C18" s="167">
        <f>'DOE25'!G199+'DOE25'!G217+'DOE25'!G235+'DOE25'!G278+'DOE25'!G297+'DOE25'!G316</f>
        <v>1016737.9500000001</v>
      </c>
    </row>
    <row r="19" spans="1:3" x14ac:dyDescent="0.2">
      <c r="A19" t="s">
        <v>775</v>
      </c>
      <c r="B19" s="177">
        <v>1527107.76</v>
      </c>
      <c r="C19" s="177">
        <v>917189.29</v>
      </c>
    </row>
    <row r="20" spans="1:3" x14ac:dyDescent="0.2">
      <c r="A20" t="s">
        <v>776</v>
      </c>
      <c r="B20" s="177">
        <v>1182754.17</v>
      </c>
      <c r="C20" s="177">
        <v>98963.23</v>
      </c>
    </row>
    <row r="21" spans="1:3" x14ac:dyDescent="0.2">
      <c r="A21" t="s">
        <v>777</v>
      </c>
      <c r="B21" s="177">
        <v>3655</v>
      </c>
      <c r="C21" s="177">
        <v>585.42999999999995</v>
      </c>
    </row>
    <row r="22" spans="1:3" x14ac:dyDescent="0.2">
      <c r="A22" t="str">
        <f>IF(B18=B22,IF(C18=C22,"Check Total OK","Check Total Error"),"Check Total Error")</f>
        <v>Check Total OK</v>
      </c>
      <c r="B22" s="169">
        <f>SUM(B19:B21)</f>
        <v>2713516.9299999997</v>
      </c>
      <c r="C22" s="169">
        <f>SUM(C19:C21)</f>
        <v>1016737.9500000001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491531.65</v>
      </c>
      <c r="C27" s="172">
        <f>'DOE25'!G200+'DOE25'!G218+'DOE25'!G236+'DOE25'!G279+'DOE25'!G298+'DOE25'!G317</f>
        <v>254446.31999999998</v>
      </c>
    </row>
    <row r="28" spans="1:3" x14ac:dyDescent="0.2">
      <c r="A28" t="s">
        <v>775</v>
      </c>
      <c r="B28" s="177">
        <v>469048</v>
      </c>
      <c r="C28" s="177">
        <f>116409+33584.71+98594.87+3948.47</f>
        <v>252537.05</v>
      </c>
    </row>
    <row r="29" spans="1:3" x14ac:dyDescent="0.2">
      <c r="A29" t="s">
        <v>776</v>
      </c>
      <c r="B29" s="177">
        <v>22483.65</v>
      </c>
      <c r="C29" s="177">
        <f>1720+189.27</f>
        <v>1909.27</v>
      </c>
    </row>
    <row r="30" spans="1:3" x14ac:dyDescent="0.2">
      <c r="A30" t="s">
        <v>777</v>
      </c>
      <c r="B30" s="177"/>
      <c r="C30" s="177"/>
    </row>
    <row r="31" spans="1:3" x14ac:dyDescent="0.2">
      <c r="A31" t="str">
        <f>IF(B27=B31,IF(C27=C31,"Check Total OK","Check Total Error"),"Check Total Error")</f>
        <v>Check Total OK</v>
      </c>
      <c r="B31" s="169">
        <f>SUM(B28:B30)</f>
        <v>491531.65</v>
      </c>
      <c r="C31" s="169">
        <f>SUM(C28:C30)</f>
        <v>254446.31999999998</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445868.06</v>
      </c>
      <c r="C36" s="173">
        <f>'DOE25'!G201+'DOE25'!G219+'DOE25'!G237+'DOE25'!G280+'DOE25'!G299+'DOE25'!G318</f>
        <v>94563.74</v>
      </c>
    </row>
    <row r="37" spans="1:3" x14ac:dyDescent="0.2">
      <c r="A37" t="s">
        <v>775</v>
      </c>
      <c r="B37" s="177">
        <v>44069.440000000002</v>
      </c>
      <c r="C37" s="177">
        <v>10712.33</v>
      </c>
    </row>
    <row r="38" spans="1:3" x14ac:dyDescent="0.2">
      <c r="A38" t="s">
        <v>776</v>
      </c>
      <c r="B38" s="177">
        <v>2893.94</v>
      </c>
      <c r="C38" s="177">
        <v>234.67</v>
      </c>
    </row>
    <row r="39" spans="1:3" x14ac:dyDescent="0.2">
      <c r="A39" t="s">
        <v>777</v>
      </c>
      <c r="B39" s="177">
        <v>398904.68</v>
      </c>
      <c r="C39" s="177">
        <f>83616.73+0.01</f>
        <v>83616.739999999991</v>
      </c>
    </row>
    <row r="40" spans="1:3" x14ac:dyDescent="0.2">
      <c r="A40" t="str">
        <f>IF(B36=B40,IF(C36=C40,"Check Total OK","Check Total Error"),"Check Total Error")</f>
        <v>Check Total OK</v>
      </c>
      <c r="B40" s="169">
        <f>SUM(B37:B39)</f>
        <v>445868.06</v>
      </c>
      <c r="C40" s="169">
        <f>SUM(C37:C39)</f>
        <v>94563.739999999991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5" zoomScaleNormal="125" workbookViewId="0">
      <pane ySplit="4" topLeftCell="A10"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Berlin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13521696.989999998</v>
      </c>
      <c r="D5" s="19">
        <f>SUM('DOE25'!L198:L201)+SUM('DOE25'!L216:L219)+SUM('DOE25'!L234:L237)-F5-G5-H5</f>
        <v>13299344.93</v>
      </c>
      <c r="E5" s="180"/>
      <c r="F5" s="181"/>
      <c r="G5" s="19">
        <f>SUM('DOE25'!J198:J201)+SUM('DOE25'!J216:J219)+SUM('DOE25'!J234:J237)</f>
        <v>205321.86</v>
      </c>
      <c r="H5" s="19">
        <f>SUM('DOE25'!K198:K201)+SUM('DOE25'!K216:K219)+SUM('DOE25'!K234:K237)</f>
        <v>17030.2</v>
      </c>
      <c r="I5" s="192"/>
    </row>
    <row r="6" spans="1:9" x14ac:dyDescent="0.2">
      <c r="A6" s="31">
        <v>2100</v>
      </c>
      <c r="B6" t="s">
        <v>796</v>
      </c>
      <c r="C6" s="206">
        <f t="shared" si="0"/>
        <v>2036839.3799999997</v>
      </c>
      <c r="D6" s="19">
        <f>'DOE25'!L203+'DOE25'!L221+'DOE25'!L239-F6-G6-H6</f>
        <v>2032088.5899999996</v>
      </c>
      <c r="E6" s="180"/>
      <c r="F6" s="181"/>
      <c r="G6" s="19">
        <f>'DOE25'!J203+'DOE25'!J221+'DOE25'!J239</f>
        <v>2545.79</v>
      </c>
      <c r="H6" s="19">
        <f>'DOE25'!K203+'DOE25'!K221+'DOE25'!K239</f>
        <v>2205</v>
      </c>
      <c r="I6" s="192"/>
    </row>
    <row r="7" spans="1:9" x14ac:dyDescent="0.2">
      <c r="A7" s="31">
        <v>2200</v>
      </c>
      <c r="B7" t="s">
        <v>820</v>
      </c>
      <c r="C7" s="206">
        <f t="shared" si="0"/>
        <v>294051.02</v>
      </c>
      <c r="D7" s="19">
        <f>'DOE25'!L204+'DOE25'!L222+'DOE25'!L240-F7-G7-H7</f>
        <v>294051.02</v>
      </c>
      <c r="E7" s="180"/>
      <c r="F7" s="181"/>
      <c r="G7" s="19">
        <f>'DOE25'!J204+'DOE25'!J222+'DOE25'!J240</f>
        <v>0</v>
      </c>
      <c r="H7" s="19">
        <f>'DOE25'!K204+'DOE25'!K222+'DOE25'!K240</f>
        <v>0</v>
      </c>
      <c r="I7" s="192"/>
    </row>
    <row r="8" spans="1:9" x14ac:dyDescent="0.2">
      <c r="A8" s="31">
        <v>2300</v>
      </c>
      <c r="B8" t="s">
        <v>797</v>
      </c>
      <c r="C8" s="206">
        <f t="shared" si="0"/>
        <v>789217.34999999986</v>
      </c>
      <c r="D8" s="180"/>
      <c r="E8" s="19">
        <f>'DOE25'!L205+'DOE25'!L223+'DOE25'!L241-F8-G8-H8-D9-D11</f>
        <v>729054.16999999981</v>
      </c>
      <c r="F8" s="181"/>
      <c r="G8" s="19">
        <f>'DOE25'!J205+'DOE25'!J223+'DOE25'!J241</f>
        <v>20953.560000000001</v>
      </c>
      <c r="H8" s="19">
        <f>'DOE25'!K205+'DOE25'!K223+'DOE25'!K241</f>
        <v>39209.619999999995</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1040563.99</v>
      </c>
      <c r="D12" s="19">
        <f>'DOE25'!L206+'DOE25'!L224+'DOE25'!L242-F12-G12-H12</f>
        <v>1021286.16</v>
      </c>
      <c r="E12" s="180"/>
      <c r="F12" s="181"/>
      <c r="G12" s="19">
        <f>'DOE25'!J206+'DOE25'!J224+'DOE25'!J242</f>
        <v>1922.71</v>
      </c>
      <c r="H12" s="19">
        <f>'DOE25'!K206+'DOE25'!K224+'DOE25'!K242</f>
        <v>17355.120000000003</v>
      </c>
      <c r="I12" s="192"/>
    </row>
    <row r="13" spans="1:9" x14ac:dyDescent="0.2">
      <c r="A13" s="31">
        <v>2500</v>
      </c>
      <c r="B13" t="s">
        <v>798</v>
      </c>
      <c r="C13" s="206">
        <f t="shared" si="0"/>
        <v>297304.89</v>
      </c>
      <c r="D13" s="180"/>
      <c r="E13" s="19">
        <f>'DOE25'!L207+'DOE25'!L225+'DOE25'!L243-F13-G13-H13</f>
        <v>296904.89</v>
      </c>
      <c r="F13" s="181"/>
      <c r="G13" s="19">
        <f>'DOE25'!J207+'DOE25'!J225+'DOE25'!J243</f>
        <v>0</v>
      </c>
      <c r="H13" s="19">
        <f>'DOE25'!K207+'DOE25'!K225+'DOE25'!K243</f>
        <v>400</v>
      </c>
      <c r="I13" s="192"/>
    </row>
    <row r="14" spans="1:9" x14ac:dyDescent="0.2">
      <c r="A14" s="31">
        <v>2600</v>
      </c>
      <c r="B14" t="s">
        <v>818</v>
      </c>
      <c r="C14" s="206">
        <f t="shared" si="0"/>
        <v>1768112.67</v>
      </c>
      <c r="D14" s="19">
        <f>'DOE25'!L208+'DOE25'!L226+'DOE25'!L244-F14-G14-H14</f>
        <v>1746521.5999999999</v>
      </c>
      <c r="E14" s="180"/>
      <c r="F14" s="181"/>
      <c r="G14" s="19">
        <f>'DOE25'!J208+'DOE25'!J226+'DOE25'!J244</f>
        <v>21481.07</v>
      </c>
      <c r="H14" s="19">
        <f>'DOE25'!K208+'DOE25'!K226+'DOE25'!K244</f>
        <v>110.00000000000001</v>
      </c>
      <c r="I14" s="192"/>
    </row>
    <row r="15" spans="1:9" x14ac:dyDescent="0.2">
      <c r="A15" s="31">
        <v>2700</v>
      </c>
      <c r="B15" t="s">
        <v>799</v>
      </c>
      <c r="C15" s="206">
        <f t="shared" si="0"/>
        <v>380471.59999999992</v>
      </c>
      <c r="D15" s="19">
        <f>'DOE25'!L209+'DOE25'!L227+'DOE25'!L245-F15-G15-H15</f>
        <v>376457.4499999999</v>
      </c>
      <c r="E15" s="180"/>
      <c r="F15" s="181"/>
      <c r="G15" s="19">
        <f>'DOE25'!J209+'DOE25'!J227+'DOE25'!J245</f>
        <v>3607.15</v>
      </c>
      <c r="H15" s="19">
        <f>'DOE25'!K209+'DOE25'!K227+'DOE25'!K245</f>
        <v>407</v>
      </c>
      <c r="I15" s="192"/>
    </row>
    <row r="16" spans="1:9" x14ac:dyDescent="0.2">
      <c r="A16" s="31">
        <v>2800</v>
      </c>
      <c r="B16" t="s">
        <v>800</v>
      </c>
      <c r="C16" s="206">
        <f t="shared" si="0"/>
        <v>2097.1000000000004</v>
      </c>
      <c r="D16" s="180"/>
      <c r="E16" s="19">
        <f>'DOE25'!L210+'DOE25'!L228+'DOE25'!L246-F16-G16-H16</f>
        <v>2097.1000000000004</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27411.08</v>
      </c>
      <c r="D25" s="180"/>
      <c r="E25" s="180"/>
      <c r="F25" s="191"/>
      <c r="G25" s="180"/>
      <c r="H25" s="180"/>
      <c r="I25" s="190">
        <f>'DOE25'!L261+'DOE25'!L262+'DOE25'!L342+'DOE25'!L343</f>
        <v>27411.08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479981.84</v>
      </c>
      <c r="D29" s="212">
        <f>'DOE25'!L359+'DOE25'!L360+'DOE25'!L361-'DOE25'!I368-F29-G29-H29-F39</f>
        <v>473824.84</v>
      </c>
      <c r="E29" s="180"/>
      <c r="F29" s="180"/>
      <c r="G29" s="19">
        <f>'DOE25'!J359+'DOE25'!J360+'DOE25'!J361</f>
        <v>4560</v>
      </c>
      <c r="H29" s="19">
        <f>'DOE25'!K359+'DOE25'!K360+'DOE25'!K361</f>
        <v>1597</v>
      </c>
      <c r="I29" s="192"/>
    </row>
    <row r="30" spans="1:9" x14ac:dyDescent="0.2">
      <c r="A30" s="31"/>
      <c r="C30" s="207"/>
      <c r="D30" s="19"/>
      <c r="F30" s="201"/>
      <c r="G30" s="19"/>
      <c r="H30" s="19"/>
      <c r="I30" s="192"/>
    </row>
    <row r="31" spans="1:9" x14ac:dyDescent="0.2">
      <c r="A31" s="31" t="s">
        <v>817</v>
      </c>
      <c r="B31" t="s">
        <v>816</v>
      </c>
      <c r="C31" s="206">
        <f>SUM(D31:I31)</f>
        <v>3023263.4000000004</v>
      </c>
      <c r="D31" s="19">
        <f>'DOE25'!L291+'DOE25'!L310+'DOE25'!L329+'DOE25'!L334+'DOE25'!L335+'DOE25'!L336-F31-G31-H31</f>
        <v>2918415.2100000004</v>
      </c>
      <c r="E31" s="180"/>
      <c r="F31" s="181"/>
      <c r="G31" s="19">
        <f>'DOE25'!J291+'DOE25'!J310+'DOE25'!J329+'DOE25'!J334+'DOE25'!J335+'DOE25'!J336</f>
        <v>90844.14</v>
      </c>
      <c r="H31" s="19">
        <f>'DOE25'!K291+'DOE25'!K310+'DOE25'!K329+'DOE25'!K334+'DOE25'!K335+'DOE25'!K336</f>
        <v>14004.05</v>
      </c>
      <c r="I31" s="192"/>
    </row>
    <row r="32" spans="1:9" ht="12" thickBot="1" x14ac:dyDescent="0.25">
      <c r="C32" s="207"/>
      <c r="G32" s="188"/>
      <c r="H32" s="188"/>
      <c r="I32" s="194"/>
    </row>
    <row r="33" spans="1:9" ht="12" thickTop="1" x14ac:dyDescent="0.2">
      <c r="B33" t="s">
        <v>809</v>
      </c>
      <c r="D33" s="182">
        <f t="shared" ref="D33:I33" si="1">SUM(D5:D31)</f>
        <v>22161989.800000001</v>
      </c>
      <c r="E33" s="182">
        <f t="shared" si="1"/>
        <v>1028056.1599999998</v>
      </c>
      <c r="F33" s="182">
        <f t="shared" si="1"/>
        <v>0</v>
      </c>
      <c r="G33" s="182">
        <f t="shared" si="1"/>
        <v>351236.27999999997</v>
      </c>
      <c r="H33" s="182">
        <f t="shared" si="1"/>
        <v>92317.99</v>
      </c>
      <c r="I33" s="182">
        <f t="shared" si="1"/>
        <v>27411.08</v>
      </c>
    </row>
    <row r="34" spans="1:9" ht="12" thickBot="1" x14ac:dyDescent="0.25"/>
    <row r="35" spans="1:9" ht="12" thickBot="1" x14ac:dyDescent="0.25">
      <c r="B35" s="188" t="s">
        <v>830</v>
      </c>
      <c r="D35" s="189">
        <f>E33</f>
        <v>1028056.1599999998</v>
      </c>
      <c r="E35" s="185"/>
      <c r="F35" s="295" t="s">
        <v>1608</v>
      </c>
      <c r="G35" s="296"/>
      <c r="H35" s="296"/>
      <c r="I35" s="297"/>
    </row>
    <row r="36" spans="1:9" ht="12" thickTop="1" x14ac:dyDescent="0.2">
      <c r="B36" t="s">
        <v>810</v>
      </c>
      <c r="D36" s="19">
        <f>D33</f>
        <v>22161989.800000001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13">
        <v>5000</v>
      </c>
      <c r="G42" s="304"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Berlin</v>
      </c>
      <c r="B2">
        <f>'DOE25'!B2</f>
        <v>51</v>
      </c>
      <c r="J2" s="224" t="s">
        <v>1808</v>
      </c>
      <c r="K2" s="308">
        <f>SUM('DOE25'!L198:L201)+SUM('DOE25'!L216:L219)+SUM('DOE25'!L234:L237)+SUM('DOE25'!L277:L280)+SUM('DOE25'!L296:L299)+SUM('DOE25'!L315:L318)</f>
        <v>16188054.549999997</v>
      </c>
      <c r="L2" s="308">
        <f>'DOE25'!L203+'DOE25'!L221+'DOE25'!L239+'DOE25'!L282+'DOE25'!L301+'DOE25'!L320</f>
        <v>2154664.13</v>
      </c>
      <c r="M2" s="308">
        <f>'DOE25'!L204+'DOE25'!L222+'DOE25'!L240+'DOE25'!L283+'DOE25'!L302+'DOE25'!L321</f>
        <v>375856.77</v>
      </c>
      <c r="N2" s="308">
        <f>'DOE25'!L206+'DOE25'!L224+'DOE25'!L242+'DOE25'!L285+'DOE25'!L304+'DOE25'!L323</f>
        <v>1040563.99</v>
      </c>
      <c r="O2" s="308" t="e">
        <f>'Salaries-Benefits'!B19+'Salaries-Benefits'!B12+'Salaries-Benefits'!#REF!+'Salaries-Benefits'!B21+'Salaries-Benefits'!B28+'Salaries-Benefits'!B30+'Salaries-Benefits'!B37+'Salaries-Benefits'!B39</f>
        <v>#REF!</v>
      </c>
      <c r="P2" s="308">
        <f>'Salaries-Benefits'!B11+'Salaries-Benefits'!B20+'Salaries-Benefits'!B29+'Salaries-Benefits'!B38</f>
        <v>1354580.3199999998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-16188054.549999997</v>
      </c>
      <c r="L3" s="310">
        <f t="shared" ref="L3:P3" si="0">L21+L33+L43-L2</f>
        <v>-2154664.13</v>
      </c>
      <c r="M3" s="310">
        <f t="shared" si="0"/>
        <v>-375856.77</v>
      </c>
      <c r="N3" s="310">
        <f t="shared" si="0"/>
        <v>-1040563.99</v>
      </c>
      <c r="O3" s="310" t="e">
        <f t="shared" si="0"/>
        <v>#REF!</v>
      </c>
      <c r="P3" s="310">
        <f t="shared" si="0"/>
        <v>-1354580.3199999998</v>
      </c>
      <c r="Q3" s="309"/>
      <c r="R3" s="305"/>
      <c r="S3" s="215"/>
      <c r="T3" s="215"/>
      <c r="U3" s="216"/>
    </row>
    <row r="4" spans="1:21" ht="55.5" customHeight="1" thickBot="1" x14ac:dyDescent="0.25">
      <c r="A4" s="224" t="s">
        <v>1522</v>
      </c>
      <c r="B4" s="224" t="s">
        <v>1523</v>
      </c>
      <c r="C4" s="224" t="s">
        <v>896</v>
      </c>
      <c r="D4" s="224" t="s">
        <v>786</v>
      </c>
      <c r="E4" s="224" t="s">
        <v>786</v>
      </c>
      <c r="F4" s="228">
        <f>SUM(F5:F20)</f>
        <v>10186483.689999999</v>
      </c>
      <c r="G4" s="229">
        <f>'DOE25'!L212+'DOE25'!L291</f>
        <v>10186483.689999998</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ht="12" thickBot="1" x14ac:dyDescent="0.25">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ht="12" thickTop="1" x14ac:dyDescent="0.2">
      <c r="A6" t="str" cm="1">
        <f t="array" ref="A6">IFERROR(INDEX('School Tables'!$A$4:$G$325,'School Tables'!$J4,3),"")</f>
        <v>Berlin Elementary School</v>
      </c>
      <c r="B6" s="230">
        <f>IFERROR(VLOOKUP(A6,'School Tables'!$C$3:$D$365,2,FALSE),"")</f>
        <v>27035</v>
      </c>
      <c r="C6" s="223" t="str">
        <f>IFERROR(INDEX('School Tables'!$B$3:$B$365,MATCH('School Level Expenditures'!B6,'School Tables'!$D$3:$D$365,0)),"")</f>
        <v>Berlin</v>
      </c>
      <c r="D6" s="314">
        <v>8584623.1600000001</v>
      </c>
      <c r="E6" s="220">
        <v>1601860.53</v>
      </c>
      <c r="F6" s="232">
        <f t="shared" ref="F6:F20" si="1">D6+E6</f>
        <v>10186483.689999999</v>
      </c>
      <c r="G6" s="223"/>
      <c r="H6" s="223"/>
      <c r="J6" t="str">
        <f>A6</f>
        <v>Berlin Elementary School</v>
      </c>
      <c r="K6" s="20"/>
      <c r="L6" s="20"/>
      <c r="M6" s="307"/>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7"/>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8584623.1600000001</v>
      </c>
      <c r="E21" s="262">
        <f>SUM(E5:E20)</f>
        <v>1601860.53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4673314.7</v>
      </c>
      <c r="G24" s="229">
        <f>'DOE25'!L230+'DOE25'!L310</f>
        <v>4673314.7</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Berlin Middle School</v>
      </c>
      <c r="B26" s="230">
        <f>IFERROR(VLOOKUP(A26,'School Tables'!$N$4:$O$75,2,FALSE),"")</f>
        <v>20045</v>
      </c>
      <c r="C26" s="223" t="str">
        <f>IFERROR(INDEX('School Tables'!$M$4:$M$75,MATCH('School Level Expenditures'!A26,'School Tables'!$N$4:$N$75,0)),"")</f>
        <v>Berlin</v>
      </c>
      <c r="D26" s="220">
        <v>4429755.34</v>
      </c>
      <c r="E26" s="220">
        <v>243559.36</v>
      </c>
      <c r="F26" s="232">
        <f t="shared" ref="F26:F32" si="4">D26+E26</f>
        <v>4673314.7</v>
      </c>
      <c r="G26" s="223"/>
      <c r="H26" s="223"/>
      <c r="J26" t="str">
        <f t="shared" ref="J26:J32" si="5">A26</f>
        <v>Berlin Middle School</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4429755.34</v>
      </c>
      <c r="E33" s="262">
        <f>SUM(E25:E32)</f>
        <v>243559.36</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8293820</v>
      </c>
      <c r="G36" s="229">
        <f>'DOE25'!L248+'DOE25'!L329</f>
        <v>8293819.9999999991</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Berlin Senior High School</v>
      </c>
      <c r="B38" s="230">
        <f>IFERROR(VLOOKUP(A38,'School Tables'!$Y$4:$Z$100,2,FALSE),"")</f>
        <v>20050</v>
      </c>
      <c r="C38" s="223" t="str">
        <f>IFERROR(INDEX('School Tables'!$X$4:$X$100,MATCH('School Level Expenditures'!A38,'School Tables'!$Y$4:$Y$100,0)),"")</f>
        <v>Berlin</v>
      </c>
      <c r="D38" s="220">
        <v>7115976.4900000002</v>
      </c>
      <c r="E38" s="220">
        <v>1177843.51</v>
      </c>
      <c r="F38" s="232">
        <f t="shared" si="7"/>
        <v>8293820</v>
      </c>
      <c r="G38" s="223"/>
      <c r="H38" s="223"/>
      <c r="J38" t="str">
        <f t="shared" ref="J38:J42" si="8">A38</f>
        <v>Berlin Senior High School</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7115976.4900000002</v>
      </c>
      <c r="E43" s="263">
        <f>SUM(E37:E42)</f>
        <v>1177843.51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Berlin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391951.81</v>
      </c>
      <c r="E8" s="73">
        <f>'DOE25'!H9</f>
        <v>132685.22</v>
      </c>
      <c r="F8" s="73">
        <f>'DOE25'!I9</f>
        <v>0</v>
      </c>
      <c r="G8" s="73">
        <f>'DOE25'!J9</f>
        <v>0</v>
      </c>
      <c r="H8" s="13">
        <f>SUM(C8:G8)</f>
        <v>524637.03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391951.81</v>
      </c>
      <c r="E18" s="38">
        <f>SUM(E8:E17)</f>
        <v>132685.22</v>
      </c>
      <c r="F18" s="38">
        <f>SUM(F8:F17)</f>
        <v>0</v>
      </c>
      <c r="G18" s="38">
        <f>SUM(G8:G17)</f>
        <v>0</v>
      </c>
      <c r="H18" s="38">
        <f t="shared" si="0"/>
        <v>524637.03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391951.81</v>
      </c>
      <c r="E47" s="73">
        <f>'DOE25'!H48</f>
        <v>132685.22</v>
      </c>
      <c r="F47" s="73">
        <f>'DOE25'!I48</f>
        <v>0</v>
      </c>
      <c r="G47" s="73">
        <f>'DOE25'!J48</f>
        <v>0</v>
      </c>
      <c r="H47" s="13">
        <f t="shared" si="2"/>
        <v>524637.03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0</v>
      </c>
      <c r="D50" s="38">
        <f>SUM(D34:D49)</f>
        <v>391951.81</v>
      </c>
      <c r="E50" s="38">
        <f>SUM(E34:E49)</f>
        <v>132685.22</v>
      </c>
      <c r="F50" s="38">
        <f>SUM(F34:F49)</f>
        <v>0</v>
      </c>
      <c r="G50" s="38">
        <f>SUM(G34:G49)</f>
        <v>0</v>
      </c>
      <c r="H50" s="38">
        <f t="shared" si="2"/>
        <v>524637.03</v>
      </c>
      <c r="I50" s="90"/>
    </row>
    <row r="51" spans="1:9" ht="12" thickTop="1" x14ac:dyDescent="0.2">
      <c r="A51" s="35" t="s">
        <v>884</v>
      </c>
      <c r="B51" s="2"/>
      <c r="C51" s="38">
        <f>C50+C31</f>
        <v>0</v>
      </c>
      <c r="D51" s="38">
        <f>D50+D31</f>
        <v>391951.81</v>
      </c>
      <c r="E51" s="38">
        <f>E50+E31</f>
        <v>132685.22</v>
      </c>
      <c r="F51" s="38">
        <f>F50+F31</f>
        <v>0</v>
      </c>
      <c r="G51" s="38">
        <f>G50+G31</f>
        <v>0</v>
      </c>
      <c r="H51" s="38">
        <f t="shared" si="2"/>
        <v>524637.03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6690505.3399999999</v>
      </c>
      <c r="D56" s="73">
        <f>'DOE25'!G60</f>
        <v>0</v>
      </c>
      <c r="E56" s="73">
        <f>'DOE25'!H60</f>
        <v>0</v>
      </c>
      <c r="F56" s="73">
        <f>'DOE25'!I60</f>
        <v>0</v>
      </c>
      <c r="G56" s="73">
        <f>'DOE25'!J60</f>
        <v>0</v>
      </c>
      <c r="H56" s="13">
        <f t="shared" ref="H56:H63" si="3">SUM(C56:G56)</f>
        <v>6690505.3399999999</v>
      </c>
      <c r="I56"/>
    </row>
    <row r="57" spans="1:9" x14ac:dyDescent="0.2">
      <c r="A57" s="1" t="s">
        <v>164</v>
      </c>
      <c r="B57" s="6" t="s">
        <v>165</v>
      </c>
      <c r="C57" s="73">
        <f>'DOE25'!F79</f>
        <v>1514049.4100000001</v>
      </c>
      <c r="D57" s="23" t="s">
        <v>288</v>
      </c>
      <c r="E57" s="73">
        <f>'DOE25'!H79</f>
        <v>0</v>
      </c>
      <c r="F57" s="23" t="s">
        <v>288</v>
      </c>
      <c r="G57" s="23" t="s">
        <v>288</v>
      </c>
      <c r="H57" s="13">
        <f t="shared" si="3"/>
        <v>1514049.4100000001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228053.23</v>
      </c>
      <c r="E60" s="23" t="s">
        <v>288</v>
      </c>
      <c r="F60" s="23" t="s">
        <v>288</v>
      </c>
      <c r="G60" s="23" t="s">
        <v>288</v>
      </c>
      <c r="H60" s="13">
        <f t="shared" si="3"/>
        <v>228053.23</v>
      </c>
      <c r="I60"/>
    </row>
    <row r="61" spans="1:9" ht="12" thickBot="1" x14ac:dyDescent="0.25">
      <c r="A61" s="1" t="s">
        <v>172</v>
      </c>
      <c r="B61" s="22" t="s">
        <v>173</v>
      </c>
      <c r="C61" s="73">
        <f>SUM('DOE25'!F98:F110)</f>
        <v>214633.04</v>
      </c>
      <c r="D61" s="73">
        <f>SUM('DOE25'!G98:G110)</f>
        <v>0</v>
      </c>
      <c r="E61" s="73">
        <f>SUM('DOE25'!H98:H110)</f>
        <v>131077.23000000001</v>
      </c>
      <c r="F61" s="73">
        <f>SUM('DOE25'!I98:I110)</f>
        <v>0</v>
      </c>
      <c r="G61" s="73">
        <f>SUM('DOE25'!J98:J110)</f>
        <v>0</v>
      </c>
      <c r="H61" s="13">
        <f t="shared" si="3"/>
        <v>345710.27</v>
      </c>
      <c r="I61"/>
    </row>
    <row r="62" spans="1:9" ht="12.75" thickTop="1" thickBot="1" x14ac:dyDescent="0.25">
      <c r="A62" s="28" t="s">
        <v>174</v>
      </c>
      <c r="B62" s="6"/>
      <c r="C62" s="93">
        <f>SUM(C57:C61)</f>
        <v>1728682.4500000002</v>
      </c>
      <c r="D62" s="93">
        <f>SUM(D57:D61)</f>
        <v>228053.23</v>
      </c>
      <c r="E62" s="93">
        <f>SUM(E57:E61)</f>
        <v>131077.23000000001</v>
      </c>
      <c r="F62" s="93">
        <f>SUM(F57:F61)</f>
        <v>0</v>
      </c>
      <c r="G62" s="93">
        <f>SUM(G57:G61)</f>
        <v>0</v>
      </c>
      <c r="H62" s="13">
        <f t="shared" si="3"/>
        <v>2087812.9100000001</v>
      </c>
      <c r="I62"/>
    </row>
    <row r="63" spans="1:9" ht="12" thickTop="1" x14ac:dyDescent="0.2">
      <c r="A63" s="28" t="s">
        <v>175</v>
      </c>
      <c r="B63" s="6"/>
      <c r="C63" s="21">
        <f>C56+C62</f>
        <v>8419187.7899999991</v>
      </c>
      <c r="D63" s="21">
        <f>D56+D62</f>
        <v>228053.23</v>
      </c>
      <c r="E63" s="21">
        <f>E56+E62</f>
        <v>131077.23000000001</v>
      </c>
      <c r="F63" s="21">
        <f>F56+F62</f>
        <v>0</v>
      </c>
      <c r="G63" s="21">
        <f>G56+G62</f>
        <v>0</v>
      </c>
      <c r="H63" s="13">
        <f t="shared" si="3"/>
        <v>8778318.25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10911431.529999999</v>
      </c>
      <c r="D66" s="23" t="s">
        <v>288</v>
      </c>
      <c r="E66" s="23" t="s">
        <v>288</v>
      </c>
      <c r="F66" s="23" t="s">
        <v>288</v>
      </c>
      <c r="G66" s="23" t="s">
        <v>288</v>
      </c>
      <c r="H66" s="13">
        <f t="shared" ref="H66:H81" si="4">SUM(C66:G66)</f>
        <v>10911431.529999999</v>
      </c>
      <c r="I66"/>
    </row>
    <row r="67" spans="1:9" x14ac:dyDescent="0.2">
      <c r="A67" s="1" t="s">
        <v>770</v>
      </c>
      <c r="B67" s="6">
        <v>3112</v>
      </c>
      <c r="C67" s="73">
        <f>'DOE25'!F118</f>
        <v>498819</v>
      </c>
      <c r="D67" s="23"/>
      <c r="E67" s="23"/>
      <c r="F67" s="23"/>
      <c r="G67" s="23"/>
      <c r="H67" s="13">
        <f t="shared" si="4"/>
        <v>498819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11410250.529999999</v>
      </c>
      <c r="D70" s="97">
        <f>D69</f>
        <v>0</v>
      </c>
      <c r="E70" s="97">
        <f>E69</f>
        <v>0</v>
      </c>
      <c r="F70" s="97">
        <f>F69</f>
        <v>0</v>
      </c>
      <c r="G70" s="97">
        <f>G69</f>
        <v>0</v>
      </c>
      <c r="H70" s="13">
        <f t="shared" si="4"/>
        <v>11410250.529999999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74759.149999999994</v>
      </c>
      <c r="D76" s="23" t="s">
        <v>288</v>
      </c>
      <c r="E76" s="73">
        <f>SUM('DOE25'!H127:H130)</f>
        <v>0</v>
      </c>
      <c r="F76" s="73">
        <f>SUM('DOE25'!I127:I130)</f>
        <v>0</v>
      </c>
      <c r="G76" s="23" t="s">
        <v>288</v>
      </c>
      <c r="H76" s="13">
        <f t="shared" si="4"/>
        <v>74759.149999999994</v>
      </c>
      <c r="I76"/>
    </row>
    <row r="77" spans="1:9" ht="12" thickBot="1" x14ac:dyDescent="0.25">
      <c r="A77" s="1" t="s">
        <v>258</v>
      </c>
      <c r="B77" s="6" t="s">
        <v>180</v>
      </c>
      <c r="C77" s="73">
        <f>SUM('DOE25'!F131:F135)</f>
        <v>0</v>
      </c>
      <c r="D77" s="73">
        <f>SUM('DOE25'!G131:G135)</f>
        <v>9482.58</v>
      </c>
      <c r="E77" s="73">
        <f>SUM('DOE25'!H131:H135)</f>
        <v>0</v>
      </c>
      <c r="F77" s="73">
        <f>SUM('DOE25'!I131:I135)</f>
        <v>0</v>
      </c>
      <c r="G77" s="73">
        <f>SUM('DOE25'!J131:J135)</f>
        <v>0</v>
      </c>
      <c r="H77" s="13">
        <f t="shared" si="4"/>
        <v>9482.58</v>
      </c>
      <c r="I77"/>
    </row>
    <row r="78" spans="1:9" ht="12.75" thickTop="1" thickBot="1" x14ac:dyDescent="0.25">
      <c r="A78" s="28" t="s">
        <v>259</v>
      </c>
      <c r="B78" s="6"/>
      <c r="C78" s="93">
        <f>SUM(C72:C77)</f>
        <v>74759.149999999994</v>
      </c>
      <c r="D78" s="93">
        <f>SUM(D72:D77)</f>
        <v>9482.58</v>
      </c>
      <c r="E78" s="93">
        <f>SUM(E72:E77)</f>
        <v>0</v>
      </c>
      <c r="F78" s="93">
        <f>SUM(F72:F77)</f>
        <v>0</v>
      </c>
      <c r="G78" s="93">
        <f>SUM(G72:G77)</f>
        <v>0</v>
      </c>
      <c r="H78" s="13">
        <f t="shared" si="4"/>
        <v>84241.73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11485009.68</v>
      </c>
      <c r="D81" s="93">
        <f>SUM(D79:D80)+D78+D70</f>
        <v>9482.58</v>
      </c>
      <c r="E81" s="93">
        <f>SUM(E79:E80)+E78+E70</f>
        <v>0</v>
      </c>
      <c r="F81" s="93">
        <f>SUM(F79:F80)+F78+F70</f>
        <v>0</v>
      </c>
      <c r="G81" s="93">
        <f>SUM(G79:G80)+G78+G70</f>
        <v>0</v>
      </c>
      <c r="H81" s="93">
        <f t="shared" si="4"/>
        <v>11494492.26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237897.82</v>
      </c>
      <c r="D88" s="253">
        <f>SUM('DOE25'!G153:G162)</f>
        <v>577372.45000000007</v>
      </c>
      <c r="E88" s="253">
        <f>SUM('DOE25'!H153:H162)</f>
        <v>3024871.3899999997</v>
      </c>
      <c r="F88" s="253">
        <f>SUM('DOE25'!I153:I162)</f>
        <v>0</v>
      </c>
      <c r="G88" s="23" t="s">
        <v>288</v>
      </c>
      <c r="H88" s="13">
        <f t="shared" si="5"/>
        <v>3840141.6599999997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15670.78</v>
      </c>
      <c r="D90" s="23" t="s">
        <v>288</v>
      </c>
      <c r="E90" s="23" t="s">
        <v>288</v>
      </c>
      <c r="F90" s="23" t="s">
        <v>288</v>
      </c>
      <c r="G90" s="23" t="s">
        <v>288</v>
      </c>
      <c r="H90" s="13">
        <f t="shared" si="5"/>
        <v>15670.78</v>
      </c>
    </row>
    <row r="91" spans="1:9" ht="12.75" thickTop="1" thickBot="1" x14ac:dyDescent="0.25">
      <c r="A91" s="32" t="s">
        <v>750</v>
      </c>
      <c r="C91" s="94">
        <f>SUM(C85:C90)</f>
        <v>253568.6</v>
      </c>
      <c r="D91" s="94">
        <f>SUM(D85:D90)</f>
        <v>577372.45000000007</v>
      </c>
      <c r="E91" s="94">
        <f>SUM(E85:E90)</f>
        <v>3024871.3899999997</v>
      </c>
      <c r="F91" s="94">
        <f>SUM(F85:F90)</f>
        <v>0</v>
      </c>
      <c r="G91" s="23" t="s">
        <v>288</v>
      </c>
      <c r="H91" s="13">
        <f t="shared" si="5"/>
        <v>3855812.4399999995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20157766.07</v>
      </c>
      <c r="D104" s="68">
        <f>D63+D81+D91+D103</f>
        <v>814908.26</v>
      </c>
      <c r="E104" s="68">
        <f>E63+E81+E91+E103</f>
        <v>3155948.6199999996</v>
      </c>
      <c r="F104" s="68">
        <f>F63+F81+F91+F103</f>
        <v>0</v>
      </c>
      <c r="G104" s="68">
        <f>G63+G81+G103</f>
        <v>0</v>
      </c>
      <c r="H104" s="68">
        <f t="shared" si="5"/>
        <v>24128622.950000003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8268168.5399999991</v>
      </c>
      <c r="D109" s="23" t="s">
        <v>288</v>
      </c>
      <c r="E109" s="73">
        <f>('DOE25'!L277)+('DOE25'!L296)+('DOE25'!L315)</f>
        <v>1186686.3199999998</v>
      </c>
      <c r="F109" s="23" t="s">
        <v>288</v>
      </c>
      <c r="G109" s="23" t="s">
        <v>288</v>
      </c>
      <c r="H109" s="13">
        <f t="shared" ref="H109:H115" si="6">SUM(C109:G109)</f>
        <v>9454854.8599999994</v>
      </c>
    </row>
    <row r="110" spans="1:8" x14ac:dyDescent="0.2">
      <c r="A110" t="s">
        <v>198</v>
      </c>
      <c r="B110" s="31" t="s">
        <v>199</v>
      </c>
      <c r="C110" s="73">
        <f>('DOE25'!L199)+('DOE25'!L217)+('DOE25'!L235)</f>
        <v>3992683.63</v>
      </c>
      <c r="D110" s="23" t="s">
        <v>288</v>
      </c>
      <c r="E110" s="73">
        <f>('DOE25'!L278)+('DOE25'!L297)+('DOE25'!L316)</f>
        <v>1164481.56</v>
      </c>
      <c r="F110" s="23" t="s">
        <v>288</v>
      </c>
      <c r="G110" s="23" t="s">
        <v>288</v>
      </c>
      <c r="H110" s="13">
        <f t="shared" si="6"/>
        <v>5157165.1899999995</v>
      </c>
    </row>
    <row r="111" spans="1:8" x14ac:dyDescent="0.2">
      <c r="A111" t="s">
        <v>200</v>
      </c>
      <c r="B111" s="31" t="s">
        <v>165</v>
      </c>
      <c r="C111" s="73">
        <f>('DOE25'!L200)+('DOE25'!L218)+('DOE25'!L236)</f>
        <v>788762.78</v>
      </c>
      <c r="D111" s="23" t="s">
        <v>288</v>
      </c>
      <c r="E111" s="73">
        <f>('DOE25'!L279)+('DOE25'!L298)+('DOE25'!L317)</f>
        <v>78320.52</v>
      </c>
      <c r="F111" s="23" t="s">
        <v>288</v>
      </c>
      <c r="G111" s="23" t="s">
        <v>288</v>
      </c>
      <c r="H111" s="13">
        <f t="shared" si="6"/>
        <v>867083.3</v>
      </c>
    </row>
    <row r="112" spans="1:8" x14ac:dyDescent="0.2">
      <c r="A112" t="s">
        <v>201</v>
      </c>
      <c r="B112" s="31" t="s">
        <v>167</v>
      </c>
      <c r="C112" s="73">
        <f>('DOE25'!L201)+('DOE25'!L219)+('DOE25'!L237)</f>
        <v>472082.04000000004</v>
      </c>
      <c r="D112" s="23" t="s">
        <v>288</v>
      </c>
      <c r="E112" s="73">
        <f>+('DOE25'!L280)+('DOE25'!L299)+('DOE25'!L318)</f>
        <v>236869.15999999997</v>
      </c>
      <c r="F112" s="23" t="s">
        <v>288</v>
      </c>
      <c r="G112" s="23" t="s">
        <v>288</v>
      </c>
      <c r="H112" s="13">
        <f t="shared" si="6"/>
        <v>708951.2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13521696.989999998</v>
      </c>
      <c r="D115" s="68">
        <f>SUM(D109:D114)</f>
        <v>0</v>
      </c>
      <c r="E115" s="68">
        <f>SUM(E109:E114)</f>
        <v>2666357.56</v>
      </c>
      <c r="F115" s="68">
        <f>SUM(F109:F114)</f>
        <v>0</v>
      </c>
      <c r="G115" s="68">
        <f>SUM(G109:G114)</f>
        <v>0</v>
      </c>
      <c r="H115" s="68">
        <f t="shared" si="6"/>
        <v>16188054.549999999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2036839.3799999997</v>
      </c>
      <c r="D118" s="23" t="s">
        <v>288</v>
      </c>
      <c r="E118" s="73">
        <f>+('DOE25'!L282)+('DOE25'!L301)+('DOE25'!L320)</f>
        <v>117824.75</v>
      </c>
      <c r="F118" s="23" t="s">
        <v>288</v>
      </c>
      <c r="G118" s="23" t="s">
        <v>288</v>
      </c>
      <c r="H118" s="13">
        <f t="shared" ref="H118:H145" si="7">SUM(C118:G118)</f>
        <v>2154664.13</v>
      </c>
    </row>
    <row r="119" spans="1:8" x14ac:dyDescent="0.2">
      <c r="A119" t="s">
        <v>208</v>
      </c>
      <c r="B119" s="31" t="s">
        <v>209</v>
      </c>
      <c r="C119" s="73">
        <f>('DOE25'!L204)+('DOE25'!L222)+('DOE25'!L240)</f>
        <v>294051.02</v>
      </c>
      <c r="D119" s="23" t="s">
        <v>288</v>
      </c>
      <c r="E119" s="73">
        <f>+('DOE25'!L283)+('DOE25'!L302)+('DOE25'!L321)</f>
        <v>81805.75</v>
      </c>
      <c r="F119" s="23" t="s">
        <v>288</v>
      </c>
      <c r="G119" s="23" t="s">
        <v>288</v>
      </c>
      <c r="H119" s="13">
        <f t="shared" si="7"/>
        <v>375856.77</v>
      </c>
    </row>
    <row r="120" spans="1:8" x14ac:dyDescent="0.2">
      <c r="A120" t="s">
        <v>210</v>
      </c>
      <c r="B120" s="31" t="s">
        <v>211</v>
      </c>
      <c r="C120" s="73">
        <f>('DOE25'!L205)+('DOE25'!L223)+('DOE25'!L241)</f>
        <v>789217.34999999986</v>
      </c>
      <c r="D120" s="23" t="s">
        <v>288</v>
      </c>
      <c r="E120" s="73">
        <f>+('DOE25'!L284)+('DOE25'!L303)+('DOE25'!L322)</f>
        <v>0</v>
      </c>
      <c r="F120" s="23" t="s">
        <v>288</v>
      </c>
      <c r="G120" s="23" t="s">
        <v>288</v>
      </c>
      <c r="H120" s="13">
        <f t="shared" si="7"/>
        <v>789217.34999999986</v>
      </c>
    </row>
    <row r="121" spans="1:8" x14ac:dyDescent="0.2">
      <c r="A121" t="s">
        <v>212</v>
      </c>
      <c r="B121" s="31" t="s">
        <v>213</v>
      </c>
      <c r="C121" s="73">
        <f>('DOE25'!L206)+('DOE25'!L224)+('DOE25'!L242)</f>
        <v>1040563.99</v>
      </c>
      <c r="D121" s="23" t="s">
        <v>288</v>
      </c>
      <c r="E121" s="73">
        <f>+('DOE25'!L285)+('DOE25'!L304)+('DOE25'!L323)</f>
        <v>0</v>
      </c>
      <c r="F121" s="23" t="s">
        <v>288</v>
      </c>
      <c r="G121" s="23" t="s">
        <v>288</v>
      </c>
      <c r="H121" s="13">
        <f t="shared" si="7"/>
        <v>1040563.99</v>
      </c>
    </row>
    <row r="122" spans="1:8" x14ac:dyDescent="0.2">
      <c r="A122" t="s">
        <v>214</v>
      </c>
      <c r="B122" s="31" t="s">
        <v>215</v>
      </c>
      <c r="C122" s="73">
        <f>('DOE25'!L207)+('DOE25'!L225)+('DOE25'!L243)</f>
        <v>297304.89</v>
      </c>
      <c r="D122" s="23" t="s">
        <v>288</v>
      </c>
      <c r="E122" s="73">
        <f>+('DOE25'!L286)+('DOE25'!L305)+('DOE25'!L324)</f>
        <v>0</v>
      </c>
      <c r="F122" s="23" t="s">
        <v>288</v>
      </c>
      <c r="G122" s="23" t="s">
        <v>288</v>
      </c>
      <c r="H122" s="13">
        <f t="shared" si="7"/>
        <v>297304.89</v>
      </c>
    </row>
    <row r="123" spans="1:8" x14ac:dyDescent="0.2">
      <c r="A123" t="s">
        <v>216</v>
      </c>
      <c r="B123" s="31" t="s">
        <v>217</v>
      </c>
      <c r="C123" s="73">
        <f>('DOE25'!L208)+('DOE25'!L226)+('DOE25'!L244)</f>
        <v>1768112.67</v>
      </c>
      <c r="D123" s="23" t="s">
        <v>288</v>
      </c>
      <c r="E123" s="73">
        <f>+('DOE25'!L287)+('DOE25'!L306)+('DOE25'!L325)</f>
        <v>156262.97</v>
      </c>
      <c r="F123" s="23" t="s">
        <v>288</v>
      </c>
      <c r="G123" s="23" t="s">
        <v>288</v>
      </c>
      <c r="H123" s="13">
        <f t="shared" si="7"/>
        <v>1924375.64</v>
      </c>
    </row>
    <row r="124" spans="1:8" x14ac:dyDescent="0.2">
      <c r="A124" t="s">
        <v>218</v>
      </c>
      <c r="B124" s="31" t="s">
        <v>219</v>
      </c>
      <c r="C124" s="73">
        <f>('DOE25'!L209)+('DOE25'!L227)+('DOE25'!L245+'DOE25'!L255)</f>
        <v>380471.59999999992</v>
      </c>
      <c r="D124" s="23" t="s">
        <v>288</v>
      </c>
      <c r="E124" s="73">
        <f>+('DOE25'!L288)+('DOE25'!L307)+('DOE25'!L326)</f>
        <v>1012.37</v>
      </c>
      <c r="F124" s="23" t="s">
        <v>288</v>
      </c>
      <c r="G124" s="23" t="s">
        <v>288</v>
      </c>
      <c r="H124" s="13">
        <f t="shared" si="7"/>
        <v>381483.96999999991</v>
      </c>
    </row>
    <row r="125" spans="1:8" x14ac:dyDescent="0.2">
      <c r="A125" t="s">
        <v>220</v>
      </c>
      <c r="B125" s="31" t="s">
        <v>221</v>
      </c>
      <c r="C125" s="73">
        <f>('DOE25'!L210)+('DOE25'!L228)+('DOE25'!L246)</f>
        <v>2097.1000000000004</v>
      </c>
      <c r="D125" s="23" t="s">
        <v>288</v>
      </c>
      <c r="E125" s="73">
        <f>+('DOE25'!L289)+('DOE25'!L308)+('DOE25'!L327)</f>
        <v>0</v>
      </c>
      <c r="F125" s="23" t="s">
        <v>288</v>
      </c>
      <c r="G125" s="23" t="s">
        <v>288</v>
      </c>
      <c r="H125" s="13">
        <f t="shared" si="7"/>
        <v>2097.1000000000004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783531.25</v>
      </c>
      <c r="E127" s="23" t="s">
        <v>288</v>
      </c>
      <c r="F127" s="23" t="s">
        <v>288</v>
      </c>
      <c r="G127" s="23" t="s">
        <v>288</v>
      </c>
      <c r="H127" s="13">
        <f t="shared" si="7"/>
        <v>783531.25</v>
      </c>
    </row>
    <row r="128" spans="1:8" ht="12.75" thickTop="1" thickBot="1" x14ac:dyDescent="0.25">
      <c r="A128" s="32" t="s">
        <v>226</v>
      </c>
      <c r="C128" s="68">
        <f>SUM(C118:C127)</f>
        <v>6608657.9999999981</v>
      </c>
      <c r="D128" s="68">
        <f>SUM(D118:D127)</f>
        <v>783531.25</v>
      </c>
      <c r="E128" s="68">
        <f>SUM(E118:E127)</f>
        <v>356905.83999999997</v>
      </c>
      <c r="F128" s="68">
        <f>SUM(F118:F127)</f>
        <v>0</v>
      </c>
      <c r="G128" s="68">
        <f>SUM(G118:G127)</f>
        <v>0</v>
      </c>
      <c r="H128" s="68">
        <f t="shared" si="7"/>
        <v>7749095.089999998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24900</v>
      </c>
      <c r="D131" s="23" t="s">
        <v>288</v>
      </c>
      <c r="E131" s="92">
        <f>'DOE25'!L342</f>
        <v>0</v>
      </c>
      <c r="F131" s="23" t="s">
        <v>288</v>
      </c>
      <c r="G131" s="23" t="s">
        <v>288</v>
      </c>
      <c r="H131" s="13">
        <f t="shared" si="7"/>
        <v>24900</v>
      </c>
    </row>
    <row r="132" spans="1:8" x14ac:dyDescent="0.2">
      <c r="A132" t="s">
        <v>230</v>
      </c>
      <c r="B132" s="31">
        <v>5120</v>
      </c>
      <c r="C132" s="73">
        <f>'DOE25'!L262</f>
        <v>2511.08</v>
      </c>
      <c r="D132" s="23" t="s">
        <v>288</v>
      </c>
      <c r="E132" s="92">
        <f>'DOE25'!L343</f>
        <v>0</v>
      </c>
      <c r="F132" s="23" t="s">
        <v>288</v>
      </c>
      <c r="G132" s="23" t="s">
        <v>288</v>
      </c>
      <c r="H132" s="13">
        <f t="shared" si="7"/>
        <v>2511.08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27411.08</v>
      </c>
      <c r="D144" s="98">
        <f>SUM(D130:D143)</f>
        <v>0</v>
      </c>
      <c r="E144" s="98">
        <f>SUM(E130:E143)</f>
        <v>0</v>
      </c>
      <c r="F144" s="98">
        <f>SUM(F130:F143)</f>
        <v>0</v>
      </c>
      <c r="G144" s="98">
        <f>SUM(G130:G143)</f>
        <v>0</v>
      </c>
      <c r="H144" s="98">
        <f t="shared" si="7"/>
        <v>27411.08</v>
      </c>
    </row>
    <row r="145" spans="1:9" ht="12.75" thickTop="1" thickBot="1" x14ac:dyDescent="0.25">
      <c r="A145" s="32" t="s">
        <v>244</v>
      </c>
      <c r="C145" s="68">
        <f>(C115+C128+C144)</f>
        <v>20157766.069999993</v>
      </c>
      <c r="D145" s="68">
        <f>(D115+D128+D144)</f>
        <v>783531.25</v>
      </c>
      <c r="E145" s="68">
        <f>(E115+E128+E144)</f>
        <v>3023263.4</v>
      </c>
      <c r="F145" s="68">
        <f>(F115+F128+F144)</f>
        <v>0</v>
      </c>
      <c r="G145" s="68">
        <f>(G115+G128+G144)</f>
        <v>0</v>
      </c>
      <c r="H145" s="68">
        <f t="shared" si="7"/>
        <v>23964560.719999991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29</v>
      </c>
      <c r="C151" s="110">
        <f>'DOE25'!G491</f>
        <v>0</v>
      </c>
      <c r="D151" s="110">
        <f>'DOE25'!H491</f>
        <v>0</v>
      </c>
      <c r="E151" s="110">
        <f>'DOE25'!I491</f>
        <v>0</v>
      </c>
      <c r="F151" s="110">
        <f>'DOE25'!J491</f>
        <v>0</v>
      </c>
      <c r="G151" s="23" t="s">
        <v>288</v>
      </c>
    </row>
    <row r="152" spans="1:9" x14ac:dyDescent="0.2">
      <c r="A152" s="21" t="s">
        <v>28</v>
      </c>
      <c r="B152" s="109" t="str">
        <f>'DOE25'!F492</f>
        <v>01/10</v>
      </c>
      <c r="C152" s="109">
        <f>'DOE25'!G492</f>
        <v>0</v>
      </c>
      <c r="D152" s="109">
        <f>'DOE25'!H492</f>
        <v>0</v>
      </c>
      <c r="E152" s="109">
        <f>'DOE25'!I492</f>
        <v>0</v>
      </c>
      <c r="F152" s="109">
        <f>'DOE25'!J492</f>
        <v>0</v>
      </c>
      <c r="G152" s="23" t="s">
        <v>288</v>
      </c>
    </row>
    <row r="153" spans="1:9" x14ac:dyDescent="0.2">
      <c r="A153" s="21" t="s">
        <v>29</v>
      </c>
      <c r="B153" s="109" t="str">
        <f>'DOE25'!F493</f>
        <v>8/25</v>
      </c>
      <c r="C153" s="109">
        <f>'DOE25'!G493</f>
        <v>0</v>
      </c>
      <c r="D153" s="109">
        <f>'DOE25'!H493</f>
        <v>0</v>
      </c>
      <c r="E153" s="109">
        <f>'DOE25'!I493</f>
        <v>0</v>
      </c>
      <c r="F153" s="109">
        <f>'DOE25'!J493</f>
        <v>0</v>
      </c>
      <c r="G153" s="23" t="s">
        <v>288</v>
      </c>
    </row>
    <row r="154" spans="1:9" x14ac:dyDescent="0.2">
      <c r="A154" s="21" t="s">
        <v>30</v>
      </c>
      <c r="B154" s="19">
        <f>'DOE25'!F494</f>
        <v>357204.63</v>
      </c>
      <c r="C154" s="19">
        <f>'DOE25'!G494</f>
        <v>0</v>
      </c>
      <c r="D154" s="19">
        <f>'DOE25'!H494</f>
        <v>0</v>
      </c>
      <c r="E154" s="19">
        <f>'DOE25'!I494</f>
        <v>0</v>
      </c>
      <c r="F154" s="19">
        <f>'DOE25'!J494</f>
        <v>0</v>
      </c>
      <c r="G154" s="23" t="s">
        <v>288</v>
      </c>
    </row>
    <row r="155" spans="1:9" x14ac:dyDescent="0.2">
      <c r="A155" s="21" t="s">
        <v>31</v>
      </c>
      <c r="B155" s="19">
        <f>'DOE25'!F495</f>
        <v>2.85</v>
      </c>
      <c r="C155" s="19">
        <f>'DOE25'!G495</f>
        <v>0</v>
      </c>
      <c r="D155" s="19">
        <f>'DOE25'!H495</f>
        <v>0</v>
      </c>
      <c r="E155" s="19">
        <f>'DOE25'!I495</f>
        <v>0</v>
      </c>
      <c r="F155" s="19">
        <f>'DOE25'!J495</f>
        <v>0</v>
      </c>
      <c r="G155" s="23" t="s">
        <v>288</v>
      </c>
    </row>
    <row r="156" spans="1:9" x14ac:dyDescent="0.2">
      <c r="A156" s="21" t="s">
        <v>32</v>
      </c>
      <c r="B156" s="19">
        <f>'DOE25'!F496</f>
        <v>122788.93</v>
      </c>
      <c r="C156" s="19">
        <f>'DOE25'!G496</f>
        <v>0</v>
      </c>
      <c r="D156" s="19">
        <f>'DOE25'!H496</f>
        <v>0</v>
      </c>
      <c r="E156" s="19">
        <f>'DOE25'!I496</f>
        <v>0</v>
      </c>
      <c r="F156" s="19">
        <f>'DOE25'!J496</f>
        <v>0</v>
      </c>
      <c r="G156" s="96">
        <f>SUM(B156:F156)</f>
        <v>122788.93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24900</v>
      </c>
      <c r="C158" s="19">
        <f>'DOE25'!G498</f>
        <v>0</v>
      </c>
      <c r="D158" s="19">
        <f>'DOE25'!H498</f>
        <v>0</v>
      </c>
      <c r="E158" s="19">
        <f>'DOE25'!I498</f>
        <v>0</v>
      </c>
      <c r="F158" s="19">
        <f>'DOE25'!J498</f>
        <v>0</v>
      </c>
      <c r="G158" s="96">
        <f t="shared" si="8"/>
        <v>24900</v>
      </c>
    </row>
    <row r="159" spans="1:9" x14ac:dyDescent="0.2">
      <c r="A159" s="21" t="s">
        <v>35</v>
      </c>
      <c r="B159" s="19">
        <f>'DOE25'!F499</f>
        <v>81853.33</v>
      </c>
      <c r="C159" s="19">
        <f>'DOE25'!G499</f>
        <v>0</v>
      </c>
      <c r="D159" s="19">
        <f>'DOE25'!H499</f>
        <v>0</v>
      </c>
      <c r="E159" s="19">
        <f>'DOE25'!I499</f>
        <v>0</v>
      </c>
      <c r="F159" s="19">
        <f>'DOE25'!J499</f>
        <v>0</v>
      </c>
      <c r="G159" s="96">
        <f t="shared" si="8"/>
        <v>81853.33</v>
      </c>
    </row>
    <row r="160" spans="1:9" x14ac:dyDescent="0.2">
      <c r="A160" s="21" t="s">
        <v>36</v>
      </c>
      <c r="B160" s="19">
        <f>'DOE25'!F500</f>
        <v>3457.45</v>
      </c>
      <c r="C160" s="19">
        <f>'DOE25'!G500</f>
        <v>0</v>
      </c>
      <c r="D160" s="19">
        <f>'DOE25'!H500</f>
        <v>0</v>
      </c>
      <c r="E160" s="19">
        <f>'DOE25'!I500</f>
        <v>0</v>
      </c>
      <c r="F160" s="19">
        <f>'DOE25'!J500</f>
        <v>0</v>
      </c>
      <c r="G160" s="96">
        <f t="shared" si="8"/>
        <v>3457.45</v>
      </c>
    </row>
    <row r="161" spans="1:7" x14ac:dyDescent="0.2">
      <c r="A161" s="21" t="s">
        <v>37</v>
      </c>
      <c r="B161" s="19">
        <f>'DOE25'!F501</f>
        <v>85310.78</v>
      </c>
      <c r="C161" s="19">
        <f>'DOE25'!G501</f>
        <v>0</v>
      </c>
      <c r="D161" s="19">
        <f>'DOE25'!H501</f>
        <v>0</v>
      </c>
      <c r="E161" s="19">
        <f>'DOE25'!I501</f>
        <v>0</v>
      </c>
      <c r="F161" s="19">
        <f>'DOE25'!J501</f>
        <v>0</v>
      </c>
      <c r="G161" s="96">
        <f t="shared" si="8"/>
        <v>85310.78</v>
      </c>
    </row>
    <row r="162" spans="1:7" x14ac:dyDescent="0.2">
      <c r="A162" s="21" t="s">
        <v>38</v>
      </c>
      <c r="B162" s="19">
        <f>'DOE25'!F502</f>
        <v>55625.33</v>
      </c>
      <c r="C162" s="19">
        <f>'DOE25'!G502</f>
        <v>0</v>
      </c>
      <c r="D162" s="19">
        <f>'DOE25'!H502</f>
        <v>0</v>
      </c>
      <c r="E162" s="19">
        <f>'DOE25'!I502</f>
        <v>0</v>
      </c>
      <c r="F162" s="19">
        <f>'DOE25'!J502</f>
        <v>0</v>
      </c>
      <c r="G162" s="96">
        <f t="shared" si="8"/>
        <v>55625.33</v>
      </c>
    </row>
    <row r="163" spans="1:7" x14ac:dyDescent="0.2">
      <c r="A163" s="21" t="s">
        <v>39</v>
      </c>
      <c r="B163" s="19">
        <f>'DOE25'!F503</f>
        <v>3457.45</v>
      </c>
      <c r="C163" s="19">
        <f>'DOE25'!G503</f>
        <v>0</v>
      </c>
      <c r="D163" s="19">
        <f>'DOE25'!H503</f>
        <v>0</v>
      </c>
      <c r="E163" s="19">
        <f>'DOE25'!I503</f>
        <v>0</v>
      </c>
      <c r="F163" s="19">
        <f>'DOE25'!J503</f>
        <v>0</v>
      </c>
      <c r="G163" s="96">
        <f t="shared" si="8"/>
        <v>3457.45</v>
      </c>
    </row>
    <row r="164" spans="1:7" x14ac:dyDescent="0.2">
      <c r="A164" s="21" t="s">
        <v>246</v>
      </c>
      <c r="B164" s="19">
        <f>'DOE25'!F504</f>
        <v>59082.78</v>
      </c>
      <c r="C164" s="19">
        <f>'DOE25'!G504</f>
        <v>0</v>
      </c>
      <c r="D164" s="19">
        <f>'DOE25'!H504</f>
        <v>0</v>
      </c>
      <c r="E164" s="19">
        <f>'DOE25'!I504</f>
        <v>0</v>
      </c>
      <c r="F164" s="19">
        <f>'DOE25'!J504</f>
        <v>0</v>
      </c>
      <c r="G164" s="96">
        <f t="shared" si="8"/>
        <v>59082.78</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25" right="0.2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Berlin</v>
      </c>
    </row>
    <row r="3" spans="1:4" x14ac:dyDescent="0.2">
      <c r="B3" s="137" t="s">
        <v>1799</v>
      </c>
    </row>
    <row r="4" spans="1:4" x14ac:dyDescent="0.2">
      <c r="B4" t="s">
        <v>61</v>
      </c>
      <c r="C4" s="129">
        <f>IF('DOE25'!F666+'DOE25'!F671=0,0,ROUND('DOE25'!F673,0))</f>
        <v>22802</v>
      </c>
    </row>
    <row r="5" spans="1:4" x14ac:dyDescent="0.2">
      <c r="B5" t="s">
        <v>700</v>
      </c>
      <c r="C5" s="129">
        <f>IF('DOE25'!G666+'DOE25'!G671=0,0,ROUND('DOE25'!G673,0))</f>
        <v>19404</v>
      </c>
    </row>
    <row r="6" spans="1:4" x14ac:dyDescent="0.2">
      <c r="B6" t="s">
        <v>62</v>
      </c>
      <c r="C6" s="129">
        <f>IF('DOE25'!H666+'DOE25'!H671=0,0,ROUND('DOE25'!H673,0))</f>
        <v>21625</v>
      </c>
    </row>
    <row r="7" spans="1:4" x14ac:dyDescent="0.2">
      <c r="B7" t="s">
        <v>701</v>
      </c>
      <c r="C7" s="129">
        <f>IF('DOE25'!I666+'DOE25'!I671=0,0,ROUND('DOE25'!I673,0))</f>
        <v>21635</v>
      </c>
    </row>
    <row r="9" spans="1:4" x14ac:dyDescent="0.2">
      <c r="A9" s="136" t="s">
        <v>94</v>
      </c>
      <c r="B9" s="137" t="s">
        <v>1800</v>
      </c>
      <c r="C9" s="131" t="s">
        <v>720</v>
      </c>
      <c r="D9" s="131" t="s">
        <v>721</v>
      </c>
    </row>
    <row r="10" spans="1:4" x14ac:dyDescent="0.2">
      <c r="A10">
        <v>1100</v>
      </c>
      <c r="B10" t="s">
        <v>702</v>
      </c>
      <c r="C10" s="129">
        <f>ROUND('DOE25'!L198+'DOE25'!L216+'DOE25'!L234+'DOE25'!L277+'DOE25'!L296+'DOE25'!L315,0)</f>
        <v>9454855</v>
      </c>
      <c r="D10" s="132">
        <f>ROUND((C10/$C$28)*100,1)</f>
        <v>39.9</v>
      </c>
    </row>
    <row r="11" spans="1:4" x14ac:dyDescent="0.2">
      <c r="A11">
        <v>1200</v>
      </c>
      <c r="B11" t="s">
        <v>703</v>
      </c>
      <c r="C11" s="129">
        <f>ROUND('DOE25'!L199+'DOE25'!L217+'DOE25'!L235+'DOE25'!L278+'DOE25'!L297+'DOE25'!L316,0)</f>
        <v>5157165</v>
      </c>
      <c r="D11" s="132">
        <f>ROUND((C11/$C$28)*100,1)</f>
        <v>21.7</v>
      </c>
    </row>
    <row r="12" spans="1:4" x14ac:dyDescent="0.2">
      <c r="A12">
        <v>1300</v>
      </c>
      <c r="B12" t="s">
        <v>704</v>
      </c>
      <c r="C12" s="129">
        <f>ROUND('DOE25'!L200+'DOE25'!L218+'DOE25'!L236+'DOE25'!L279+'DOE25'!L298+'DOE25'!L317,0)</f>
        <v>867083</v>
      </c>
      <c r="D12" s="132">
        <f>ROUND((C12/$C$28)*100,1)</f>
        <v>3.7</v>
      </c>
    </row>
    <row r="13" spans="1:4" x14ac:dyDescent="0.2">
      <c r="A13">
        <v>1400</v>
      </c>
      <c r="B13" t="s">
        <v>705</v>
      </c>
      <c r="C13" s="129">
        <f>ROUND('DOE25'!L201+'DOE25'!L219+'DOE25'!L237+'DOE25'!L280+'DOE25'!L299+'DOE25'!L318,0)</f>
        <v>708951</v>
      </c>
      <c r="D13" s="132">
        <f>ROUND((C13/$C$28)*100,1)</f>
        <v>3</v>
      </c>
    </row>
    <row r="14" spans="1:4" x14ac:dyDescent="0.2">
      <c r="D14" s="132"/>
    </row>
    <row r="15" spans="1:4" x14ac:dyDescent="0.2">
      <c r="A15">
        <v>2100</v>
      </c>
      <c r="B15" t="s">
        <v>706</v>
      </c>
      <c r="C15" s="129">
        <f>ROUND('DOE25'!L203+'DOE25'!L221+'DOE25'!L239+'DOE25'!L282+'DOE25'!L301+'DOE25'!L320,0)</f>
        <v>2154664</v>
      </c>
      <c r="D15" s="132">
        <f t="shared" ref="D15:D27" si="0">ROUND((C15/$C$28)*100,1)</f>
        <v>9.1</v>
      </c>
    </row>
    <row r="16" spans="1:4" x14ac:dyDescent="0.2">
      <c r="A16">
        <v>2200</v>
      </c>
      <c r="B16" t="s">
        <v>707</v>
      </c>
      <c r="C16" s="129">
        <f>ROUND('DOE25'!L204+'DOE25'!L222+'DOE25'!L240+'DOE25'!L283+'DOE25'!L302+'DOE25'!L321,0)</f>
        <v>375857</v>
      </c>
      <c r="D16" s="132">
        <f t="shared" si="0"/>
        <v>1.6</v>
      </c>
    </row>
    <row r="17" spans="1:4" x14ac:dyDescent="0.2">
      <c r="A17" s="133" t="s">
        <v>723</v>
      </c>
      <c r="B17" t="s">
        <v>738</v>
      </c>
      <c r="C17" s="129">
        <f>ROUND('DOE25'!L205+'DOE25'!L210+'DOE25'!L223+'DOE25'!L228+'DOE25'!L241+'DOE25'!L246+'DOE25'!L284+'DOE25'!L289+'DOE25'!L303+'DOE25'!L308+'DOE25'!L322+'DOE25'!L327,0)</f>
        <v>791314</v>
      </c>
      <c r="D17" s="132">
        <f t="shared" si="0"/>
        <v>3.3</v>
      </c>
    </row>
    <row r="18" spans="1:4" x14ac:dyDescent="0.2">
      <c r="A18">
        <v>2400</v>
      </c>
      <c r="B18" t="s">
        <v>711</v>
      </c>
      <c r="C18" s="129">
        <f>ROUND('DOE25'!L206+'DOE25'!L224+'DOE25'!L242+'DOE25'!L285+'DOE25'!L304+'DOE25'!L323,0)</f>
        <v>1040564</v>
      </c>
      <c r="D18" s="132">
        <f t="shared" si="0"/>
        <v>4.4000000000000004</v>
      </c>
    </row>
    <row r="19" spans="1:4" x14ac:dyDescent="0.2">
      <c r="A19">
        <v>2500</v>
      </c>
      <c r="B19" t="s">
        <v>708</v>
      </c>
      <c r="C19" s="129">
        <f>ROUND('DOE25'!L207+'DOE25'!L225+'DOE25'!L243+'DOE25'!L286+'DOE25'!L305+'DOE25'!L324,0)</f>
        <v>297305</v>
      </c>
      <c r="D19" s="132">
        <f t="shared" si="0"/>
        <v>1.3</v>
      </c>
    </row>
    <row r="20" spans="1:4" x14ac:dyDescent="0.2">
      <c r="A20">
        <v>2600</v>
      </c>
      <c r="B20" t="s">
        <v>709</v>
      </c>
      <c r="C20" s="129">
        <f>ROUND('DOE25'!L208+'DOE25'!L226+'DOE25'!L244+'DOE25'!L287+'DOE25'!L306+'DOE25'!L325,0)</f>
        <v>1924376</v>
      </c>
      <c r="D20" s="132">
        <f t="shared" si="0"/>
        <v>8.1</v>
      </c>
    </row>
    <row r="21" spans="1:4" x14ac:dyDescent="0.2">
      <c r="A21">
        <v>2700</v>
      </c>
      <c r="B21" t="s">
        <v>710</v>
      </c>
      <c r="C21" s="129">
        <f>ROUND('DOE25'!L209+'DOE25'!L227+'DOE25'!L245+'DOE25'!L288+'DOE25'!L307+'DOE25'!L326,0)</f>
        <v>381484</v>
      </c>
      <c r="D21" s="132">
        <f t="shared" si="0"/>
        <v>1.6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2511</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555477.77</v>
      </c>
      <c r="D27" s="132">
        <f t="shared" si="0"/>
        <v>2.2999999999999998</v>
      </c>
    </row>
    <row r="28" spans="1:4" x14ac:dyDescent="0.2">
      <c r="B28" s="136" t="s">
        <v>719</v>
      </c>
      <c r="C28" s="130">
        <f>SUM(C10:C27)</f>
        <v>23711606.77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23711606.77</v>
      </c>
    </row>
    <row r="31" spans="1:4" x14ac:dyDescent="0.2">
      <c r="B31" s="32"/>
      <c r="C31" s="130"/>
    </row>
    <row r="32" spans="1:4" x14ac:dyDescent="0.2">
      <c r="A32">
        <v>5100</v>
      </c>
      <c r="B32" s="32" t="s">
        <v>726</v>
      </c>
      <c r="C32" s="130">
        <f>ROUND('DOE25'!L261+'DOE25'!L342,0)</f>
        <v>24900</v>
      </c>
    </row>
    <row r="34" spans="1:4" x14ac:dyDescent="0.2">
      <c r="A34" s="136" t="s">
        <v>94</v>
      </c>
      <c r="B34" s="137" t="s">
        <v>1801</v>
      </c>
      <c r="C34" s="131" t="s">
        <v>720</v>
      </c>
      <c r="D34" s="131" t="s">
        <v>721</v>
      </c>
    </row>
    <row r="35" spans="1:4" x14ac:dyDescent="0.2">
      <c r="A35">
        <v>1100</v>
      </c>
      <c r="B35" s="71" t="s">
        <v>727</v>
      </c>
      <c r="C35" s="129">
        <f>ROUND('DOE25'!F60+'DOE25'!G60+'DOE25'!H60+'DOE25'!I60+'DOE25'!J60,0)</f>
        <v>6690505</v>
      </c>
      <c r="D35" s="132">
        <f t="shared" ref="D35:D40" si="1">ROUND((C35/$C$41)*100,1)</f>
        <v>28</v>
      </c>
    </row>
    <row r="36" spans="1:4" x14ac:dyDescent="0.2">
      <c r="B36" s="71" t="s">
        <v>739</v>
      </c>
      <c r="C36" s="129">
        <f>SUM('DOE25'!F112:J112)-SUM('DOE25'!G97:G110)+('DOE25'!F175+'DOE25'!F176+'DOE25'!I175+'DOE25'!I176)-C35</f>
        <v>1859760.0199999996</v>
      </c>
      <c r="D36" s="132">
        <f t="shared" si="1"/>
        <v>7.8</v>
      </c>
    </row>
    <row r="37" spans="1:4" x14ac:dyDescent="0.2">
      <c r="A37" s="133" t="s">
        <v>834</v>
      </c>
      <c r="B37" s="71" t="s">
        <v>728</v>
      </c>
      <c r="C37" s="129">
        <f>ROUND('DOE25'!F117+'DOE25'!F118,0)</f>
        <v>11410251</v>
      </c>
      <c r="D37" s="132">
        <f t="shared" si="1"/>
        <v>47.7</v>
      </c>
    </row>
    <row r="38" spans="1:4" x14ac:dyDescent="0.2">
      <c r="A38" s="133" t="s">
        <v>734</v>
      </c>
      <c r="B38" s="71" t="s">
        <v>729</v>
      </c>
      <c r="C38" s="129">
        <f>ROUND(SUM('DOE25'!F140:J140)-SUM('DOE25'!F117:F119),0)</f>
        <v>84242</v>
      </c>
      <c r="D38" s="132">
        <f t="shared" si="1"/>
        <v>0.4</v>
      </c>
    </row>
    <row r="39" spans="1:4" x14ac:dyDescent="0.2">
      <c r="A39">
        <v>4000</v>
      </c>
      <c r="B39" s="71" t="s">
        <v>730</v>
      </c>
      <c r="C39" s="129">
        <f>ROUND('DOE25'!F170+'DOE25'!G170+'DOE25'!H170+'DOE25'!I170,0)</f>
        <v>3855812</v>
      </c>
      <c r="D39" s="132">
        <f t="shared" si="1"/>
        <v>16.100000000000001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23900570.02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Berlin</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t="s">
        <v>1814</v>
      </c>
      <c r="D4" s="328"/>
      <c r="E4" s="328"/>
      <c r="F4" s="328"/>
      <c r="G4" s="328"/>
      <c r="H4" s="328"/>
      <c r="I4" s="328"/>
      <c r="J4" s="328"/>
      <c r="K4" s="328"/>
      <c r="L4" s="328"/>
      <c r="M4" s="330"/>
    </row>
    <row r="5" spans="1:13" x14ac:dyDescent="0.2">
      <c r="A5" s="159">
        <v>2</v>
      </c>
      <c r="B5" s="150">
        <v>1</v>
      </c>
      <c r="C5" s="328" t="s">
        <v>1815</v>
      </c>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f>IF('School Level Expenditures'!$B$2='School Tables'!W8,'School Tables'!AD8,"")</f>
        <v>5</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f>IF('School Level Expenditures'!$B$2='School Tables'!L9,'School Tables'!S9,"")</f>
        <v>6</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f>IF('School Level Expenditures'!$B$2=A25,'School Tables'!H25,"")</f>
        <v>22</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2023-08-14T19:40:04Z</cp:lastPrinted>
  <dcterms:created xsi:type="dcterms:W3CDTF">1997-12-04T19:04:30Z</dcterms:created>
  <dcterms:modified xsi:type="dcterms:W3CDTF">2023-12-29T15:45:35Z</dcterms:modified>
</cp:coreProperties>
</file>