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809EE878-6798-4DE4-B829-B4218FC1BC02}"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5" i="13" l="1"/>
  <c r="F6" i="13"/>
  <c r="C37" i="12"/>
  <c r="C38" i="12"/>
  <c r="B37" i="12"/>
  <c r="C21" i="12" l="1"/>
  <c r="C20" i="12"/>
  <c r="B21" i="12"/>
  <c r="B20" i="12"/>
  <c r="B19" i="12"/>
  <c r="C12" i="12"/>
  <c r="B12" i="12"/>
  <c r="B10" i="12" s="1"/>
  <c r="C10" i="12"/>
  <c r="C11" i="12"/>
  <c r="B11" i="12"/>
  <c r="D9" i="13" l="1"/>
  <c r="E38" i="14"/>
  <c r="D38" i="14"/>
  <c r="E26" i="14"/>
  <c r="D26" i="14"/>
  <c r="E6" i="14"/>
  <c r="D6" i="14"/>
  <c r="J605" i="1"/>
  <c r="I605" i="1"/>
  <c r="H605" i="1"/>
  <c r="J595" i="1"/>
  <c r="J596" i="1"/>
  <c r="J594" i="1"/>
  <c r="J593" i="1"/>
  <c r="I593" i="1"/>
  <c r="H593" i="1"/>
  <c r="H583" i="1"/>
  <c r="G529" i="1"/>
  <c r="G528" i="1"/>
  <c r="G527" i="1"/>
  <c r="J529" i="1"/>
  <c r="J528" i="1"/>
  <c r="J527" i="1"/>
  <c r="I529" i="1"/>
  <c r="I528" i="1"/>
  <c r="I527" i="1"/>
  <c r="H529" i="1"/>
  <c r="H528" i="1"/>
  <c r="H527" i="1"/>
  <c r="F529" i="1"/>
  <c r="F528" i="1"/>
  <c r="F527" i="1"/>
  <c r="G524" i="1"/>
  <c r="G523" i="1"/>
  <c r="G522" i="1"/>
  <c r="F524" i="1"/>
  <c r="F523" i="1"/>
  <c r="F522" i="1"/>
  <c r="K524" i="1" l="1"/>
  <c r="J524" i="1"/>
  <c r="I524" i="1"/>
  <c r="H524" i="1"/>
  <c r="K523" i="1"/>
  <c r="J523" i="1"/>
  <c r="I523" i="1"/>
  <c r="H523" i="1"/>
  <c r="K522" i="1"/>
  <c r="J522" i="1"/>
  <c r="I522" i="1"/>
  <c r="H522" i="1"/>
  <c r="F500" i="1" l="1"/>
  <c r="J180" i="1"/>
  <c r="J96" i="1"/>
  <c r="F441" i="1"/>
  <c r="F460" i="1" s="1"/>
  <c r="J473" i="1"/>
  <c r="G390" i="1"/>
  <c r="H12" i="1"/>
  <c r="F473" i="1"/>
  <c r="G245" i="1"/>
  <c r="G227" i="1"/>
  <c r="G209" i="1"/>
  <c r="J245" i="1"/>
  <c r="I245" i="1"/>
  <c r="H245" i="1"/>
  <c r="F245" i="1"/>
  <c r="J227" i="1"/>
  <c r="I227" i="1"/>
  <c r="H227" i="1"/>
  <c r="F227" i="1"/>
  <c r="J209" i="1"/>
  <c r="I209" i="1"/>
  <c r="H209" i="1"/>
  <c r="F209" i="1"/>
  <c r="K245" i="1"/>
  <c r="K227" i="1"/>
  <c r="K209" i="1"/>
  <c r="H244" i="1"/>
  <c r="H226" i="1"/>
  <c r="H208" i="1"/>
  <c r="G208" i="1"/>
  <c r="G244" i="1"/>
  <c r="G226" i="1"/>
  <c r="J244" i="1"/>
  <c r="I244" i="1"/>
  <c r="I226" i="1"/>
  <c r="I208" i="1"/>
  <c r="F244" i="1"/>
  <c r="F226" i="1"/>
  <c r="F208" i="1"/>
  <c r="G242" i="1"/>
  <c r="G224" i="1"/>
  <c r="G206" i="1"/>
  <c r="K242" i="1"/>
  <c r="K224" i="1"/>
  <c r="K206" i="1"/>
  <c r="I242" i="1"/>
  <c r="I224" i="1"/>
  <c r="I206" i="1"/>
  <c r="H242" i="1"/>
  <c r="H224" i="1"/>
  <c r="H206" i="1"/>
  <c r="F242" i="1"/>
  <c r="F224" i="1"/>
  <c r="F206" i="1"/>
  <c r="H241" i="1"/>
  <c r="H223" i="1"/>
  <c r="H205" i="1"/>
  <c r="G241" i="1"/>
  <c r="F241" i="1"/>
  <c r="G223" i="1"/>
  <c r="F223" i="1"/>
  <c r="G205" i="1"/>
  <c r="F205" i="1"/>
  <c r="K241" i="1"/>
  <c r="I241" i="1"/>
  <c r="K223" i="1"/>
  <c r="I223" i="1"/>
  <c r="K205" i="1"/>
  <c r="I205" i="1"/>
  <c r="G240" i="1"/>
  <c r="G222" i="1"/>
  <c r="G204" i="1"/>
  <c r="J240" i="1"/>
  <c r="H240" i="1"/>
  <c r="J222" i="1"/>
  <c r="H222" i="1"/>
  <c r="J204" i="1"/>
  <c r="H204" i="1"/>
  <c r="F240" i="1"/>
  <c r="F222" i="1"/>
  <c r="F204" i="1"/>
  <c r="K240" i="1"/>
  <c r="I240" i="1"/>
  <c r="I222" i="1"/>
  <c r="I204" i="1"/>
  <c r="G239" i="1"/>
  <c r="G221" i="1"/>
  <c r="G203" i="1"/>
  <c r="J239" i="1"/>
  <c r="J221" i="1"/>
  <c r="J203" i="1"/>
  <c r="I239" i="1"/>
  <c r="I221" i="1"/>
  <c r="I203" i="1"/>
  <c r="H239" i="1"/>
  <c r="H221" i="1"/>
  <c r="H203" i="1"/>
  <c r="F239" i="1"/>
  <c r="F221" i="1"/>
  <c r="F203" i="1"/>
  <c r="K203" i="1"/>
  <c r="K239" i="1"/>
  <c r="G237" i="1"/>
  <c r="F237" i="1"/>
  <c r="G219" i="1"/>
  <c r="F219" i="1"/>
  <c r="K237" i="1"/>
  <c r="K219" i="1"/>
  <c r="J237" i="1"/>
  <c r="J219" i="1"/>
  <c r="I237" i="1"/>
  <c r="I219" i="1"/>
  <c r="H237" i="1"/>
  <c r="H219" i="1"/>
  <c r="G201" i="1"/>
  <c r="F201" i="1"/>
  <c r="G199" i="1"/>
  <c r="I217" i="1"/>
  <c r="F199" i="1"/>
  <c r="F235" i="1"/>
  <c r="F217" i="1"/>
  <c r="G235" i="1"/>
  <c r="G217" i="1"/>
  <c r="H235" i="1"/>
  <c r="K199" i="1"/>
  <c r="K217" i="1"/>
  <c r="K235" i="1"/>
  <c r="J235" i="1" l="1"/>
  <c r="J217" i="1"/>
  <c r="J199" i="1"/>
  <c r="I235" i="1"/>
  <c r="I199" i="1"/>
  <c r="H217" i="1"/>
  <c r="H199" i="1"/>
  <c r="I234" i="1" l="1"/>
  <c r="I198" i="1"/>
  <c r="G234" i="1"/>
  <c r="G216" i="1"/>
  <c r="G198" i="1"/>
  <c r="I216" i="1"/>
  <c r="H234" i="1"/>
  <c r="H216" i="1"/>
  <c r="H198" i="1"/>
  <c r="K234" i="1"/>
  <c r="K216" i="1"/>
  <c r="K198" i="1"/>
  <c r="J234" i="1"/>
  <c r="J198" i="1"/>
  <c r="J216" i="1"/>
  <c r="F234" i="1"/>
  <c r="F216" i="1"/>
  <c r="F198" i="1"/>
  <c r="F50" i="1"/>
  <c r="F29" i="1"/>
  <c r="F24" i="1"/>
  <c r="F22" i="1"/>
  <c r="F14" i="1"/>
  <c r="F12" i="1"/>
  <c r="F9" i="1"/>
  <c r="F469" i="1"/>
  <c r="F120" i="1"/>
  <c r="F117" i="1"/>
  <c r="F110" i="1"/>
  <c r="F63" i="1"/>
  <c r="F68" i="1"/>
  <c r="E13" i="17" l="1"/>
  <c r="E9" i="17"/>
  <c r="K325" i="1"/>
  <c r="J325" i="1"/>
  <c r="H321" i="1"/>
  <c r="H302" i="1"/>
  <c r="H283" i="1"/>
  <c r="I283" i="1"/>
  <c r="I321" i="1"/>
  <c r="I302" i="1"/>
  <c r="G321" i="1"/>
  <c r="G302" i="1"/>
  <c r="G283" i="1"/>
  <c r="F321" i="1"/>
  <c r="F302" i="1"/>
  <c r="F283" i="1"/>
  <c r="G301" i="1"/>
  <c r="G282" i="1"/>
  <c r="G320" i="1"/>
  <c r="F301" i="1"/>
  <c r="F320" i="1"/>
  <c r="F282" i="1"/>
  <c r="J316" i="1"/>
  <c r="J297" i="1"/>
  <c r="J278" i="1"/>
  <c r="G316" i="1"/>
  <c r="F278" i="1"/>
  <c r="I316" i="1"/>
  <c r="H277" i="1"/>
  <c r="G297" i="1"/>
  <c r="F297" i="1"/>
  <c r="F316" i="1"/>
  <c r="G277" i="1"/>
  <c r="I277" i="1"/>
  <c r="G315" i="1"/>
  <c r="G296" i="1"/>
  <c r="F277" i="1"/>
  <c r="F296" i="1"/>
  <c r="H469" i="1"/>
  <c r="H154" i="1"/>
  <c r="H162" i="1"/>
  <c r="H161" i="1"/>
  <c r="H155" i="1"/>
  <c r="H159" i="1"/>
  <c r="H368" i="1"/>
  <c r="G368" i="1"/>
  <c r="F368" i="1"/>
  <c r="G473" i="1"/>
  <c r="G361" i="1"/>
  <c r="G158" i="1"/>
  <c r="G132" i="1"/>
  <c r="G110" i="1"/>
  <c r="G97" i="1"/>
  <c r="G30" i="1" l="1"/>
  <c r="G24" i="1"/>
  <c r="G22" i="1"/>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H163" i="1"/>
  <c r="I163" i="1" s="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D39" i="2"/>
  <c r="H39" i="2" s="1"/>
  <c r="G656" i="1"/>
  <c r="F48" i="2"/>
  <c r="E48" i="2"/>
  <c r="D48" i="2"/>
  <c r="C48" i="2"/>
  <c r="F47" i="2"/>
  <c r="E47" i="2"/>
  <c r="D47" i="2"/>
  <c r="C47" i="2"/>
  <c r="F44" i="2"/>
  <c r="E44" i="2"/>
  <c r="D44" i="2"/>
  <c r="C44" i="2"/>
  <c r="F43" i="2"/>
  <c r="E43" i="2"/>
  <c r="D43" i="2"/>
  <c r="C43" i="2"/>
  <c r="F42" i="2"/>
  <c r="E42" i="2"/>
  <c r="D42" i="2"/>
  <c r="C42" i="2"/>
  <c r="F38" i="2"/>
  <c r="E38" i="2"/>
  <c r="D38" i="2"/>
  <c r="H38" i="2" s="1"/>
  <c r="C38" i="2"/>
  <c r="F36" i="2"/>
  <c r="E36" i="2"/>
  <c r="D36" i="2"/>
  <c r="C36" i="2"/>
  <c r="I456" i="1"/>
  <c r="J45" i="1" s="1"/>
  <c r="G44" i="2" s="1"/>
  <c r="I459" i="1"/>
  <c r="J39" i="1" s="1"/>
  <c r="G38" i="2" s="1"/>
  <c r="C68" i="2"/>
  <c r="B2" i="13"/>
  <c r="G8" i="13"/>
  <c r="H8" i="13"/>
  <c r="L205" i="1"/>
  <c r="L223" i="1"/>
  <c r="D39" i="13"/>
  <c r="G13" i="13"/>
  <c r="H13" i="13"/>
  <c r="L207" i="1"/>
  <c r="L225"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G12" i="13"/>
  <c r="H12" i="13"/>
  <c r="L206" i="1"/>
  <c r="L224" i="1"/>
  <c r="G14" i="13"/>
  <c r="H14" i="13"/>
  <c r="L208" i="1"/>
  <c r="L226" i="1"/>
  <c r="G15" i="13"/>
  <c r="H15" i="13"/>
  <c r="L209" i="1"/>
  <c r="L227" i="1"/>
  <c r="G651" i="1" s="1"/>
  <c r="L245" i="1"/>
  <c r="G652" i="1" s="1"/>
  <c r="G17" i="13"/>
  <c r="H17" i="13"/>
  <c r="G18" i="13"/>
  <c r="H18" i="13"/>
  <c r="L253" i="1"/>
  <c r="D18" i="13" s="1"/>
  <c r="C18" i="13" s="1"/>
  <c r="G19" i="13"/>
  <c r="H1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J111" i="1"/>
  <c r="F121" i="1"/>
  <c r="F136" i="1"/>
  <c r="G121" i="1"/>
  <c r="G136" i="1"/>
  <c r="H121" i="1"/>
  <c r="H136" i="1"/>
  <c r="I121" i="1"/>
  <c r="I136" i="1"/>
  <c r="J121" i="1"/>
  <c r="J136" i="1"/>
  <c r="F147" i="1"/>
  <c r="C85" i="2" s="1"/>
  <c r="G147" i="1"/>
  <c r="D85" i="2" s="1"/>
  <c r="H147" i="1"/>
  <c r="H170" i="1" s="1"/>
  <c r="I147" i="1"/>
  <c r="I170" i="1" s="1"/>
  <c r="L251" i="1"/>
  <c r="C113" i="2" s="1"/>
  <c r="L333" i="1"/>
  <c r="E113" i="2" s="1"/>
  <c r="H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C26" i="2"/>
  <c r="F26" i="2"/>
  <c r="H26" i="2" s="1"/>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E69" i="2"/>
  <c r="E70" i="2" s="1"/>
  <c r="F69" i="2"/>
  <c r="F70" i="2" s="1"/>
  <c r="G69" i="2"/>
  <c r="G70" i="2" s="1"/>
  <c r="C72" i="2"/>
  <c r="F72" i="2"/>
  <c r="C73" i="2"/>
  <c r="H73" i="2" s="1"/>
  <c r="F73" i="2"/>
  <c r="C74" i="2"/>
  <c r="H74" i="2" s="1"/>
  <c r="C75" i="2"/>
  <c r="H75" i="2" s="1"/>
  <c r="C76" i="2"/>
  <c r="E76" i="2"/>
  <c r="F76" i="2"/>
  <c r="C77" i="2"/>
  <c r="D77" i="2"/>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C125" i="2"/>
  <c r="F128" i="2"/>
  <c r="G128" i="2"/>
  <c r="C130"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I19" i="1"/>
  <c r="G621" i="1" s="1"/>
  <c r="F32" i="1"/>
  <c r="F52" i="1" s="1"/>
  <c r="H618" i="1" s="1"/>
  <c r="G32" i="1"/>
  <c r="G52" i="1" s="1"/>
  <c r="H32" i="1"/>
  <c r="H51" i="1"/>
  <c r="G625" i="1" s="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J248" i="1"/>
  <c r="K248" i="1"/>
  <c r="F257" i="1"/>
  <c r="G257" i="1"/>
  <c r="H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H471" i="1"/>
  <c r="I471" i="1"/>
  <c r="F475" i="1"/>
  <c r="G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30" i="1"/>
  <c r="H631" i="1"/>
  <c r="H633" i="1"/>
  <c r="H636" i="1"/>
  <c r="H637" i="1"/>
  <c r="H639" i="1"/>
  <c r="G644" i="1"/>
  <c r="G645" i="1"/>
  <c r="H653" i="1"/>
  <c r="G654" i="1"/>
  <c r="H654" i="1"/>
  <c r="H655" i="1"/>
  <c r="H656" i="1"/>
  <c r="J652" i="1" l="1"/>
  <c r="G646" i="1"/>
  <c r="J140" i="1"/>
  <c r="J112" i="1"/>
  <c r="G62" i="2"/>
  <c r="I409" i="1"/>
  <c r="G409" i="1"/>
  <c r="H646" i="1" s="1"/>
  <c r="G620" i="1"/>
  <c r="H143" i="2"/>
  <c r="H137" i="2"/>
  <c r="H135" i="2"/>
  <c r="H132" i="2"/>
  <c r="C32" i="10"/>
  <c r="G663" i="1"/>
  <c r="D15" i="13"/>
  <c r="C15" i="13" s="1"/>
  <c r="D6" i="13"/>
  <c r="C6" i="13" s="1"/>
  <c r="L243" i="1"/>
  <c r="E13" i="13" s="1"/>
  <c r="C13" i="13" s="1"/>
  <c r="C112" i="2"/>
  <c r="L244" i="1"/>
  <c r="C123" i="2" s="1"/>
  <c r="C110" i="2"/>
  <c r="H94" i="2"/>
  <c r="H93" i="2"/>
  <c r="F85" i="2"/>
  <c r="F91" i="2" s="1"/>
  <c r="H72" i="2"/>
  <c r="I112" i="1"/>
  <c r="H13" i="2"/>
  <c r="H99" i="2"/>
  <c r="H97" i="2"/>
  <c r="F170" i="1"/>
  <c r="H80" i="2"/>
  <c r="H76" i="2"/>
  <c r="H58" i="2"/>
  <c r="H48" i="2"/>
  <c r="H43" i="2"/>
  <c r="H36" i="2"/>
  <c r="H34" i="2"/>
  <c r="H24" i="2"/>
  <c r="H11" i="2"/>
  <c r="E125" i="2"/>
  <c r="H125" i="2" s="1"/>
  <c r="E124" i="2"/>
  <c r="E120" i="2"/>
  <c r="E112" i="2"/>
  <c r="E111" i="2"/>
  <c r="E121" i="2"/>
  <c r="C13" i="10"/>
  <c r="A40" i="12"/>
  <c r="C12" i="10"/>
  <c r="L2" i="14"/>
  <c r="L3" i="14" s="1"/>
  <c r="K2" i="14"/>
  <c r="K3" i="14" s="1"/>
  <c r="H102" i="2"/>
  <c r="H101" i="2"/>
  <c r="H100" i="2"/>
  <c r="H98" i="2"/>
  <c r="H96" i="2"/>
  <c r="H89" i="2"/>
  <c r="H87" i="2"/>
  <c r="H79" i="2"/>
  <c r="H140" i="1"/>
  <c r="H61" i="2"/>
  <c r="H59" i="2"/>
  <c r="H47" i="2"/>
  <c r="H44" i="2"/>
  <c r="H42" i="2"/>
  <c r="H35" i="2"/>
  <c r="H30" i="2"/>
  <c r="H29" i="2"/>
  <c r="H28" i="2"/>
  <c r="H27" i="2"/>
  <c r="H22" i="2"/>
  <c r="H17" i="2"/>
  <c r="H15" i="2"/>
  <c r="H12" i="2"/>
  <c r="H9" i="2"/>
  <c r="H8" i="2"/>
  <c r="H23" i="2"/>
  <c r="H21" i="2"/>
  <c r="H16" i="2"/>
  <c r="D70" i="2"/>
  <c r="H69" i="2"/>
  <c r="H619" i="1"/>
  <c r="J619" i="1" s="1"/>
  <c r="I41" i="1"/>
  <c r="D144" i="2"/>
  <c r="D29" i="13"/>
  <c r="C29" i="13" s="1"/>
  <c r="G662" i="1"/>
  <c r="D78" i="2"/>
  <c r="H77" i="2"/>
  <c r="E119" i="2"/>
  <c r="H409" i="1"/>
  <c r="H645" i="1" s="1"/>
  <c r="G339" i="1"/>
  <c r="G353" i="1" s="1"/>
  <c r="J258" i="1"/>
  <c r="J272" i="1" s="1"/>
  <c r="E123" i="2"/>
  <c r="E110" i="2"/>
  <c r="K339" i="1"/>
  <c r="K353" i="1" s="1"/>
  <c r="J656" i="1"/>
  <c r="J572" i="1"/>
  <c r="D50" i="2"/>
  <c r="E131" i="2"/>
  <c r="H131" i="2" s="1"/>
  <c r="G553" i="1"/>
  <c r="H663" i="1"/>
  <c r="F258" i="1"/>
  <c r="F272" i="1" s="1"/>
  <c r="I370" i="1"/>
  <c r="H635" i="1" s="1"/>
  <c r="J635" i="1" s="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G112" i="1"/>
  <c r="B10" i="16" s="1"/>
  <c r="E118" i="2"/>
  <c r="L212" i="1"/>
  <c r="H648" i="1"/>
  <c r="J645" i="1"/>
  <c r="L530" i="1"/>
  <c r="H546" i="1"/>
  <c r="G164" i="2"/>
  <c r="G161" i="2"/>
  <c r="G157" i="2"/>
  <c r="G156" i="2"/>
  <c r="G81" i="2"/>
  <c r="C78" i="2"/>
  <c r="F78" i="2"/>
  <c r="F81" i="2" s="1"/>
  <c r="C70" i="2"/>
  <c r="D62" i="2"/>
  <c r="E57" i="2"/>
  <c r="C26" i="10"/>
  <c r="J546" i="1"/>
  <c r="I477" i="1"/>
  <c r="H626" i="1" s="1"/>
  <c r="F477" i="1"/>
  <c r="H623" i="1" s="1"/>
  <c r="J623" i="1" s="1"/>
  <c r="L434" i="1"/>
  <c r="L428" i="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E109" i="2"/>
  <c r="C56" i="2"/>
  <c r="H56" i="2" s="1"/>
  <c r="F663" i="1"/>
  <c r="C25" i="10"/>
  <c r="C21" i="10"/>
  <c r="C62" i="2"/>
  <c r="G22" i="13"/>
  <c r="C22" i="13" s="1"/>
  <c r="L540" i="1"/>
  <c r="K504" i="1"/>
  <c r="L383" i="1"/>
  <c r="G637" i="1" s="1"/>
  <c r="J637" i="1" s="1"/>
  <c r="G258" i="1"/>
  <c r="G272" i="1" s="1"/>
  <c r="C142" i="2"/>
  <c r="H142" i="2" s="1"/>
  <c r="C111" i="2"/>
  <c r="H662" i="1"/>
  <c r="C15" i="10"/>
  <c r="A13" i="12"/>
  <c r="D5" i="13"/>
  <c r="C5" i="13" s="1"/>
  <c r="C35" i="10"/>
  <c r="C29" i="10"/>
  <c r="G650" i="1"/>
  <c r="J650" i="1" s="1"/>
  <c r="L545" i="1"/>
  <c r="L525" i="1"/>
  <c r="J339" i="1"/>
  <c r="J353" i="1" s="1"/>
  <c r="D127" i="2"/>
  <c r="C124" i="2"/>
  <c r="C118" i="2"/>
  <c r="E16" i="13"/>
  <c r="C16" i="13" s="1"/>
  <c r="C10" i="10"/>
  <c r="C109" i="2"/>
  <c r="L230" i="1"/>
  <c r="L338" i="1"/>
  <c r="F62" i="2"/>
  <c r="F63" i="2" s="1"/>
  <c r="C23" i="10"/>
  <c r="G163" i="2"/>
  <c r="G162" i="2"/>
  <c r="G160" i="2"/>
  <c r="G159" i="2"/>
  <c r="G158" i="2"/>
  <c r="G103" i="2"/>
  <c r="F103" i="2"/>
  <c r="C103" i="2"/>
  <c r="E50" i="2"/>
  <c r="E51" i="2" s="1"/>
  <c r="C50" i="2"/>
  <c r="C31" i="2"/>
  <c r="E18" i="2"/>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G42" i="2"/>
  <c r="G50" i="2" s="1"/>
  <c r="J51" i="1"/>
  <c r="G16" i="2"/>
  <c r="G18" i="2" s="1"/>
  <c r="J19" i="1"/>
  <c r="G622" i="1" s="1"/>
  <c r="F546" i="1"/>
  <c r="H435" i="1"/>
  <c r="D103" i="2"/>
  <c r="I140" i="1"/>
  <c r="A22" i="12"/>
  <c r="J653" i="1"/>
  <c r="G572" i="1"/>
  <c r="I435" i="1"/>
  <c r="G435" i="1"/>
  <c r="I664" i="1"/>
  <c r="L572" i="1" l="1"/>
  <c r="J646" i="1"/>
  <c r="H134" i="2"/>
  <c r="F25" i="2"/>
  <c r="I32" i="1"/>
  <c r="H124" i="2"/>
  <c r="C20" i="10"/>
  <c r="D14" i="13"/>
  <c r="C14" i="13" s="1"/>
  <c r="C19" i="10"/>
  <c r="C122" i="2"/>
  <c r="H122" i="2" s="1"/>
  <c r="L241" i="1"/>
  <c r="H112" i="2"/>
  <c r="H111" i="2"/>
  <c r="H123" i="2"/>
  <c r="H110" i="2"/>
  <c r="L242" i="1"/>
  <c r="I248" i="1"/>
  <c r="L240" i="1"/>
  <c r="H70" i="2"/>
  <c r="F194" i="1"/>
  <c r="G628" i="1" s="1"/>
  <c r="J628" i="1" s="1"/>
  <c r="C81" i="2"/>
  <c r="E144" i="2"/>
  <c r="I663" i="1"/>
  <c r="E128" i="2"/>
  <c r="H118" i="2"/>
  <c r="G24" i="14"/>
  <c r="H24" i="14" s="1"/>
  <c r="I24" i="14" s="1"/>
  <c r="H103" i="2"/>
  <c r="H85" i="2"/>
  <c r="H78" i="2"/>
  <c r="E62" i="2"/>
  <c r="E63" i="2" s="1"/>
  <c r="E104" i="2" s="1"/>
  <c r="H57" i="2"/>
  <c r="H91" i="2"/>
  <c r="H18" i="2"/>
  <c r="I51" i="1"/>
  <c r="F40" i="2"/>
  <c r="D128" i="2"/>
  <c r="H127" i="2"/>
  <c r="D81" i="2"/>
  <c r="I662" i="1"/>
  <c r="D63" i="2"/>
  <c r="D51" i="2"/>
  <c r="F661" i="1"/>
  <c r="F665" i="1" s="1"/>
  <c r="F670" i="1" s="1"/>
  <c r="E115" i="2"/>
  <c r="H109" i="2"/>
  <c r="F144" i="2"/>
  <c r="H130" i="2"/>
  <c r="H194" i="1"/>
  <c r="G630" i="1" s="1"/>
  <c r="J630" i="1" s="1"/>
  <c r="H649" i="1"/>
  <c r="J649" i="1" s="1"/>
  <c r="C141" i="2"/>
  <c r="C36" i="10"/>
  <c r="L435" i="1"/>
  <c r="G639" i="1" s="1"/>
  <c r="J639" i="1" s="1"/>
  <c r="G104" i="2"/>
  <c r="L339" i="1"/>
  <c r="L353" i="1" s="1"/>
  <c r="I194" i="1"/>
  <c r="G631" i="1" s="1"/>
  <c r="J631" i="1" s="1"/>
  <c r="G636" i="1"/>
  <c r="J636" i="1" s="1"/>
  <c r="G51" i="2"/>
  <c r="L409" i="1"/>
  <c r="J469" i="1" s="1"/>
  <c r="C27" i="10"/>
  <c r="G4" i="14"/>
  <c r="H4" i="14" s="1"/>
  <c r="I4" i="14" s="1"/>
  <c r="L546" i="1"/>
  <c r="F104" i="2"/>
  <c r="B14" i="16"/>
  <c r="B22" i="16" s="1"/>
  <c r="J648" i="1"/>
  <c r="C63" i="2"/>
  <c r="C39" i="10"/>
  <c r="G33" i="13"/>
  <c r="D31" i="13"/>
  <c r="C31" i="13" s="1"/>
  <c r="I462" i="1"/>
  <c r="H643" i="1" s="1"/>
  <c r="J643" i="1" s="1"/>
  <c r="G661" i="1"/>
  <c r="G665" i="1" s="1"/>
  <c r="C25" i="13"/>
  <c r="I33" i="13"/>
  <c r="K553" i="1"/>
  <c r="C51" i="2"/>
  <c r="G632" i="1"/>
  <c r="G194" i="1"/>
  <c r="G627" i="1"/>
  <c r="J52" i="1"/>
  <c r="H622" i="1" s="1"/>
  <c r="J622" i="1" s="1"/>
  <c r="C38" i="10"/>
  <c r="J471" i="1" l="1"/>
  <c r="J477" i="1" s="1"/>
  <c r="H627" i="1" s="1"/>
  <c r="J627" i="1" s="1"/>
  <c r="H638" i="1"/>
  <c r="H632" i="1"/>
  <c r="J632" i="1" s="1"/>
  <c r="F31" i="2"/>
  <c r="H31" i="2" s="1"/>
  <c r="H25" i="2"/>
  <c r="C119" i="2"/>
  <c r="H119" i="2" s="1"/>
  <c r="C120" i="2"/>
  <c r="H120" i="2" s="1"/>
  <c r="C17" i="10"/>
  <c r="E8" i="13"/>
  <c r="C16" i="10"/>
  <c r="D7" i="13"/>
  <c r="C7" i="13" s="1"/>
  <c r="C121" i="2"/>
  <c r="C18" i="10"/>
  <c r="N2" i="14"/>
  <c r="N3" i="14" s="1"/>
  <c r="D12" i="13"/>
  <c r="C12" i="13" s="1"/>
  <c r="L248" i="1"/>
  <c r="H661" i="1" s="1"/>
  <c r="H665" i="1" s="1"/>
  <c r="H668" i="1" s="1"/>
  <c r="M2" i="14"/>
  <c r="M3" i="14" s="1"/>
  <c r="C104" i="2"/>
  <c r="H81" i="2"/>
  <c r="C144" i="2"/>
  <c r="H144" i="2" s="1"/>
  <c r="H141" i="2"/>
  <c r="G634" i="1"/>
  <c r="H473" i="1"/>
  <c r="M24" i="14"/>
  <c r="H62" i="2"/>
  <c r="H63" i="2"/>
  <c r="G629" i="1"/>
  <c r="G469" i="1"/>
  <c r="H40" i="2"/>
  <c r="F50" i="2"/>
  <c r="I52" i="1"/>
  <c r="H621" i="1" s="1"/>
  <c r="J621" i="1" s="1"/>
  <c r="G626" i="1"/>
  <c r="J626" i="1" s="1"/>
  <c r="D145" i="2"/>
  <c r="D104" i="2"/>
  <c r="E145" i="2"/>
  <c r="G670" i="1"/>
  <c r="G673" i="1" s="1"/>
  <c r="C5" i="10" s="1"/>
  <c r="F668" i="1"/>
  <c r="F145" i="2"/>
  <c r="G668" i="1"/>
  <c r="G638" i="1"/>
  <c r="H647" i="1"/>
  <c r="J647" i="1" s="1"/>
  <c r="C41" i="10"/>
  <c r="D38" i="10" s="1"/>
  <c r="J638" i="1" l="1"/>
  <c r="L252" i="1"/>
  <c r="C8" i="13"/>
  <c r="E33" i="13"/>
  <c r="D35" i="13" s="1"/>
  <c r="G36" i="14"/>
  <c r="H36" i="14" s="1"/>
  <c r="I36" i="14" s="1"/>
  <c r="H670" i="1"/>
  <c r="H673" i="1" s="1"/>
  <c r="C6" i="10" s="1"/>
  <c r="H121" i="2"/>
  <c r="C128" i="2"/>
  <c r="I661" i="1"/>
  <c r="I665" i="1" s="1"/>
  <c r="I668" i="1" s="1"/>
  <c r="H104" i="2"/>
  <c r="H475" i="1"/>
  <c r="H477" i="1" s="1"/>
  <c r="H625" i="1" s="1"/>
  <c r="J625" i="1" s="1"/>
  <c r="H634" i="1"/>
  <c r="J634" i="1" s="1"/>
  <c r="H629" i="1"/>
  <c r="J629" i="1" s="1"/>
  <c r="G471" i="1"/>
  <c r="G477" i="1" s="1"/>
  <c r="H50" i="2"/>
  <c r="F51" i="2"/>
  <c r="H51" i="2" s="1"/>
  <c r="F673" i="1"/>
  <c r="C4" i="10" s="1"/>
  <c r="D37" i="10"/>
  <c r="D36" i="10"/>
  <c r="D35" i="10"/>
  <c r="D40" i="10"/>
  <c r="D39" i="10"/>
  <c r="D17" i="13" l="1"/>
  <c r="L254" i="1"/>
  <c r="D19" i="13" s="1"/>
  <c r="C19" i="13" s="1"/>
  <c r="I257" i="1"/>
  <c r="M36" i="14"/>
  <c r="H128" i="2"/>
  <c r="I670" i="1"/>
  <c r="I673" i="1" s="1"/>
  <c r="C7" i="10" s="1"/>
  <c r="H624" i="1"/>
  <c r="B33" i="16"/>
  <c r="D41" i="10"/>
  <c r="L257" i="1" l="1"/>
  <c r="L258" i="1" s="1"/>
  <c r="L272" i="1" s="1"/>
  <c r="G633" i="1" s="1"/>
  <c r="J633" i="1" s="1"/>
  <c r="I258" i="1"/>
  <c r="I272" i="1" s="1"/>
  <c r="C114" i="2"/>
  <c r="C17" i="13"/>
  <c r="D33" i="13"/>
  <c r="D36" i="13" s="1"/>
  <c r="C24" i="10"/>
  <c r="J624" i="1"/>
  <c r="H657" i="1" l="1"/>
  <c r="C28" i="10"/>
  <c r="D24" i="10" s="1"/>
  <c r="C115" i="2"/>
  <c r="H114" i="2"/>
  <c r="H115" i="2" l="1"/>
  <c r="C145" i="2"/>
  <c r="H145" i="2" s="1"/>
  <c r="D20" i="10"/>
  <c r="D27" i="10"/>
  <c r="D25" i="10"/>
  <c r="D16" i="10"/>
  <c r="D22" i="10"/>
  <c r="D12" i="10"/>
  <c r="D26" i="10"/>
  <c r="D21" i="10"/>
  <c r="D23" i="10"/>
  <c r="D19" i="10"/>
  <c r="C30" i="10"/>
  <c r="D17" i="10"/>
  <c r="D15" i="10"/>
  <c r="D18" i="10"/>
  <c r="D11" i="10"/>
  <c r="D10" i="10"/>
  <c r="D13" i="10"/>
  <c r="D28"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<sst xmlns="http://schemas.openxmlformats.org/spreadsheetml/2006/main" count="6559" uniqueCount="1814">
  <si>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</si>
  <si>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</si>
  <si>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</si>
  <si>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</si>
  <si>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</si>
  <si>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</si>
  <si>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</si>
  <si>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</si>
  <si>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</si>
  <si>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</si>
  <si>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</si>
  <si>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</si>
  <si>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</si>
  <si>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</si>
  <si>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</si>
  <si>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</si>
  <si>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</si>
  <si>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</si>
  <si>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</si>
  <si>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</si>
  <si>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</si>
  <si>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</si>
  <si>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</si>
  <si>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</si>
  <si>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</si>
  <si>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</si>
  <si>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</si>
  <si>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</si>
  <si>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</si>
  <si>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</si>
  <si>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</si>
  <si>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</si>
  <si>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</si>
  <si>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</si>
  <si>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</si>
  <si>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</si>
  <si>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</si>
  <si>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</si>
  <si>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</si>
  <si>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</si>
  <si>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</si>
  <si>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</si>
  <si>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</si>
  <si>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</si>
  <si>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</si>
  <si>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</si>
  <si>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</si>
  <si>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</si>
  <si>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</si>
  <si>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</si>
  <si>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</si>
  <si>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</si>
  <si>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</si>
  <si>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</si>
  <si>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</si>
  <si>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</si>
  <si>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</si>
  <si>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</si>
  <si>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</si>
  <si>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</si>
  <si>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</si>
  <si>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</si>
  <si>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</si>
  <si>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</si>
  <si>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</si>
  <si>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</si>
  <si>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</si>
  <si>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</si>
  <si>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</si>
  <si>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</si>
  <si>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</si>
  <si>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</si>
  <si>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</si>
  <si>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</si>
  <si>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</si>
  <si>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</si>
  <si>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</si>
  <si>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</si>
  <si>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</si>
  <si>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</si>
  <si>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</si>
  <si>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</si>
  <si>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</si>
  <si>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</si>
  <si>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</si>
  <si>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</si>
  <si>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</si>
  <si>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</si>
  <si>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</si>
  <si>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</si>
  <si>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</si>
  <si>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</si>
  <si>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</si>
  <si>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</si>
  <si>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</si>
  <si>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</si>
  <si>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</si>
  <si>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</si>
  <si>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</si>
  <si>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</si>
  <si>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</si>
  <si>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</si>
  <si>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</si>
  <si>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</si>
  <si>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</si>
  <si>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</si>
  <si>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</si>
  <si>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</si>
  <si>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</si>
  <si>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</si>
  <si>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</si>
  <si>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</si>
  <si>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</si>
  <si>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</si>
  <si>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</si>
  <si>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</si>
  <si>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</si>
  <si>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</si>
  <si>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</si>
  <si>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</si>
  <si>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</si>
  <si>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</si>
  <si>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</si>
  <si>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</si>
  <si>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</si>
  <si>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</si>
  <si>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</si>
  <si>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</si>
  <si>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</si>
  <si>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</si>
  <si>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</si>
  <si>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</si>
  <si>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</si>
  <si>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</si>
  <si>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</si>
  <si>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</si>
  <si>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</si>
  <si>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</si>
  <si>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</si>
  <si>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</si>
  <si>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</si>
  <si>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</si>
  <si>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</si>
  <si>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</si>
  <si>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</si>
  <si>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</si>
  <si>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</si>
  <si>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</si>
  <si>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</si>
  <si>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</si>
  <si>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</si>
  <si>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</si>
  <si>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</si>
  <si>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</si>
  <si>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</si>
  <si>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</si>
  <si>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</si>
  <si>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</si>
  <si>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</si>
  <si>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</si>
  <si>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</si>
  <si>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</si>
  <si>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</si>
  <si>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</si>
  <si>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</si>
  <si>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</si>
  <si>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</si>
  <si>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</si>
  <si>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</si>
  <si>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</si>
  <si>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</si>
  <si>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</si>
  <si>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</si>
  <si>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</si>
  <si>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</si>
  <si>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</si>
  <si>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</si>
  <si>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</si>
  <si>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</si>
  <si>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</si>
  <si>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</si>
  <si>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</si>
  <si>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</si>
  <si>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</si>
  <si>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</si>
  <si>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</si>
  <si>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</si>
  <si>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</si>
  <si>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</si>
  <si>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</si>
  <si>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</si>
  <si>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</si>
  <si>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</si>
  <si>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</si>
  <si>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</si>
  <si>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</si>
  <si>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</si>
  <si>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</si>
  <si>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</si>
  <si>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</si>
  <si>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</si>
  <si>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</si>
  <si>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</si>
  <si>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</si>
  <si>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</si>
  <si>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</si>
  <si>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</si>
  <si>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</si>
  <si>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</si>
  <si>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</si>
  <si>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</si>
  <si>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</si>
  <si>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</si>
  <si>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</si>
  <si>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</si>
  <si>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</si>
  <si>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</si>
  <si>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</si>
  <si>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</si>
  <si>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</si>
  <si>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</si>
  <si>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</si>
  <si>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</si>
  <si>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</si>
  <si>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</si>
  <si>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</si>
  <si>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</si>
  <si>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</si>
  <si>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</si>
  <si>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</si>
  <si>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</si>
  <si>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</si>
  <si>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</si>
  <si>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</si>
  <si>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</si>
  <si>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</si>
  <si>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</si>
  <si>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</si>
  <si>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</si>
  <si>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</si>
  <si>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</si>
  <si>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</si>
  <si>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</si>
  <si>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</si>
  <si>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</si>
  <si>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</si>
  <si>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</si>
  <si>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</si>
  <si>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</si>
  <si>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</si>
  <si>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</si>
  <si>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</si>
  <si>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</si>
  <si>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</si>
  <si>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</si>
  <si>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</si>
  <si>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</si>
  <si>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</si>
  <si>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</si>
  <si>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</si>
  <si>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</si>
  <si>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</si>
  <si>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</si>
  <si>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</si>
  <si>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</si>
  <si>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</si>
  <si>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</si>
  <si>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</si>
  <si>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</si>
  <si>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</si>
  <si>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</si>
  <si>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</si>
  <si>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</si>
  <si>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</si>
  <si>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</si>
  <si>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</si>
  <si>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</si>
  <si>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</si>
  <si>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</si>
  <si>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</si>
  <si>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</si>
  <si>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</si>
  <si>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</si>
  <si>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</si>
  <si>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</si>
  <si>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</si>
  <si>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</si>
  <si>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</si>
  <si>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</si>
  <si>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</si>
  <si>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</si>
  <si>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</si>
  <si>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</si>
  <si>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</si>
  <si>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</si>
  <si>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</si>
  <si>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</si>
  <si>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</si>
  <si>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</si>
  <si>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</si>
  <si>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</si>
  <si>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</si>
  <si>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</si>
  <si>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</si>
  <si>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</si>
  <si>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</si>
  <si>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</si>
  <si>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</si>
  <si>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</si>
  <si>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</si>
  <si>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</si>
  <si>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</si>
  <si>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</si>
  <si>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</si>
  <si>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</si>
  <si>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</si>
  <si>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</si>
  <si>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</si>
  <si>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</si>
  <si>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</si>
  <si>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</si>
  <si>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</si>
  <si>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</si>
  <si>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</si>
  <si>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</si>
  <si>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</si>
  <si>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</si>
  <si>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</si>
  <si>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</si>
  <si>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</si>
  <si>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</si>
  <si>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</si>
  <si>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</si>
  <si>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</si>
  <si>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</si>
  <si>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</si>
  <si>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</si>
  <si>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</si>
  <si>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</si>
  <si>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</si>
  <si>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</si>
  <si>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</si>
  <si>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</si>
  <si>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</si>
  <si>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</si>
  <si>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</si>
  <si>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</si>
  <si>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</si>
  <si>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</si>
  <si>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</si>
  <si>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</si>
  <si>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</si>
  <si>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</si>
  <si>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</si>
  <si>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</si>
  <si>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</si>
  <si>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</si>
  <si>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</si>
  <si>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</si>
  <si>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</si>
  <si>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</si>
  <si>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</si>
  <si>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</si>
  <si>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</si>
  <si>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</si>
  <si>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</si>
  <si>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</si>
  <si>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</si>
  <si>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</si>
  <si>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</si>
  <si>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</si>
  <si>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</si>
  <si>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</si>
  <si>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</si>
  <si>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</si>
  <si>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</si>
  <si>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</si>
  <si>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</si>
  <si>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</si>
  <si>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</si>
  <si>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</si>
  <si>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</si>
  <si>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</si>
  <si>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</si>
  <si>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</si>
  <si>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</si>
  <si>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</si>
  <si>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</si>
  <si>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</si>
  <si>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</si>
  <si>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</si>
  <si>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</si>
  <si>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</si>
  <si>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</si>
  <si>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</si>
  <si>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</si>
  <si>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</si>
  <si>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</si>
  <si>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</si>
  <si>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</si>
  <si>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</si>
  <si>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</si>
  <si>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</si>
  <si>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</si>
  <si>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</si>
  <si>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</si>
  <si>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</si>
  <si>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</si>
  <si>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</si>
  <si>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</si>
  <si>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</si>
  <si>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</si>
  <si>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</si>
  <si>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</si>
  <si>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</si>
  <si>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</si>
  <si>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</si>
  <si>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</si>
  <si>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</si>
  <si>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</si>
  <si>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</si>
  <si>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</si>
  <si>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</si>
  <si>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</si>
  <si>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</si>
  <si>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</si>
  <si>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</si>
  <si>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</si>
  <si>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</si>
  <si>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</si>
  <si>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</si>
  <si>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</si>
  <si>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</si>
  <si>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</si>
  <si>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</si>
  <si>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</si>
  <si>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</si>
  <si>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</si>
  <si>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</si>
  <si>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</si>
  <si>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</si>
  <si>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</si>
  <si>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</si>
  <si>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</si>
  <si>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</si>
  <si>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</si>
  <si>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</si>
  <si>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</si>
  <si>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</si>
  <si>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</si>
  <si>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</si>
  <si>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</si>
  <si>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</si>
  <si>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</si>
  <si>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</si>
  <si>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</si>
  <si>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</si>
  <si>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</si>
  <si>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</si>
  <si>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</si>
  <si>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</si>
  <si>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</si>
  <si>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</si>
  <si>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</si>
  <si>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</si>
  <si>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</si>
  <si>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</si>
  <si>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</si>
  <si>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</si>
  <si>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</si>
  <si>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</si>
  <si>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</si>
  <si>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</si>
  <si>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</si>
  <si>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</si>
  <si>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</si>
  <si>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</si>
  <si>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</si>
  <si>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</si>
  <si>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</si>
  <si>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</si>
  <si>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</si>
  <si>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</si>
  <si>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</si>
  <si>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</si>
  <si>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</si>
  <si>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</si>
  <si>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</si>
  <si>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</si>
  <si>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</si>
  <si>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</si>
  <si>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</si>
  <si>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</si>
  <si>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</si>
  <si>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</si>
  <si>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</si>
  <si>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</si>
  <si>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</si>
  <si>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</si>
  <si>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</si>
  <si>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</si>
  <si>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</si>
  <si>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</si>
  <si>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</si>
  <si>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</si>
  <si>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</si>
  <si>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</si>
  <si>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</si>
  <si>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</si>
  <si>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</si>
  <si>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</si>
  <si>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</si>
  <si>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</si>
  <si>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</si>
  <si>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</si>
  <si>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</si>
  <si>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</si>
  <si>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</si>
  <si>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</si>
  <si>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</si>
  <si>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</si>
  <si>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</si>
  <si>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</si>
  <si>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</si>
  <si>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</si>
  <si>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</si>
  <si>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</si>
  <si>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</si>
  <si>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</si>
  <si>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</si>
  <si>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</si>
  <si>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</si>
  <si>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</si>
  <si>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</si>
  <si>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</si>
  <si>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</si>
  <si>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</si>
  <si>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</si>
  <si>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</si>
  <si>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</si>
  <si>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</si>
  <si>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</si>
  <si>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</si>
  <si>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</si>
  <si>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</si>
  <si>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</si>
  <si>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</si>
  <si>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</si>
  <si>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</si>
  <si>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</si>
  <si>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</si>
  <si>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</si>
  <si>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</si>
  <si>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</si>
  <si>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</si>
  <si>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</si>
  <si>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</si>
  <si>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</si>
  <si>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</si>
  <si>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</si>
  <si>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</si>
  <si>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</si>
  <si>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</si>
  <si>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</si>
  <si>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</si>
  <si>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</si>
  <si>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</si>
  <si>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</si>
  <si>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</si>
  <si>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</si>
  <si>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</si>
  <si>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</si>
  <si>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</si>
  <si>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</si>
  <si>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</si>
  <si>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</si>
  <si>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</si>
  <si>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</si>
  <si>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</si>
  <si>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</si>
  <si>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</si>
  <si>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</si>
  <si>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</si>
  <si>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</si>
  <si>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</si>
  <si>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</si>
  <si>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</si>
  <si>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</si>
  <si>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</si>
  <si>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</si>
  <si>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</si>
  <si>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</si>
  <si>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</si>
  <si>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</si>
  <si>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</si>
  <si>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</si>
  <si>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</si>
  <si>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</si>
  <si>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</si>
  <si>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</si>
  <si>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</si>
  <si>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</si>
  <si>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</si>
  <si>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</si>
  <si>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</si>
  <si>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</si>
  <si>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</si>
  <si>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</si>
  <si>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</si>
  <si>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</si>
  <si>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</si>
  <si>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</si>
  <si>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</si>
  <si>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</si>
  <si>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</si>
  <si>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</si>
  <si>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</si>
  <si>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</si>
  <si>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</si>
  <si>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</si>
  <si>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</si>
  <si>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</si>
  <si>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</si>
  <si>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</si>
  <si>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</si>
  <si>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</si>
  <si>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</si>
  <si>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</si>
  <si>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</si>
  <si>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</si>
  <si>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</si>
  <si>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</si>
  <si>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</si>
  <si>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</si>
  <si>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</si>
  <si>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</si>
  <si>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</si>
  <si>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</si>
  <si>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</si>
  <si>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</si>
  <si>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</si>
  <si>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</si>
  <si>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</si>
  <si>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</si>
  <si>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</si>
  <si>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</si>
  <si>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</si>
  <si>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</si>
  <si>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</si>
  <si>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</si>
  <si>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</si>
  <si>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</si>
  <si>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</si>
  <si>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</si>
  <si>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</si>
  <si>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</si>
  <si>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</si>
  <si>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</si>
  <si>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</si>
  <si>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</si>
  <si>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</si>
  <si>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</si>
  <si>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</si>
  <si>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</si>
  <si>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</si>
  <si>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</si>
  <si>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</si>
  <si>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</si>
  <si>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</si>
  <si>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</si>
  <si>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</si>
  <si>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</si>
  <si>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</si>
  <si>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</si>
  <si>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</si>
  <si>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</si>
  <si>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</si>
  <si>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</si>
  <si>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</si>
  <si>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</si>
  <si>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</si>
  <si>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</si>
  <si>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</si>
  <si>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</si>
  <si>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</si>
  <si>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</si>
  <si>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</si>
  <si>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</si>
  <si>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</si>
  <si>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</si>
  <si>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</si>
  <si>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</si>
  <si>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</si>
  <si>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</si>
  <si>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</si>
  <si>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</si>
  <si>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</si>
  <si>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</si>
  <si>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</si>
  <si>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</si>
  <si>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</si>
  <si>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</si>
  <si>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</si>
  <si>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</si>
  <si>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</si>
  <si>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</si>
  <si>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</si>
  <si>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</si>
  <si>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</si>
  <si>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</si>
  <si>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</si>
  <si>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</si>
  <si>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</si>
  <si>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</si>
  <si>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</si>
  <si>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</si>
  <si>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</si>
  <si>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</si>
  <si>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</si>
  <si>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</si>
  <si>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</si>
  <si>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</si>
  <si>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</si>
  <si>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</si>
  <si>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</si>
  <si>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</si>
  <si>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</si>
  <si>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</si>
  <si>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</si>
  <si>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</si>
  <si>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</si>
  <si>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</si>
  <si>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</si>
  <si>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</si>
  <si>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</si>
  <si>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</si>
  <si>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</si>
  <si>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</si>
  <si>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</si>
  <si>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</si>
  <si>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</si>
  <si>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</si>
  <si>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</si>
  <si>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</si>
  <si>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</si>
  <si>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</si>
  <si>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</si>
  <si>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</si>
  <si>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</si>
  <si>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</si>
  <si>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</si>
  <si>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</si>
  <si>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</si>
  <si>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</si>
  <si>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</si>
  <si>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</si>
  <si>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</si>
  <si>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</si>
  <si>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</si>
  <si>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</si>
  <si>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</si>
  <si>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</si>
  <si>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</si>
  <si>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</si>
  <si>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</si>
  <si>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</si>
  <si>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</si>
  <si>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</si>
  <si>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</si>
  <si>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</si>
  <si>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</si>
  <si>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</si>
  <si>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</si>
  <si>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</si>
  <si>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</si>
  <si>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</si>
  <si>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</si>
  <si>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</si>
  <si>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</si>
  <si>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</si>
  <si>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</si>
  <si>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</si>
  <si>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</si>
  <si>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</si>
  <si>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</si>
  <si>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</si>
  <si>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</si>
  <si>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</si>
  <si>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</si>
  <si>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</si>
  <si>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</si>
  <si>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</si>
  <si>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</si>
  <si>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</si>
  <si>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</si>
  <si>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</si>
  <si>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</si>
  <si>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</si>
  <si>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</si>
  <si>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</si>
  <si>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</si>
  <si>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</si>
  <si>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</si>
  <si>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</si>
  <si>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</si>
  <si>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</si>
  <si>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</si>
  <si>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</si>
  <si>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</si>
  <si>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</si>
  <si>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</si>
  <si>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</si>
  <si>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</si>
  <si>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</si>
  <si>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</si>
  <si>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</si>
  <si>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</si>
  <si>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</si>
  <si>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</si>
  <si>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</si>
  <si>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</si>
  <si>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</si>
  <si>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</si>
  <si>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</si>
  <si>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</si>
  <si>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</si>
  <si>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</si>
  <si>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</si>
  <si>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</si>
  <si>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</si>
  <si>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</si>
  <si>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</si>
  <si>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</si>
  <si>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</si>
  <si>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</si>
  <si>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</si>
  <si>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</si>
  <si>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</si>
  <si>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</si>
  <si>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</si>
  <si>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</si>
  <si>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</si>
  <si>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</si>
  <si>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</si>
  <si>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</si>
  <si>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</si>
  <si>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</si>
  <si>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</si>
  <si>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</si>
  <si>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</si>
  <si>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</si>
  <si>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</si>
  <si>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</si>
  <si>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</si>
  <si>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</si>
  <si>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</si>
  <si>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</si>
  <si>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</si>
  <si>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</si>
  <si>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</si>
  <si>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</si>
  <si>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</si>
  <si>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</si>
  <si>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</si>
  <si>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</si>
  <si>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</si>
  <si>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</si>
  <si>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</si>
  <si>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</si>
  <si>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</si>
  <si>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</si>
  <si>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</si>
  <si>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</si>
  <si>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</si>
  <si>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</si>
  <si>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</si>
  <si>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</si>
  <si>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</si>
  <si>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</si>
  <si>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</si>
  <si>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</si>
  <si>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</si>
  <si>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</si>
  <si>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</si>
  <si>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</si>
  <si>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</si>
  <si>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</si>
  <si>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</si>
  <si>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</si>
  <si>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</si>
  <si>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</si>
  <si>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</si>
  <si>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</si>
  <si>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</si>
  <si>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</si>
  <si>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</si>
  <si>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</si>
  <si>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</si>
  <si>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</si>
  <si>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</si>
  <si>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</si>
  <si>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</si>
  <si>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</si>
  <si>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</si>
  <si>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</si>
  <si>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</si>
  <si>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</si>
  <si>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</si>
  <si>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</si>
  <si>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</si>
  <si>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</si>
  <si>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</si>
  <si>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</si>
  <si>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</si>
  <si>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</si>
  <si>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</si>
  <si>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</si>
  <si>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</si>
  <si>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</si>
  <si>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</si>
  <si>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</si>
  <si>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</si>
  <si>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</si>
  <si>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</si>
  <si>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</si>
  <si>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</si>
  <si>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</si>
  <si>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</si>
  <si>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</si>
  <si>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</si>
  <si>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</si>
  <si>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</si>
  <si>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</si>
  <si>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</si>
  <si>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</si>
  <si>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</si>
  <si>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</si>
  <si>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</si>
  <si>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</si>
  <si>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</si>
  <si>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</si>
  <si>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</si>
  <si>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</si>
  <si>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</si>
  <si>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</si>
  <si>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</si>
  <si>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</si>
  <si>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</si>
  <si>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</si>
  <si>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</si>
  <si>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</si>
  <si>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</si>
  <si>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</si>
  <si>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</si>
  <si>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</si>
  <si>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</si>
  <si>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</si>
  <si>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</si>
  <si>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</si>
  <si>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</si>
  <si>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</si>
  <si>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</si>
  <si>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</si>
  <si>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</si>
  <si>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</si>
  <si>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</si>
  <si>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</si>
  <si>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</si>
  <si>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</si>
  <si>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</si>
  <si>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</si>
  <si>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</si>
  <si>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</si>
  <si>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</si>
  <si>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</si>
  <si>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</si>
  <si>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</si>
  <si>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</si>
  <si>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</si>
  <si>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</si>
  <si>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</si>
  <si>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</si>
  <si>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</si>
  <si>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</si>
  <si>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</si>
  <si>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</si>
  <si>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</si>
  <si>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</si>
  <si>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</si>
  <si>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</si>
  <si>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</si>
  <si>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</si>
  <si>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</si>
  <si>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</si>
  <si>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</si>
  <si>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</si>
  <si>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</si>
  <si>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</si>
  <si>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</si>
  <si>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</si>
  <si>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</si>
  <si>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</si>
  <si>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</si>
  <si>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</si>
  <si>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</si>
  <si>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</si>
  <si>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</si>
  <si>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</si>
  <si>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</si>
  <si>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</si>
  <si>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</si>
  <si>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</si>
  <si>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</si>
  <si>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</si>
  <si>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</si>
  <si>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</si>
  <si>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</si>
  <si>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</si>
  <si>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</si>
  <si>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</si>
  <si>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</si>
  <si>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</si>
  <si>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</si>
  <si>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</si>
  <si>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</si>
  <si>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</si>
  <si>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</si>
  <si>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</si>
  <si>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</si>
  <si>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</si>
  <si>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</si>
  <si>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</si>
  <si>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</si>
  <si>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</si>
  <si>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</si>
  <si>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</si>
  <si>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</si>
  <si>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</si>
  <si>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</si>
  <si>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</si>
  <si>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</si>
  <si>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</si>
  <si>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</si>
  <si>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</si>
  <si>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</si>
  <si>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</si>
  <si>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</si>
  <si>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</si>
  <si>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</si>
  <si>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</si>
  <si>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</si>
  <si>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</si>
  <si>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</si>
  <si>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</si>
  <si>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</si>
  <si>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</si>
  <si>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</si>
  <si>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</si>
  <si>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</si>
  <si>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</si>
  <si>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</si>
  <si>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</si>
  <si>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</si>
  <si>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</si>
  <si>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</si>
  <si>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</si>
  <si>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</si>
  <si>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</si>
  <si>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</si>
  <si>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</si>
  <si>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</si>
  <si>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</si>
  <si>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</si>
  <si>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</si>
  <si>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</si>
  <si>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</si>
  <si>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</si>
  <si>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</si>
  <si>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</si>
  <si>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</si>
  <si>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</si>
  <si>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</si>
  <si>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</si>
  <si>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</si>
  <si>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</si>
  <si>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</si>
  <si>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</si>
  <si>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</si>
  <si>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</si>
  <si>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</si>
  <si>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</si>
  <si>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</si>
  <si>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</si>
  <si>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</si>
  <si>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</si>
  <si>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</si>
  <si>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</si>
  <si>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</si>
  <si>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</si>
  <si>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</si>
  <si>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</si>
  <si>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</si>
  <si>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</si>
  <si>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</si>
  <si>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</si>
  <si>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</si>
  <si>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</si>
  <si>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</si>
  <si>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</si>
  <si>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</si>
  <si>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</si>
  <si>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</si>
  <si>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</si>
  <si>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</si>
  <si>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</si>
  <si>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</si>
  <si>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</si>
  <si>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</si>
  <si>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</si>
  <si>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</si>
  <si>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</si>
  <si>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</si>
  <si>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</si>
  <si>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</si>
  <si>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</si>
  <si>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</si>
  <si>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</si>
  <si>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</si>
  <si>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</si>
  <si>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</si>
  <si>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</si>
  <si>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</si>
  <si>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</si>
  <si>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</si>
  <si>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</si>
  <si>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</si>
  <si>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</si>
  <si>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</si>
  <si>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</si>
  <si>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</si>
  <si>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</si>
  <si>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</si>
  <si>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</si>
  <si>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</si>
  <si>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</si>
  <si>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</si>
  <si>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</si>
  <si>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</si>
  <si>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</si>
  <si>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</si>
  <si>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</si>
  <si>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</si>
  <si>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</si>
  <si>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</si>
  <si>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</si>
  <si>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</si>
  <si>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</si>
  <si>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</si>
  <si>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</si>
  <si>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</si>
  <si>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</si>
  <si>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</si>
  <si>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</si>
  <si>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</si>
  <si>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</si>
  <si>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</si>
  <si>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</si>
  <si>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</si>
  <si>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</si>
  <si>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</si>
  <si>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</si>
  <si>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</si>
  <si>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</si>
  <si>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</si>
  <si>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</si>
  <si>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</si>
  <si>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</si>
  <si>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</si>
  <si>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</si>
  <si>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</si>
  <si>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</si>
  <si>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</si>
  <si>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</si>
  <si>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</si>
  <si>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</si>
  <si>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</si>
  <si>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</si>
  <si>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</si>
  <si>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</si>
  <si>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</si>
  <si>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</si>
  <si>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</si>
  <si>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</si>
  <si>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</si>
  <si>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</si>
  <si>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</si>
  <si>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</si>
  <si>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</si>
  <si>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</si>
  <si>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</si>
  <si>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</si>
  <si>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</si>
  <si>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</si>
  <si>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</si>
  <si>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</si>
  <si>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</si>
  <si>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</si>
  <si>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</si>
  <si>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</si>
  <si>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</si>
  <si>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</si>
  <si>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</si>
  <si>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</si>
  <si>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</si>
  <si>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</si>
  <si>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</si>
  <si>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</si>
  <si>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</si>
  <si>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</si>
  <si>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</si>
  <si>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</si>
  <si>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</si>
  <si>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</si>
  <si>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</si>
  <si>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</si>
  <si>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</si>
  <si>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</si>
  <si>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</si>
  <si>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</si>
  <si>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</si>
  <si>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</si>
  <si>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</si>
  <si>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</si>
  <si>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</si>
  <si>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</si>
  <si>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</si>
  <si>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</si>
  <si>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</si>
  <si>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</si>
  <si>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</si>
  <si>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</si>
  <si>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</si>
  <si>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</si>
  <si>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</si>
  <si>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</si>
  <si>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</si>
  <si>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</si>
  <si>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</si>
  <si>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</si>
  <si>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</si>
  <si>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</si>
  <si>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</si>
  <si>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</si>
  <si>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</si>
  <si>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</si>
  <si>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</si>
  <si>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</si>
  <si>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</si>
  <si>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</si>
  <si>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</si>
  <si>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</si>
  <si>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</si>
  <si>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</si>
  <si>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</si>
  <si>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</si>
  <si>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</si>
  <si>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</si>
  <si>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</si>
  <si>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</si>
  <si>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</si>
  <si>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</si>
  <si>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</si>
  <si>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</si>
  <si>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</si>
  <si>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</si>
  <si>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</si>
  <si>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</si>
  <si>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</si>
  <si>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</si>
  <si>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</si>
  <si>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</si>
  <si>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</si>
  <si>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</si>
  <si>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</si>
  <si>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</si>
  <si>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</si>
  <si>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</si>
  <si>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</si>
  <si>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</si>
  <si>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</si>
  <si>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</si>
  <si>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</si>
  <si>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</si>
  <si>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</si>
  <si>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</si>
  <si>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</si>
  <si>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</si>
  <si>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</si>
  <si>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</si>
  <si>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</si>
  <si>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</si>
  <si>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</si>
  <si>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</si>
  <si>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</si>
  <si>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</si>
  <si>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</si>
  <si>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</si>
  <si>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</si>
  <si>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</si>
  <si>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</si>
  <si>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</si>
  <si>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</si>
  <si>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</si>
  <si>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</si>
  <si>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</si>
  <si>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</si>
  <si>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</si>
  <si>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</si>
  <si>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</si>
  <si>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</si>
  <si>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</si>
  <si>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</si>
  <si>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</si>
  <si>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</si>
  <si>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</si>
  <si>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</si>
  <si>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</si>
  <si>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</si>
  <si>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</si>
  <si>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</si>
  <si>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</si>
  <si>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</si>
  <si>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</si>
  <si>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</si>
  <si>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</si>
  <si>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</si>
  <si>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</si>
  <si>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</si>
  <si>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</si>
  <si>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</si>
  <si>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</si>
  <si>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</si>
  <si>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</si>
  <si>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</si>
  <si>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</si>
  <si>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</si>
  <si>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</si>
  <si>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</si>
  <si>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</si>
  <si>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</si>
  <si>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</si>
  <si>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</si>
  <si>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</si>
  <si>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</si>
  <si>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</si>
  <si>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</si>
  <si>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</si>
  <si>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</si>
  <si>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</si>
  <si>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</si>
  <si>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</si>
  <si>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</si>
  <si>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</si>
  <si>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</si>
  <si>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</si>
  <si>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</si>
  <si>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</si>
  <si>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</si>
  <si>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</si>
  <si>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</si>
  <si>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</si>
  <si>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</si>
  <si>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</si>
  <si>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</si>
  <si>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</si>
  <si>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</si>
  <si>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</si>
  <si>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</si>
  <si>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</si>
  <si>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</si>
  <si>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</si>
  <si>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</si>
  <si>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</si>
  <si>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</si>
  <si>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</si>
  <si>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</si>
  <si>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</si>
  <si>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</si>
  <si>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</si>
  <si>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</si>
  <si>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</si>
  <si>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</si>
  <si>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</si>
  <si>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</si>
  <si>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</si>
  <si>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</si>
  <si>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</si>
  <si>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</si>
  <si>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</si>
  <si>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</si>
  <si>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</si>
  <si>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</si>
  <si>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</si>
  <si>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</si>
  <si>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</si>
  <si>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</si>
  <si>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</si>
  <si>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</si>
  <si>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</si>
  <si>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</si>
  <si>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</si>
  <si>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</si>
  <si>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</si>
  <si>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</si>
  <si>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</si>
  <si>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</si>
  <si>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</si>
  <si>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</si>
  <si>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</si>
  <si>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</si>
  <si>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</si>
  <si>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</si>
  <si>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</si>
  <si>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</si>
  <si>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</si>
  <si>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</si>
  <si>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</si>
  <si>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</si>
  <si>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</si>
  <si>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</si>
  <si>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</si>
  <si>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</si>
  <si>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</si>
  <si>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</si>
  <si>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</si>
  <si>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</si>
  <si>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</si>
  <si>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</si>
  <si>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</si>
  <si>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</si>
  <si>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</si>
  <si>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</si>
  <si>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</si>
  <si>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</si>
  <si>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</si>
  <si>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</si>
  <si>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</si>
  <si>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</si>
  <si>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</si>
  <si>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</si>
  <si>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</si>
  <si>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</si>
  <si>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</si>
  <si>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</si>
  <si>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</si>
  <si>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</si>
  <si>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</si>
  <si>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</si>
  <si>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</si>
  <si>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</si>
  <si>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</si>
  <si>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</si>
  <si>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</si>
  <si>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</si>
  <si>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</si>
  <si>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</si>
  <si>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</si>
  <si>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</si>
  <si>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</si>
  <si>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</si>
  <si>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</si>
  <si>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</si>
  <si>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</si>
  <si>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</si>
  <si>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</si>
  <si>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</si>
  <si>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</si>
  <si>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</si>
  <si>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</si>
  <si>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</si>
  <si>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</si>
  <si>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</si>
  <si>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</si>
  <si>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</si>
  <si>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</si>
  <si>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</si>
  <si>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</si>
  <si>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</si>
  <si>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</si>
  <si>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</si>
  <si>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</si>
  <si>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</si>
  <si>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</si>
  <si>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</si>
  <si>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</si>
  <si>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</si>
  <si>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</si>
  <si>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</si>
  <si>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</si>
  <si>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</si>
  <si>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</si>
  <si>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</si>
  <si>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</si>
  <si>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</si>
  <si>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</si>
  <si>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</si>
  <si>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</si>
  <si>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</si>
  <si>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</si>
  <si>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</si>
  <si>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</si>
  <si>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</si>
  <si>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</si>
  <si>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</si>
  <si>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</si>
  <si>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</si>
  <si>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</si>
  <si>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</si>
  <si>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</si>
  <si>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</si>
  <si>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</si>
  <si>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</si>
  <si>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</si>
  <si>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</si>
  <si>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</si>
  <si>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</si>
  <si>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</si>
  <si>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</si>
  <si>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</si>
  <si>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</si>
  <si>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</si>
  <si>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</si>
  <si>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</si>
  <si>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</si>
  <si>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</si>
  <si>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</si>
  <si>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</si>
  <si>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</si>
  <si>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</si>
  <si>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</si>
  <si>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</si>
  <si>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</si>
  <si>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</si>
  <si>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</si>
  <si>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</si>
  <si>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</si>
  <si>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</si>
  <si>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</si>
  <si>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</si>
  <si>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</si>
  <si>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</si>
  <si>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</si>
  <si>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</si>
  <si>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</si>
  <si>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</si>
  <si>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</si>
  <si>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</si>
  <si>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</si>
  <si>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</si>
  <si>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</si>
  <si>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</si>
  <si>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</si>
  <si>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</si>
  <si>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</si>
  <si>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</si>
  <si>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</si>
  <si>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</si>
  <si>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</si>
  <si>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</si>
  <si>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</si>
  <si>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</si>
  <si>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</si>
  <si>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</si>
  <si>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</si>
  <si>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</si>
  <si>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</si>
  <si>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</si>
  <si>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</si>
  <si>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</si>
  <si>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</si>
  <si>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</si>
  <si>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</si>
  <si>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</si>
  <si>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</si>
  <si>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</si>
  <si>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</si>
  <si>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</si>
  <si>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</si>
  <si>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</si>
  <si>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</si>
  <si>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</si>
  <si>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</si>
  <si>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</si>
  <si>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</si>
  <si>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</si>
  <si>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</si>
  <si>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</si>
  <si>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</si>
  <si>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</si>
  <si>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</si>
  <si>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</si>
  <si>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</si>
  <si>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</si>
  <si>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</si>
  <si>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</si>
  <si>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</si>
  <si>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</si>
  <si>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</si>
  <si>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</si>
  <si>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</si>
  <si>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</si>
  <si>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</si>
  <si>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</si>
  <si>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</si>
  <si>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</si>
  <si>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</si>
  <si>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</si>
  <si>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</si>
  <si>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</si>
  <si>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</si>
  <si>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</si>
  <si>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</si>
  <si>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</si>
  <si>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</si>
  <si>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</si>
  <si>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</si>
  <si>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</si>
  <si>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</si>
  <si>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</si>
  <si>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</si>
  <si>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</si>
  <si>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</si>
  <si>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</si>
  <si>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</si>
  <si>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</si>
  <si>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</si>
  <si>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</si>
  <si>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</si>
  <si>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</si>
  <si>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</si>
  <si>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</si>
  <si>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</si>
  <si>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</si>
  <si>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</si>
  <si>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</si>
  <si>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</si>
  <si>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</si>
  <si>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</si>
  <si>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</si>
  <si>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</si>
  <si>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</si>
  <si>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</si>
  <si>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</si>
  <si>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</si>
  <si>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</si>
  <si>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</si>
  <si>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</si>
  <si>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</si>
  <si>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</si>
  <si>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</si>
  <si>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</si>
  <si>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</si>
  <si>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</si>
  <si>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</si>
  <si>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</si>
  <si>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</si>
  <si>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</si>
  <si>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</si>
  <si>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</si>
  <si>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</si>
  <si>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</si>
  <si>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</si>
  <si>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</si>
  <si>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</si>
  <si>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</si>
  <si>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</si>
  <si>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</si>
  <si>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</si>
  <si>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</si>
  <si>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</si>
  <si>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</si>
  <si>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</si>
  <si>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</si>
  <si>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</si>
  <si>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</si>
  <si>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</si>
  <si>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</si>
  <si>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</si>
  <si>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</si>
  <si>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</si>
  <si>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</si>
  <si>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</si>
  <si>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</si>
  <si>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</si>
  <si>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</si>
  <si>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</si>
  <si>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</si>
  <si>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</si>
  <si>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</si>
  <si>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</si>
  <si>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</si>
  <si>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</si>
  <si>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</si>
  <si>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</si>
  <si>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</si>
  <si>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</si>
  <si>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</si>
  <si>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</si>
  <si>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</si>
  <si>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</si>
  <si>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</si>
  <si>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</si>
  <si>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</si>
  <si>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</si>
  <si>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</si>
  <si>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</si>
  <si>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</si>
  <si>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</si>
  <si>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</si>
  <si>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</si>
  <si>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</si>
  <si>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</si>
  <si>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</si>
  <si>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</si>
  <si>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</si>
  <si>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</si>
  <si>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</si>
  <si>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</si>
  <si>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</si>
  <si>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</si>
  <si>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</si>
  <si>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</si>
  <si>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</si>
  <si>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</si>
  <si>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</si>
  <si>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</si>
  <si>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</si>
  <si>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</si>
  <si>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</si>
  <si>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</si>
  <si>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</si>
  <si>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</si>
  <si>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</si>
  <si>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</si>
  <si>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</si>
  <si>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</si>
  <si>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</si>
  <si>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</si>
  <si>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</si>
  <si>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</si>
  <si>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</si>
  <si>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</si>
  <si>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</si>
  <si>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</si>
  <si>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</si>
  <si>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</si>
  <si>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</si>
  <si>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</si>
  <si>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</si>
  <si>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</si>
  <si>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</si>
  <si>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</si>
  <si>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</si>
  <si>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</si>
  <si>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</si>
  <si>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</si>
  <si>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</si>
  <si>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</si>
  <si>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</si>
  <si>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</si>
  <si>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</si>
  <si>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</si>
  <si>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</si>
  <si>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</si>
  <si>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</si>
  <si>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</si>
  <si>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</si>
  <si>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</si>
  <si>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</si>
  <si>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</si>
  <si>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</si>
  <si>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</si>
  <si>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</si>
  <si>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</si>
  <si>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</si>
  <si>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</si>
  <si>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</si>
  <si>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</si>
  <si>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</si>
  <si>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</si>
  <si>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</si>
  <si>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</si>
  <si>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</si>
  <si>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</si>
  <si>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</si>
  <si>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</si>
  <si>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</si>
  <si>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</si>
  <si>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</si>
  <si>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</si>
  <si>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</si>
  <si>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</si>
  <si>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</si>
  <si>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</si>
  <si>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</si>
  <si>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</si>
  <si>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</si>
  <si>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</si>
  <si>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</si>
  <si>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</si>
  <si>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</si>
  <si>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</si>
  <si>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7/06</t>
  </si>
  <si>
    <t>7/26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</si>
</sst>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937</v>
      </c>
      <c r="B2">
        <f>INDEX('School Tables'!$AH$3:$AH$209,MATCH('DOE25'!A2,'School Tables'!$AJ$3:$AJ$209,0))</f>
        <v>57</v>
      </c>
      <c r="C2">
        <f>INDEX('School Tables'!$AI$3:$AI$209,MATCH('DOE25'!A2,'School Tables'!$AJ$3:$AJ$209,0))</f>
        <v>57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3091629.05+6039.09</f>
        <v>3097668.1399999997</v>
      </c>
      <c r="G9" s="18">
        <v>0</v>
      </c>
      <c r="H9" s="18">
        <v>0</v>
      </c>
      <c r="I9" s="18">
        <v>0</v>
      </c>
      <c r="J9" s="13">
        <f>SUM(I440)</f>
        <v>0</v>
      </c>
      <c r="K9" s="23" t="s">
        <v>288</v>
      </c>
      <c r="L9" s="23" t="s">
        <v>288</v>
      </c>
      <c r="M9" s="8"/>
      <c r="N9" s="165"/>
    </row>
    <row r="10" spans="1:14" s="3" customFormat="1" ht="12.2" customHeight="1" x14ac:dyDescent="0.15">
      <c r="A10" s="1" t="s">
        <v>562</v>
      </c>
      <c r="B10" s="2" t="s">
        <v>289</v>
      </c>
      <c r="C10" s="6">
        <v>2</v>
      </c>
      <c r="D10" s="2" t="s">
        <v>428</v>
      </c>
      <c r="E10" s="6">
        <v>110</v>
      </c>
      <c r="F10" s="18">
        <v>0</v>
      </c>
      <c r="G10" s="18">
        <v>0</v>
      </c>
      <c r="H10" s="18">
        <v>0</v>
      </c>
      <c r="I10" s="18">
        <v>0</v>
      </c>
      <c r="J10" s="13">
        <f>SUM(I441)</f>
        <v>1130731.9100000001</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748315.15+826183.51</f>
        <v>1574498.6600000001</v>
      </c>
      <c r="G12" s="18">
        <v>1459772.7</v>
      </c>
      <c r="H12" s="18">
        <f>582960.46+0.47</f>
        <v>582960.92999999993</v>
      </c>
      <c r="I12" s="18">
        <v>0</v>
      </c>
      <c r="J12" s="13">
        <f>SUM(I442)</f>
        <v>0</v>
      </c>
      <c r="K12" s="23" t="s">
        <v>288</v>
      </c>
      <c r="L12" s="23" t="s">
        <v>288</v>
      </c>
      <c r="M12" s="8"/>
      <c r="N12" s="165"/>
    </row>
    <row r="13" spans="1:14" s="3" customFormat="1" ht="12.2" customHeight="1" x14ac:dyDescent="0.15">
      <c r="A13" s="1" t="s">
        <v>604</v>
      </c>
      <c r="B13" s="2" t="s">
        <v>289</v>
      </c>
      <c r="C13" s="6">
        <v>5</v>
      </c>
      <c r="D13" s="2" t="s">
        <v>428</v>
      </c>
      <c r="E13" s="6">
        <v>140</v>
      </c>
      <c r="F13" s="18">
        <v>0</v>
      </c>
      <c r="G13" s="18">
        <v>0</v>
      </c>
      <c r="H13" s="18">
        <v>0</v>
      </c>
      <c r="I13" s="18">
        <v>0</v>
      </c>
      <c r="J13" s="13">
        <f>SUM(I443)</f>
        <v>0</v>
      </c>
      <c r="K13" s="23" t="s">
        <v>288</v>
      </c>
      <c r="L13" s="23" t="s">
        <v>288</v>
      </c>
      <c r="M13" s="8"/>
      <c r="N13" s="165"/>
    </row>
    <row r="14" spans="1:14" s="3" customFormat="1" ht="12.2" customHeight="1" x14ac:dyDescent="0.15">
      <c r="A14" s="1" t="s">
        <v>565</v>
      </c>
      <c r="B14" s="2" t="s">
        <v>289</v>
      </c>
      <c r="C14" s="6">
        <v>6</v>
      </c>
      <c r="D14" s="2" t="s">
        <v>428</v>
      </c>
      <c r="E14" s="6">
        <v>150</v>
      </c>
      <c r="F14" s="18">
        <f>478849.63</f>
        <v>478849.63</v>
      </c>
      <c r="G14" s="18">
        <v>32962.33</v>
      </c>
      <c r="H14" s="18">
        <v>159298.14000000001</v>
      </c>
      <c r="I14" s="18">
        <v>0</v>
      </c>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5"/>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5"/>
    </row>
    <row r="17" spans="1:14" s="3" customFormat="1" ht="12.2" customHeight="1" x14ac:dyDescent="0.15">
      <c r="A17" s="1" t="s">
        <v>567</v>
      </c>
      <c r="B17" s="2" t="s">
        <v>289</v>
      </c>
      <c r="C17" s="6">
        <v>9</v>
      </c>
      <c r="D17" s="2" t="s">
        <v>428</v>
      </c>
      <c r="E17" s="6">
        <v>180</v>
      </c>
      <c r="F17" s="18">
        <v>280532.3</v>
      </c>
      <c r="G17" s="18">
        <v>0</v>
      </c>
      <c r="H17" s="18">
        <v>13005.54</v>
      </c>
      <c r="I17" s="18">
        <v>0</v>
      </c>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5431548.7299999995</v>
      </c>
      <c r="G19" s="38">
        <f>SUM(G9:G18)</f>
        <v>1492735.03</v>
      </c>
      <c r="H19" s="38">
        <f>SUM(H9:H18)</f>
        <v>755264.61</v>
      </c>
      <c r="I19" s="38">
        <f>SUM(I9:I18)</f>
        <v>0</v>
      </c>
      <c r="J19" s="38">
        <f>SUM(J9:J18)</f>
        <v>1130731.9100000001</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f>1459771.88+0.27+582960.46</f>
        <v>2042732.6099999999</v>
      </c>
      <c r="G22" s="18">
        <f>826183.8</f>
        <v>826183.8</v>
      </c>
      <c r="H22" s="18">
        <v>748316.44</v>
      </c>
      <c r="I22" s="18">
        <v>0</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0</v>
      </c>
      <c r="G23" s="18">
        <v>2726</v>
      </c>
      <c r="H23" s="18">
        <v>0</v>
      </c>
      <c r="I23" s="18">
        <v>0</v>
      </c>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1658008.77</f>
        <v>1658008.77</v>
      </c>
      <c r="G24" s="18">
        <f>74912.61</f>
        <v>74912.61</v>
      </c>
      <c r="H24" s="18">
        <v>6948.17</v>
      </c>
      <c r="I24" s="18">
        <v>0</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261270.29</v>
      </c>
      <c r="G25" s="102">
        <v>13794.65</v>
      </c>
      <c r="H25" s="18">
        <v>0</v>
      </c>
      <c r="I25" s="18">
        <v>0</v>
      </c>
      <c r="J25" s="23" t="s">
        <v>288</v>
      </c>
      <c r="K25" s="23" t="s">
        <v>288</v>
      </c>
      <c r="L25" s="23" t="s">
        <v>288</v>
      </c>
      <c r="M25" s="8"/>
      <c r="N25" s="165"/>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5"/>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5"/>
    </row>
    <row r="28" spans="1:14" s="3" customFormat="1" ht="12.2" customHeight="1" x14ac:dyDescent="0.15">
      <c r="A28" s="1" t="s">
        <v>573</v>
      </c>
      <c r="B28" s="2" t="s">
        <v>289</v>
      </c>
      <c r="C28" s="6">
        <v>18</v>
      </c>
      <c r="D28" s="2" t="s">
        <v>429</v>
      </c>
      <c r="E28" s="6">
        <v>460</v>
      </c>
      <c r="F28" s="18">
        <v>0</v>
      </c>
      <c r="G28" s="18">
        <v>0</v>
      </c>
      <c r="H28" s="18">
        <v>0</v>
      </c>
      <c r="I28" s="18">
        <v>0</v>
      </c>
      <c r="J28" s="23" t="s">
        <v>288</v>
      </c>
      <c r="K28" s="23" t="s">
        <v>288</v>
      </c>
      <c r="L28" s="23" t="s">
        <v>288</v>
      </c>
      <c r="M28" s="8"/>
      <c r="N28" s="165"/>
    </row>
    <row r="29" spans="1:14" s="3" customFormat="1" ht="12.2" customHeight="1" x14ac:dyDescent="0.15">
      <c r="A29" s="1" t="s">
        <v>575</v>
      </c>
      <c r="B29" s="2" t="s">
        <v>289</v>
      </c>
      <c r="C29" s="6">
        <v>19</v>
      </c>
      <c r="D29" s="2" t="s">
        <v>429</v>
      </c>
      <c r="E29" s="6">
        <v>470</v>
      </c>
      <c r="F29" s="18">
        <f>5625.07+93179.93+160888.6+33023.52</f>
        <v>292717.12</v>
      </c>
      <c r="G29" s="18">
        <v>0</v>
      </c>
      <c r="H29" s="18">
        <v>0</v>
      </c>
      <c r="I29" s="18">
        <v>0</v>
      </c>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f>60619.97+32554.83</f>
        <v>93174.8</v>
      </c>
      <c r="H30" s="18">
        <v>0</v>
      </c>
      <c r="I30" s="18">
        <v>0</v>
      </c>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4254728.79</v>
      </c>
      <c r="G32" s="38">
        <f>SUM(G22:G31)</f>
        <v>1010791.8600000001</v>
      </c>
      <c r="H32" s="38">
        <f>SUM(H22:H31)</f>
        <v>755264.61</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5"/>
    </row>
    <row r="36" spans="1:14" s="3" customFormat="1" ht="12.2" customHeight="1" x14ac:dyDescent="0.15">
      <c r="A36" s="1" t="s">
        <v>578</v>
      </c>
      <c r="B36" s="6">
        <v>1</v>
      </c>
      <c r="C36" s="6">
        <v>24</v>
      </c>
      <c r="D36" s="2" t="s">
        <v>653</v>
      </c>
      <c r="E36" s="6">
        <v>752</v>
      </c>
      <c r="F36" s="18">
        <v>280532.3</v>
      </c>
      <c r="G36" s="18">
        <v>0</v>
      </c>
      <c r="H36" s="18">
        <v>0</v>
      </c>
      <c r="I36" s="18">
        <v>0</v>
      </c>
      <c r="J36" s="23" t="s">
        <v>288</v>
      </c>
      <c r="K36" s="23" t="s">
        <v>288</v>
      </c>
      <c r="L36" s="23" t="s">
        <v>288</v>
      </c>
      <c r="M36" s="8"/>
      <c r="N36" s="165"/>
    </row>
    <row r="37" spans="1:14" s="3" customFormat="1" ht="12.2" customHeight="1" x14ac:dyDescent="0.15">
      <c r="A37" s="1" t="s">
        <v>851</v>
      </c>
      <c r="B37" s="6">
        <v>1</v>
      </c>
      <c r="C37" s="6">
        <v>25</v>
      </c>
      <c r="D37" s="2" t="s">
        <v>653</v>
      </c>
      <c r="E37" s="6">
        <v>756</v>
      </c>
      <c r="F37" s="18">
        <v>0</v>
      </c>
      <c r="G37" s="18">
        <v>0</v>
      </c>
      <c r="H37" s="18">
        <v>0</v>
      </c>
      <c r="I37" s="18">
        <v>0</v>
      </c>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v>0</v>
      </c>
      <c r="G39" s="18">
        <v>0</v>
      </c>
      <c r="H39" s="18">
        <v>0</v>
      </c>
      <c r="I39" s="18">
        <v>0</v>
      </c>
      <c r="J39" s="13">
        <f>I459</f>
        <v>0</v>
      </c>
      <c r="K39" s="23" t="s">
        <v>288</v>
      </c>
      <c r="L39" s="23" t="s">
        <v>288</v>
      </c>
      <c r="M39" s="8"/>
      <c r="N39" s="165"/>
    </row>
    <row r="40" spans="1:14" s="3" customFormat="1" ht="12.2" customHeight="1" x14ac:dyDescent="0.15">
      <c r="A40" s="1" t="s">
        <v>859</v>
      </c>
      <c r="B40" s="6">
        <v>1</v>
      </c>
      <c r="C40" s="6">
        <v>27</v>
      </c>
      <c r="D40" s="2"/>
      <c r="E40" s="6"/>
      <c r="F40" s="23" t="s">
        <v>288</v>
      </c>
      <c r="G40" s="18">
        <v>481943.17</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f>G19-G52</f>
        <v>0</v>
      </c>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v>0</v>
      </c>
      <c r="G43" s="18">
        <v>0</v>
      </c>
      <c r="H43" s="18">
        <v>0</v>
      </c>
      <c r="I43" s="18">
        <v>0</v>
      </c>
      <c r="J43" s="13">
        <f>SUM(I457)</f>
        <v>0</v>
      </c>
      <c r="K43" s="23" t="s">
        <v>288</v>
      </c>
      <c r="L43" s="23" t="s">
        <v>288</v>
      </c>
      <c r="M43" s="8"/>
      <c r="N43" s="165"/>
    </row>
    <row r="44" spans="1:14" s="3" customFormat="1" ht="12.2" customHeight="1" x14ac:dyDescent="0.15">
      <c r="A44" s="1" t="s">
        <v>836</v>
      </c>
      <c r="B44" s="6">
        <v>1</v>
      </c>
      <c r="C44" s="6">
        <v>30</v>
      </c>
      <c r="D44" s="2" t="s">
        <v>653</v>
      </c>
      <c r="E44" s="6">
        <v>755</v>
      </c>
      <c r="F44" s="18">
        <v>0</v>
      </c>
      <c r="G44" s="18">
        <v>0</v>
      </c>
      <c r="H44" s="18">
        <v>0</v>
      </c>
      <c r="I44" s="18">
        <v>0</v>
      </c>
      <c r="J44" s="23" t="s">
        <v>288</v>
      </c>
      <c r="K44" s="23" t="s">
        <v>288</v>
      </c>
      <c r="L44" s="23" t="s">
        <v>288</v>
      </c>
      <c r="M44" s="8"/>
      <c r="N44" s="165"/>
    </row>
    <row r="45" spans="1:14" s="3" customFormat="1" ht="12.2" customHeight="1" x14ac:dyDescent="0.15">
      <c r="A45" s="1" t="s">
        <v>837</v>
      </c>
      <c r="B45" s="6">
        <v>1</v>
      </c>
      <c r="C45" s="6">
        <v>31</v>
      </c>
      <c r="D45" s="2"/>
      <c r="E45" s="6">
        <v>753</v>
      </c>
      <c r="F45" s="18">
        <v>0</v>
      </c>
      <c r="G45" s="18">
        <v>0</v>
      </c>
      <c r="H45" s="18">
        <v>0</v>
      </c>
      <c r="I45" s="18">
        <v>0</v>
      </c>
      <c r="J45" s="13">
        <f>I456</f>
        <v>0</v>
      </c>
      <c r="K45" s="23" t="s">
        <v>288</v>
      </c>
      <c r="L45" s="23" t="s">
        <v>288</v>
      </c>
      <c r="M45" s="8"/>
      <c r="N45" s="165"/>
    </row>
    <row r="46" spans="1:14" s="3" customFormat="1" ht="12.2" customHeight="1" x14ac:dyDescent="0.15">
      <c r="A46" s="1" t="s">
        <v>873</v>
      </c>
      <c r="B46" s="6">
        <v>1</v>
      </c>
      <c r="C46" s="6">
        <v>32</v>
      </c>
      <c r="D46" s="2"/>
      <c r="E46" s="6"/>
      <c r="F46" s="18">
        <v>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0</v>
      </c>
      <c r="G48" s="18">
        <v>0</v>
      </c>
      <c r="H48" s="18">
        <v>0</v>
      </c>
      <c r="I48" s="18">
        <v>0</v>
      </c>
      <c r="J48" s="13">
        <f>SUM(I460)</f>
        <v>1130731.9100000001</v>
      </c>
      <c r="K48" s="23" t="s">
        <v>288</v>
      </c>
      <c r="L48" s="23" t="s">
        <v>288</v>
      </c>
      <c r="M48" s="8"/>
      <c r="N48" s="165"/>
    </row>
    <row r="49" spans="1:14" s="3" customFormat="1" ht="12.2" customHeight="1" x14ac:dyDescent="0.15">
      <c r="A49" s="1" t="s">
        <v>858</v>
      </c>
      <c r="B49" s="2" t="s">
        <v>289</v>
      </c>
      <c r="C49" s="6">
        <v>34</v>
      </c>
      <c r="D49" s="2"/>
      <c r="E49" s="6">
        <v>753</v>
      </c>
      <c r="F49" s="18">
        <v>0</v>
      </c>
      <c r="G49" s="18">
        <v>0</v>
      </c>
      <c r="H49" s="18">
        <v>0</v>
      </c>
      <c r="I49" s="18">
        <v>0</v>
      </c>
      <c r="J49" s="13">
        <f>I455</f>
        <v>0</v>
      </c>
      <c r="K49" s="23"/>
      <c r="L49" s="23"/>
      <c r="M49" s="8"/>
      <c r="N49" s="165"/>
    </row>
    <row r="50" spans="1:14" s="3" customFormat="1" ht="12.2" customHeight="1" thickBot="1" x14ac:dyDescent="0.2">
      <c r="A50" s="28" t="s">
        <v>839</v>
      </c>
      <c r="B50" s="2" t="s">
        <v>289</v>
      </c>
      <c r="C50" s="56">
        <v>35</v>
      </c>
      <c r="D50" s="2" t="s">
        <v>653</v>
      </c>
      <c r="E50" s="6">
        <v>770</v>
      </c>
      <c r="F50" s="18">
        <f>1176819.94-280532.3</f>
        <v>896287.6399999999</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1176819.94</v>
      </c>
      <c r="G51" s="38">
        <f>SUM(G35:G50)</f>
        <v>481943.17</v>
      </c>
      <c r="H51" s="38">
        <f>SUM(H35:H50)</f>
        <v>0</v>
      </c>
      <c r="I51" s="38">
        <f>SUM(I35:I50)</f>
        <v>0</v>
      </c>
      <c r="J51" s="38">
        <f>SUM(J35:J50)</f>
        <v>1130731.9100000001</v>
      </c>
      <c r="K51" s="42" t="s">
        <v>288</v>
      </c>
      <c r="L51" s="42" t="s">
        <v>288</v>
      </c>
      <c r="N51" s="131"/>
    </row>
    <row r="52" spans="1:14" s="3" customFormat="1" ht="12.2" customHeight="1" thickTop="1" x14ac:dyDescent="0.15">
      <c r="A52" s="35" t="s">
        <v>455</v>
      </c>
      <c r="B52" s="36" t="s">
        <v>289</v>
      </c>
      <c r="C52" s="6">
        <v>37</v>
      </c>
      <c r="D52" s="36" t="s">
        <v>653</v>
      </c>
      <c r="E52" s="36"/>
      <c r="F52" s="38">
        <f>F51+F32</f>
        <v>5431548.7300000004</v>
      </c>
      <c r="G52" s="38">
        <f>G51+G32</f>
        <v>1492735.03</v>
      </c>
      <c r="H52" s="38">
        <f>H51+H32</f>
        <v>755264.61</v>
      </c>
      <c r="I52" s="38">
        <f>I51+I32</f>
        <v>0</v>
      </c>
      <c r="J52" s="38">
        <f>J51+J32</f>
        <v>1130731.9100000001</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20237883</v>
      </c>
      <c r="G57" s="18">
        <v>0</v>
      </c>
      <c r="H57" s="18">
        <v>0</v>
      </c>
      <c r="I57" s="18">
        <v>0</v>
      </c>
      <c r="J57" s="18">
        <v>0</v>
      </c>
      <c r="K57" s="23" t="s">
        <v>288</v>
      </c>
      <c r="L57" s="23" t="s">
        <v>288</v>
      </c>
      <c r="M57" s="8"/>
      <c r="N57" s="165"/>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0</v>
      </c>
      <c r="G59" s="18">
        <v>0</v>
      </c>
      <c r="H59" s="18">
        <v>0</v>
      </c>
      <c r="I59" s="18">
        <v>0</v>
      </c>
      <c r="J59" s="18">
        <v>0</v>
      </c>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20237883</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f>202126.88-137500+197881-196801</f>
        <v>65706.880000000005</v>
      </c>
      <c r="G63" s="23" t="s">
        <v>288</v>
      </c>
      <c r="H63" s="18">
        <v>0</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f>68750+68750+877595.03+2493303.43</f>
        <v>3508398.46</v>
      </c>
      <c r="G68" s="23" t="s">
        <v>288</v>
      </c>
      <c r="H68" s="18">
        <v>0</v>
      </c>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196801</v>
      </c>
      <c r="G69" s="23" t="s">
        <v>288</v>
      </c>
      <c r="H69" s="18">
        <v>0</v>
      </c>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3770906.34</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35552.61</v>
      </c>
      <c r="G96" s="18">
        <v>0</v>
      </c>
      <c r="H96" s="18">
        <v>0</v>
      </c>
      <c r="I96" s="18">
        <v>0</v>
      </c>
      <c r="J96" s="18">
        <f>H390</f>
        <v>-106828.1</v>
      </c>
      <c r="K96" s="23" t="s">
        <v>288</v>
      </c>
      <c r="L96" s="23" t="s">
        <v>288</v>
      </c>
      <c r="M96" s="8"/>
      <c r="N96" s="165"/>
    </row>
    <row r="97" spans="1:14" s="3" customFormat="1" ht="12.2" customHeight="1" x14ac:dyDescent="0.15">
      <c r="A97" s="1" t="s">
        <v>503</v>
      </c>
      <c r="B97" s="2" t="s">
        <v>315</v>
      </c>
      <c r="C97" s="6">
        <v>12</v>
      </c>
      <c r="D97" s="2" t="s">
        <v>430</v>
      </c>
      <c r="E97" s="6">
        <v>1600</v>
      </c>
      <c r="F97" s="23" t="s">
        <v>288</v>
      </c>
      <c r="G97" s="18">
        <f>170695.03+220181.82+243402.1</f>
        <v>634278.94999999995</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48100</v>
      </c>
      <c r="G98" s="23" t="s">
        <v>288</v>
      </c>
      <c r="H98" s="18">
        <v>0</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5385</v>
      </c>
      <c r="G101" s="18">
        <v>0</v>
      </c>
      <c r="H101" s="18">
        <v>0</v>
      </c>
      <c r="I101" s="18">
        <v>0</v>
      </c>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3" t="s">
        <v>288</v>
      </c>
      <c r="L102" s="23" t="s">
        <v>288</v>
      </c>
      <c r="M102" s="8"/>
      <c r="N102" s="165"/>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0</v>
      </c>
      <c r="G109" s="18">
        <v>0</v>
      </c>
      <c r="H109" s="18">
        <v>0</v>
      </c>
      <c r="I109" s="18">
        <v>0</v>
      </c>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38153.24+154088.99</f>
        <v>192242.22999999998</v>
      </c>
      <c r="G110" s="18">
        <f>11500.27</f>
        <v>11500.27</v>
      </c>
      <c r="H110" s="18">
        <v>0</v>
      </c>
      <c r="I110" s="18">
        <v>0</v>
      </c>
      <c r="J110" s="18">
        <v>0</v>
      </c>
      <c r="K110" s="23" t="s">
        <v>288</v>
      </c>
      <c r="L110" s="23" t="s">
        <v>288</v>
      </c>
      <c r="M110" s="8"/>
      <c r="N110" s="165"/>
    </row>
    <row r="111" spans="1:14" ht="12.2" customHeight="1" thickTop="1" thickBot="1" x14ac:dyDescent="0.25">
      <c r="A111" s="35" t="s">
        <v>433</v>
      </c>
      <c r="B111" s="36" t="s">
        <v>315</v>
      </c>
      <c r="C111" s="37">
        <v>25</v>
      </c>
      <c r="D111" s="36" t="s">
        <v>430</v>
      </c>
      <c r="E111" s="37"/>
      <c r="F111" s="38">
        <f>SUM(F96:F110)</f>
        <v>281279.83999999997</v>
      </c>
      <c r="G111" s="38">
        <f>SUM(G96:G110)</f>
        <v>645779.22</v>
      </c>
      <c r="H111" s="38">
        <f>SUM(H96:H110)</f>
        <v>0</v>
      </c>
      <c r="I111" s="38">
        <f>SUM(I96:I110)</f>
        <v>0</v>
      </c>
      <c r="J111" s="38">
        <f>SUM(J96:J110)</f>
        <v>-106828.1</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24290069.18</v>
      </c>
      <c r="G112" s="38">
        <f>G60+G111</f>
        <v>645779.22</v>
      </c>
      <c r="H112" s="38">
        <f>H60+H79+H94+H111</f>
        <v>0</v>
      </c>
      <c r="I112" s="38">
        <f>I60+I111</f>
        <v>0</v>
      </c>
      <c r="J112" s="38">
        <f>J60+J111</f>
        <v>-106828.1</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f>4835386.11-6111.33</f>
        <v>4829274.78</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1566630</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6111.33+183623.44</f>
        <v>189734.77</v>
      </c>
      <c r="G120" s="18">
        <v>0</v>
      </c>
      <c r="H120" s="18">
        <v>0</v>
      </c>
      <c r="I120" s="18">
        <v>0</v>
      </c>
      <c r="J120" s="18">
        <v>0</v>
      </c>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6585639.5499999998</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67289.929999999993</v>
      </c>
      <c r="G123" s="23" t="s">
        <v>288</v>
      </c>
      <c r="H123" s="23" t="s">
        <v>288</v>
      </c>
      <c r="I123" s="18">
        <v>0</v>
      </c>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5"/>
    </row>
    <row r="125" spans="1:14" s="3" customFormat="1" ht="12.2" customHeight="1" x14ac:dyDescent="0.15">
      <c r="A125" s="1" t="s">
        <v>895</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491188.08</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15624</v>
      </c>
      <c r="G128" s="23" t="s">
        <v>288</v>
      </c>
      <c r="H128" s="18">
        <v>0</v>
      </c>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v>0</v>
      </c>
      <c r="G130" s="23" t="s">
        <v>288</v>
      </c>
      <c r="H130" s="18">
        <v>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f>9045.74</f>
        <v>9045.74</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574102.01</v>
      </c>
      <c r="G136" s="38">
        <f>SUM(G123:G135)</f>
        <v>9045.74</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v>0</v>
      </c>
      <c r="G137" s="18">
        <v>0</v>
      </c>
      <c r="H137" s="18">
        <v>0</v>
      </c>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7159741.5599999996</v>
      </c>
      <c r="G140" s="38">
        <f>G121+SUM(G136:G137)</f>
        <v>9045.74</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v>0</v>
      </c>
      <c r="G150" s="23" t="s">
        <v>288</v>
      </c>
      <c r="H150" s="18">
        <v>0</v>
      </c>
      <c r="I150" s="18">
        <v>0</v>
      </c>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14096.59+768.65</f>
        <v>14865.24</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27947.36+7901.81+11941.73+16298.01</f>
        <v>64088.909999999996</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36639.23+47088.44+136378.3</f>
        <v>220105.97</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45900.63+172002.97+74649.59+149951.02</f>
        <v>442504.20999999996</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207997.83</v>
      </c>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0</v>
      </c>
      <c r="G161" s="18">
        <v>0</v>
      </c>
      <c r="H161" s="18">
        <f>19464+10061.9</f>
        <v>29525.9</v>
      </c>
      <c r="I161" s="18">
        <v>0</v>
      </c>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v>0</v>
      </c>
      <c r="G162" s="18">
        <v>0</v>
      </c>
      <c r="H162" s="18">
        <f>86764.03+42576.61</f>
        <v>129340.64</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207997.83</v>
      </c>
      <c r="G163" s="38">
        <f>SUM(G150:G162)</f>
        <v>220105.97</v>
      </c>
      <c r="H163" s="38">
        <f>SUM(H150:H162)</f>
        <v>680324.9</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v>0</v>
      </c>
      <c r="H164" s="18">
        <v>0</v>
      </c>
      <c r="I164" s="18">
        <v>0</v>
      </c>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207997.83</v>
      </c>
      <c r="G170" s="38">
        <f>G147+G163+SUM(G164:G169)</f>
        <v>220105.97</v>
      </c>
      <c r="H170" s="38">
        <f>H147+H163+SUM(H164:H169)</f>
        <v>680324.9</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0</v>
      </c>
      <c r="H180" s="18">
        <v>0</v>
      </c>
      <c r="I180" s="18">
        <v>0</v>
      </c>
      <c r="J180" s="18">
        <f>G390</f>
        <v>622965</v>
      </c>
      <c r="K180" s="23" t="s">
        <v>288</v>
      </c>
      <c r="L180" s="23" t="s">
        <v>288</v>
      </c>
      <c r="M180" s="8"/>
      <c r="N180" s="165"/>
    </row>
    <row r="181" spans="1:14" s="3" customFormat="1" ht="12.2" customHeight="1" x14ac:dyDescent="0.15">
      <c r="A181" s="1" t="s">
        <v>525</v>
      </c>
      <c r="B181" s="2" t="s">
        <v>330</v>
      </c>
      <c r="C181" s="6">
        <v>7</v>
      </c>
      <c r="D181" s="2" t="s">
        <v>430</v>
      </c>
      <c r="E181" s="6">
        <v>5221</v>
      </c>
      <c r="F181" s="18">
        <v>0</v>
      </c>
      <c r="G181" s="23" t="s">
        <v>288</v>
      </c>
      <c r="H181" s="18">
        <v>0</v>
      </c>
      <c r="I181" s="18">
        <v>0</v>
      </c>
      <c r="J181" s="18">
        <v>0</v>
      </c>
      <c r="K181" s="23" t="s">
        <v>288</v>
      </c>
      <c r="L181" s="23" t="s">
        <v>288</v>
      </c>
      <c r="M181" s="8"/>
      <c r="N181" s="165"/>
    </row>
    <row r="182" spans="1:14" s="3" customFormat="1" ht="12.2" customHeight="1" x14ac:dyDescent="0.15">
      <c r="A182" s="3" t="s">
        <v>526</v>
      </c>
      <c r="B182" s="2" t="s">
        <v>330</v>
      </c>
      <c r="C182" s="6">
        <v>8</v>
      </c>
      <c r="D182" s="2" t="s">
        <v>430</v>
      </c>
      <c r="E182" s="6">
        <v>5222</v>
      </c>
      <c r="F182" s="18">
        <v>0</v>
      </c>
      <c r="G182" s="18">
        <v>0</v>
      </c>
      <c r="H182" s="23" t="s">
        <v>288</v>
      </c>
      <c r="I182" s="18">
        <v>0</v>
      </c>
      <c r="J182" s="18">
        <v>0</v>
      </c>
      <c r="K182" s="23" t="s">
        <v>288</v>
      </c>
      <c r="L182" s="23" t="s">
        <v>288</v>
      </c>
      <c r="M182" s="8"/>
      <c r="N182" s="165"/>
    </row>
    <row r="183" spans="1:14" s="3" customFormat="1" ht="12.2" customHeight="1" thickBot="1" x14ac:dyDescent="0.2">
      <c r="A183" s="3" t="s">
        <v>527</v>
      </c>
      <c r="B183" s="2" t="s">
        <v>330</v>
      </c>
      <c r="C183" s="6">
        <v>9</v>
      </c>
      <c r="D183" s="2" t="s">
        <v>430</v>
      </c>
      <c r="E183" s="6">
        <v>5230</v>
      </c>
      <c r="F183" s="18">
        <v>0</v>
      </c>
      <c r="G183" s="18">
        <v>0</v>
      </c>
      <c r="H183" s="18">
        <v>0</v>
      </c>
      <c r="I183" s="23" t="s">
        <v>288</v>
      </c>
      <c r="J183" s="18">
        <v>0</v>
      </c>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622965</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5"/>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1"/>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622965</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31657808.569999997</v>
      </c>
      <c r="G194" s="38">
        <f>G112+G140+G170+G193</f>
        <v>874930.92999999993</v>
      </c>
      <c r="H194" s="38">
        <f>H112+H140+H170+H193</f>
        <v>680324.9</v>
      </c>
      <c r="I194" s="38">
        <f>I112+I140+I170+I193</f>
        <v>0</v>
      </c>
      <c r="J194" s="38">
        <f>J112+J140+J193</f>
        <v>516136.9</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2505873.72+24930.04+57818.77</f>
        <v>2588622.5300000003</v>
      </c>
      <c r="G198" s="18">
        <f>32385.91+1267125.52</f>
        <v>1299511.43</v>
      </c>
      <c r="H198" s="18">
        <f>230.67+14988.61+3157.6</f>
        <v>18376.88</v>
      </c>
      <c r="I198" s="18">
        <f>3696.98+1000+692.86+817.87+9589.88+3936.66+137.88+2606.38+33199.39+7091.09+18984.77+12800+6833.7</f>
        <v>101387.46</v>
      </c>
      <c r="J198" s="18">
        <f>10356.85+7904.67</f>
        <v>18261.52</v>
      </c>
      <c r="K198" s="18">
        <f>225</f>
        <v>225</v>
      </c>
      <c r="L198" s="13">
        <f>SUM(F198:K198)</f>
        <v>4026384.82</v>
      </c>
      <c r="M198" s="8"/>
      <c r="N198" s="165"/>
    </row>
    <row r="199" spans="1:14" s="3" customFormat="1" ht="12.2" customHeight="1" x14ac:dyDescent="0.15">
      <c r="A199" s="1" t="s">
        <v>439</v>
      </c>
      <c r="B199" s="2" t="s">
        <v>341</v>
      </c>
      <c r="C199" s="2" t="s">
        <v>291</v>
      </c>
      <c r="D199" s="2" t="s">
        <v>431</v>
      </c>
      <c r="E199" s="6">
        <v>1200</v>
      </c>
      <c r="F199" s="18">
        <f>513964.01+435252.22+13778.09+36263.39+4714.13+43759</f>
        <v>1047730.84</v>
      </c>
      <c r="G199" s="18">
        <f>535381.32+681.94+36426.79</f>
        <v>572490.04999999993</v>
      </c>
      <c r="H199" s="18">
        <f>4146.8+38159.84</f>
        <v>42306.64</v>
      </c>
      <c r="I199" s="18">
        <f>1145.26+3240.94+2544.43+2256</f>
        <v>9186.6299999999992</v>
      </c>
      <c r="J199" s="18">
        <f>1208+2211.98+314.99</f>
        <v>3734.9700000000003</v>
      </c>
      <c r="K199" s="18">
        <f>257.27</f>
        <v>257.27</v>
      </c>
      <c r="L199" s="13">
        <f>SUM(F199:K199)</f>
        <v>1675706.3999999997</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f>8076</f>
        <v>8076</v>
      </c>
      <c r="G201" s="18">
        <f>2917.06</f>
        <v>2917.06</v>
      </c>
      <c r="H201" s="18">
        <v>0</v>
      </c>
      <c r="I201" s="18">
        <v>0</v>
      </c>
      <c r="J201" s="18">
        <v>0</v>
      </c>
      <c r="K201" s="18">
        <v>0</v>
      </c>
      <c r="L201" s="13">
        <f>SUM(F201:K201)</f>
        <v>10993.06</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58895+74948.73+25375.17+68248.11+209306.54+53363.51+181733.03</f>
        <v>671870.09</v>
      </c>
      <c r="G203" s="18">
        <f>57.41+33153.15+51854.96+42120.51+120899.4+115369.89</f>
        <v>363455.32</v>
      </c>
      <c r="H203" s="18">
        <f>18463.33+1881.67+2074.7+1206.43+3860.6+3330.67+930.01</f>
        <v>31747.41</v>
      </c>
      <c r="I203" s="18">
        <f>1069.66+1742.63+1889+582.07+2381.64+804.69</f>
        <v>8469.69</v>
      </c>
      <c r="J203" s="18">
        <f>228+161.03+450.55</f>
        <v>839.57999999999993</v>
      </c>
      <c r="K203" s="18">
        <f>3000</f>
        <v>3000</v>
      </c>
      <c r="L203" s="13">
        <f t="shared" ref="L203:L209" si="0">SUM(F203:K203)</f>
        <v>1079382.0899999999</v>
      </c>
      <c r="M203" s="8"/>
      <c r="N203" s="165"/>
    </row>
    <row r="204" spans="1:14" s="3" customFormat="1" ht="12.2" customHeight="1" x14ac:dyDescent="0.15">
      <c r="A204" s="1" t="s">
        <v>443</v>
      </c>
      <c r="B204" s="2" t="s">
        <v>341</v>
      </c>
      <c r="C204" s="2" t="s">
        <v>295</v>
      </c>
      <c r="D204" s="2" t="s">
        <v>431</v>
      </c>
      <c r="E204" s="6">
        <v>2200</v>
      </c>
      <c r="F204" s="18">
        <f>3904.82+67984.62+13687.07+52868.54</f>
        <v>138445.05000000002</v>
      </c>
      <c r="G204" s="18">
        <f>9.85+42698.84+25676.94</f>
        <v>68385.62999999999</v>
      </c>
      <c r="H204" s="18">
        <f>26500.78+969.5+27657.88+23416.96</f>
        <v>78545.119999999995</v>
      </c>
      <c r="I204" s="18">
        <f>27.89+577.04+4911.57+12398.32</f>
        <v>17914.82</v>
      </c>
      <c r="J204" s="18">
        <f>1379.76+1877.88+96230.49</f>
        <v>99488.13</v>
      </c>
      <c r="K204" s="18">
        <v>0</v>
      </c>
      <c r="L204" s="13">
        <f t="shared" si="0"/>
        <v>402778.75</v>
      </c>
      <c r="M204" s="8"/>
      <c r="N204" s="165"/>
    </row>
    <row r="205" spans="1:14" s="3" customFormat="1" ht="12.2" customHeight="1" x14ac:dyDescent="0.15">
      <c r="A205" s="1" t="s">
        <v>444</v>
      </c>
      <c r="B205" s="2" t="s">
        <v>341</v>
      </c>
      <c r="C205" s="2" t="s">
        <v>296</v>
      </c>
      <c r="D205" s="2" t="s">
        <v>431</v>
      </c>
      <c r="E205" s="6">
        <v>2300</v>
      </c>
      <c r="F205" s="18">
        <f>5356.17+100+500</f>
        <v>5956.17</v>
      </c>
      <c r="G205" s="18">
        <f>409.76+38.25</f>
        <v>448.01</v>
      </c>
      <c r="H205" s="18">
        <f>2705.34+6429.33+5500+278304</f>
        <v>292938.67</v>
      </c>
      <c r="I205" s="18">
        <f>917.95</f>
        <v>917.95</v>
      </c>
      <c r="J205" s="18">
        <v>0</v>
      </c>
      <c r="K205" s="18">
        <f>38195.22+1908.17</f>
        <v>40103.39</v>
      </c>
      <c r="L205" s="13">
        <f t="shared" si="0"/>
        <v>340364.19</v>
      </c>
      <c r="M205" s="8"/>
      <c r="N205" s="165"/>
    </row>
    <row r="206" spans="1:14" s="3" customFormat="1" ht="12.2" customHeight="1" x14ac:dyDescent="0.15">
      <c r="A206" s="1" t="s">
        <v>445</v>
      </c>
      <c r="B206" s="2" t="s">
        <v>341</v>
      </c>
      <c r="C206" s="2" t="s">
        <v>297</v>
      </c>
      <c r="D206" s="2" t="s">
        <v>431</v>
      </c>
      <c r="E206" s="6">
        <v>2400</v>
      </c>
      <c r="F206" s="18">
        <f>108927.88+83097.59+95410.56</f>
        <v>287436.03000000003</v>
      </c>
      <c r="G206" s="18">
        <f>139489.12</f>
        <v>139489.12</v>
      </c>
      <c r="H206" s="18">
        <f>1595+44858.61+863.29</f>
        <v>47316.9</v>
      </c>
      <c r="I206" s="18">
        <f>10836.24</f>
        <v>10836.24</v>
      </c>
      <c r="J206" s="18">
        <v>0</v>
      </c>
      <c r="K206" s="18">
        <f>1923</f>
        <v>1923</v>
      </c>
      <c r="L206" s="13">
        <f t="shared" si="0"/>
        <v>487001.29000000004</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5"/>
    </row>
    <row r="208" spans="1:14" s="3" customFormat="1" ht="12.2" customHeight="1" x14ac:dyDescent="0.15">
      <c r="A208" s="1" t="s">
        <v>447</v>
      </c>
      <c r="B208" s="2" t="s">
        <v>341</v>
      </c>
      <c r="C208" s="2" t="s">
        <v>299</v>
      </c>
      <c r="D208" s="2" t="s">
        <v>431</v>
      </c>
      <c r="E208" s="6">
        <v>2600</v>
      </c>
      <c r="F208" s="18">
        <f>144374.72+11643.29+18421.14+901.96</f>
        <v>175341.11000000002</v>
      </c>
      <c r="G208" s="18">
        <f>80011.29+11531.77</f>
        <v>91543.06</v>
      </c>
      <c r="H208" s="18">
        <f>216.67+13811.37+8866+32044.29+12216+11960+17183.1+14156.14+26678.67+969.05+30421.27</f>
        <v>168522.55999999997</v>
      </c>
      <c r="I208" s="18">
        <f>18852.32+40052.86+88070.9+823.17+731.21</f>
        <v>148530.46</v>
      </c>
      <c r="J208" s="18">
        <v>0</v>
      </c>
      <c r="K208" s="18">
        <v>0</v>
      </c>
      <c r="L208" s="13">
        <f t="shared" si="0"/>
        <v>583937.18999999994</v>
      </c>
      <c r="M208" s="8"/>
      <c r="N208" s="165"/>
    </row>
    <row r="209" spans="1:14" s="3" customFormat="1" ht="12.2" customHeight="1" x14ac:dyDescent="0.15">
      <c r="A209" s="1" t="s">
        <v>448</v>
      </c>
      <c r="B209" s="2" t="s">
        <v>341</v>
      </c>
      <c r="C209" s="2" t="s">
        <v>300</v>
      </c>
      <c r="D209" s="2" t="s">
        <v>431</v>
      </c>
      <c r="E209" s="6">
        <v>2700</v>
      </c>
      <c r="F209" s="18">
        <f>145785.03+25167.27+765.74+34094.32</f>
        <v>205812.36</v>
      </c>
      <c r="G209" s="18">
        <f>53408.56+2725.86+90.58+22241.18</f>
        <v>78466.179999999993</v>
      </c>
      <c r="H209" s="18">
        <f>1162.62+43809.21+42183.96</f>
        <v>87155.790000000008</v>
      </c>
      <c r="I209" s="18">
        <f>1532.5+54017.84</f>
        <v>55550.34</v>
      </c>
      <c r="J209" s="18">
        <f>9110.88+49066.04</f>
        <v>58176.92</v>
      </c>
      <c r="K209" s="18">
        <f>2030.23</f>
        <v>2030.23</v>
      </c>
      <c r="L209" s="13">
        <f t="shared" si="0"/>
        <v>487191.81999999989</v>
      </c>
      <c r="M209" s="8"/>
      <c r="N209" s="165"/>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5129290.1800000006</v>
      </c>
      <c r="G212" s="38">
        <f t="shared" si="1"/>
        <v>2616705.86</v>
      </c>
      <c r="H212" s="38">
        <f t="shared" si="1"/>
        <v>766909.97</v>
      </c>
      <c r="I212" s="38">
        <f t="shared" si="1"/>
        <v>352793.58999999997</v>
      </c>
      <c r="J212" s="38">
        <f t="shared" si="1"/>
        <v>180501.12</v>
      </c>
      <c r="K212" s="38">
        <f t="shared" si="1"/>
        <v>47538.89</v>
      </c>
      <c r="L212" s="38">
        <f t="shared" si="1"/>
        <v>9093739.6099999994</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f>2480435.12+25869.29+56539.31</f>
        <v>2562843.7200000002</v>
      </c>
      <c r="G216" s="18">
        <f>32385.91+1254506.85</f>
        <v>1286892.76</v>
      </c>
      <c r="H216" s="18">
        <f>230.67+14313.76-272.02</f>
        <v>14272.41</v>
      </c>
      <c r="I216" s="18">
        <f>5059.96+1913.8+805.87+1692+929.99+1979.06+5897.01+6088.67+40715.45+3582.22+11093.54+2463.6+15701.93+120+18705.9+5010.01+984.61+3912.06</f>
        <v>126655.67999999999</v>
      </c>
      <c r="J216" s="18">
        <f>1800+7072.52</f>
        <v>8872.52</v>
      </c>
      <c r="K216" s="18">
        <f>829</f>
        <v>829</v>
      </c>
      <c r="L216" s="13">
        <f>SUM(F216:K216)</f>
        <v>4000366.0900000008</v>
      </c>
      <c r="M216" s="8"/>
      <c r="N216" s="165"/>
    </row>
    <row r="217" spans="1:14" s="3" customFormat="1" ht="12.2" customHeight="1" x14ac:dyDescent="0.15">
      <c r="A217" s="1" t="s">
        <v>439</v>
      </c>
      <c r="B217" s="2" t="s">
        <v>346</v>
      </c>
      <c r="C217" s="2" t="s">
        <v>291</v>
      </c>
      <c r="D217" s="2" t="s">
        <v>431</v>
      </c>
      <c r="E217" s="6">
        <v>1200</v>
      </c>
      <c r="F217" s="18">
        <f>574603.69+416752.66-958.85+13473.19+35460.92+4714.13</f>
        <v>1044045.7399999999</v>
      </c>
      <c r="G217" s="18">
        <f>556852.07+681.94</f>
        <v>557534.00999999989</v>
      </c>
      <c r="H217" s="18">
        <f>4055.04+37315.41+50008.2</f>
        <v>91378.65</v>
      </c>
      <c r="I217" s="18">
        <f>1119.92+3833.03+49.95+2488.13+500</f>
        <v>7991.0300000000007</v>
      </c>
      <c r="J217" s="18">
        <f>2163.03+4901.05</f>
        <v>7064.08</v>
      </c>
      <c r="K217" s="18">
        <f>251.58</f>
        <v>251.58</v>
      </c>
      <c r="L217" s="13">
        <f>SUM(F217:K217)</f>
        <v>1708265.0899999999</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f>34029.01+38525.66</f>
        <v>72554.670000000013</v>
      </c>
      <c r="G219" s="18">
        <f>12291.31+13327.12</f>
        <v>25618.43</v>
      </c>
      <c r="H219" s="18">
        <f>8000</f>
        <v>8000</v>
      </c>
      <c r="I219" s="18">
        <f>1294.2+721.6</f>
        <v>2015.8000000000002</v>
      </c>
      <c r="J219" s="18">
        <f>27632.25</f>
        <v>27632.25</v>
      </c>
      <c r="K219" s="18">
        <f>2520+5490.16+585</f>
        <v>8595.16</v>
      </c>
      <c r="L219" s="13">
        <f>SUM(F219:K219)</f>
        <v>144416.31000000003</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f>135679.42+67773.57+20605.13+66737.86+34884.42+18388.78+45433.26</f>
        <v>389502.44000000006</v>
      </c>
      <c r="G221" s="18">
        <f>57.41+76376.6+45680.78+41188.43+24520.11+28842.47</f>
        <v>216665.80000000002</v>
      </c>
      <c r="H221" s="18">
        <f>18463.33+1881.67+2028.79+295.76+946.45+832.67+232.5</f>
        <v>24681.17</v>
      </c>
      <c r="I221" s="18">
        <f>-243.28+2071.42+1889+569.19+583.87+201.17</f>
        <v>5071.37</v>
      </c>
      <c r="J221" s="18">
        <f>39.48+112.64</f>
        <v>152.12</v>
      </c>
      <c r="K221" s="18">
        <v>0</v>
      </c>
      <c r="L221" s="13">
        <f t="shared" ref="L221:L227" si="2">SUM(F221:K221)</f>
        <v>636072.90000000014</v>
      </c>
      <c r="M221" s="8"/>
      <c r="N221" s="165"/>
    </row>
    <row r="222" spans="1:14" s="3" customFormat="1" ht="12.2" customHeight="1" x14ac:dyDescent="0.15">
      <c r="A222" s="1" t="s">
        <v>443</v>
      </c>
      <c r="B222" s="2" t="s">
        <v>346</v>
      </c>
      <c r="C222" s="2" t="s">
        <v>295</v>
      </c>
      <c r="D222" s="2" t="s">
        <v>431</v>
      </c>
      <c r="E222" s="6">
        <v>2200</v>
      </c>
      <c r="F222" s="18">
        <f>3904.82+80809.8+26970.4+57465.81</f>
        <v>169150.83000000002</v>
      </c>
      <c r="G222" s="18">
        <f>9.85+56348.66+27909.72</f>
        <v>84268.23000000001</v>
      </c>
      <c r="H222" s="18">
        <f>21943.86+337.85+948.08+27045.84+22898.77</f>
        <v>73174.400000000009</v>
      </c>
      <c r="I222" s="18">
        <f>485.48+5381.24+4613</f>
        <v>10479.719999999999</v>
      </c>
      <c r="J222" s="18">
        <f>94101.02</f>
        <v>94101.02</v>
      </c>
      <c r="K222" s="18">
        <v>0</v>
      </c>
      <c r="L222" s="13">
        <f t="shared" si="2"/>
        <v>431174.2</v>
      </c>
      <c r="M222" s="8"/>
      <c r="N222" s="165"/>
    </row>
    <row r="223" spans="1:14" s="3" customFormat="1" ht="12.2" customHeight="1" x14ac:dyDescent="0.15">
      <c r="A223" s="1" t="s">
        <v>444</v>
      </c>
      <c r="B223" s="2" t="s">
        <v>346</v>
      </c>
      <c r="C223" s="2" t="s">
        <v>296</v>
      </c>
      <c r="D223" s="2" t="s">
        <v>431</v>
      </c>
      <c r="E223" s="6">
        <v>2300</v>
      </c>
      <c r="F223" s="18">
        <f>5356.17+100+500</f>
        <v>5956.17</v>
      </c>
      <c r="G223" s="18">
        <f>409.76+38.25</f>
        <v>448.01</v>
      </c>
      <c r="H223" s="18">
        <f>2705.34+6429.33+5500+278304</f>
        <v>292938.67</v>
      </c>
      <c r="I223" s="18">
        <f>917.95</f>
        <v>917.95</v>
      </c>
      <c r="J223" s="18">
        <v>0</v>
      </c>
      <c r="K223" s="18">
        <f>38195.22+1908.17</f>
        <v>40103.39</v>
      </c>
      <c r="L223" s="13">
        <f t="shared" si="2"/>
        <v>340364.19</v>
      </c>
      <c r="M223" s="8"/>
      <c r="N223" s="165"/>
    </row>
    <row r="224" spans="1:14" s="3" customFormat="1" ht="12.2" customHeight="1" x14ac:dyDescent="0.15">
      <c r="A224" s="1" t="s">
        <v>445</v>
      </c>
      <c r="B224" s="2" t="s">
        <v>346</v>
      </c>
      <c r="C224" s="2" t="s">
        <v>297</v>
      </c>
      <c r="D224" s="2" t="s">
        <v>431</v>
      </c>
      <c r="E224" s="6">
        <v>2400</v>
      </c>
      <c r="F224" s="18">
        <f>116888.53+110959.52+95563.46</f>
        <v>323411.51</v>
      </c>
      <c r="G224" s="18">
        <f>156947.57</f>
        <v>156947.57</v>
      </c>
      <c r="H224" s="18">
        <f>325+9277.22+451.44</f>
        <v>10053.66</v>
      </c>
      <c r="I224" s="18">
        <f>10836.24</f>
        <v>10836.24</v>
      </c>
      <c r="J224" s="18">
        <v>0</v>
      </c>
      <c r="K224" s="18">
        <f>1895</f>
        <v>1895</v>
      </c>
      <c r="L224" s="13">
        <f t="shared" si="2"/>
        <v>503143.98</v>
      </c>
      <c r="M224" s="8"/>
      <c r="N224" s="1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5"/>
    </row>
    <row r="226" spans="1:14" s="3" customFormat="1" ht="12.2" customHeight="1" x14ac:dyDescent="0.15">
      <c r="A226" s="1" t="s">
        <v>447</v>
      </c>
      <c r="B226" s="2" t="s">
        <v>346</v>
      </c>
      <c r="C226" s="2" t="s">
        <v>299</v>
      </c>
      <c r="D226" s="2" t="s">
        <v>431</v>
      </c>
      <c r="E226" s="6">
        <v>2600</v>
      </c>
      <c r="F226" s="18">
        <f>145092.24+11643.29+32881.42+901.96</f>
        <v>190518.91</v>
      </c>
      <c r="G226" s="18">
        <f>80379.26+20584</f>
        <v>100963.26</v>
      </c>
      <c r="H226" s="18">
        <f>216.67+31230+8800+52967.35+5333+384.99+23823.25+19314.35+12822.67+2607.15+28856.16+1590.91</f>
        <v>187946.5</v>
      </c>
      <c r="I226" s="18">
        <f>19595.67+43028.62+120162.09+298.87+2469.5+2193.63</f>
        <v>187748.38</v>
      </c>
      <c r="J226" s="18">
        <v>0</v>
      </c>
      <c r="K226" s="18">
        <v>0</v>
      </c>
      <c r="L226" s="13">
        <f t="shared" si="2"/>
        <v>667177.05000000005</v>
      </c>
      <c r="M226" s="8"/>
      <c r="N226" s="165"/>
    </row>
    <row r="227" spans="1:14" s="3" customFormat="1" ht="12.2" customHeight="1" x14ac:dyDescent="0.15">
      <c r="A227" s="1" t="s">
        <v>448</v>
      </c>
      <c r="B227" s="2" t="s">
        <v>346</v>
      </c>
      <c r="C227" s="2" t="s">
        <v>300</v>
      </c>
      <c r="D227" s="2" t="s">
        <v>431</v>
      </c>
      <c r="E227" s="6">
        <v>2700</v>
      </c>
      <c r="F227" s="18">
        <f>145785.03+25167.27+4977.31+7209.49+34094.32</f>
        <v>217233.41999999998</v>
      </c>
      <c r="G227" s="18">
        <f>53408.56+2725.86+588.74+850.96+22241.18</f>
        <v>79815.299999999988</v>
      </c>
      <c r="H227" s="18">
        <f>1162.62+43809.21+42183.96</f>
        <v>87155.790000000008</v>
      </c>
      <c r="I227" s="18">
        <f>1532.5+54017.84</f>
        <v>55550.34</v>
      </c>
      <c r="J227" s="18">
        <f>9110.88+49066.04</f>
        <v>58176.92</v>
      </c>
      <c r="K227" s="18">
        <f>2030.23</f>
        <v>2030.23</v>
      </c>
      <c r="L227" s="13">
        <f t="shared" si="2"/>
        <v>499961.99999999994</v>
      </c>
      <c r="M227" s="8"/>
      <c r="N227" s="1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4975217.4099999992</v>
      </c>
      <c r="G230" s="38">
        <f>SUM(G216:G229)</f>
        <v>2509153.3699999992</v>
      </c>
      <c r="H230" s="38">
        <f>SUM(H216:H229)</f>
        <v>789601.25</v>
      </c>
      <c r="I230" s="38">
        <f>SUM(I216:I229)</f>
        <v>407266.51</v>
      </c>
      <c r="J230" s="38">
        <f>SUM(J216:J229)</f>
        <v>195998.90999999997</v>
      </c>
      <c r="K230" s="38">
        <f t="shared" si="3"/>
        <v>53704.36</v>
      </c>
      <c r="L230" s="38">
        <f t="shared" si="3"/>
        <v>8930941.8100000024</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3339622.3+51489.98+64757.84</f>
        <v>3455870.1199999996</v>
      </c>
      <c r="G234" s="18">
        <f>32385.91+1694641.47</f>
        <v>1727027.38</v>
      </c>
      <c r="H234" s="18">
        <f>230.66+24732.41+3618</f>
        <v>28581.07</v>
      </c>
      <c r="I234" s="18">
        <f>14648.28+77.88+2238.15+6677.6+21030.67+2451.03+11017.66+1068.23+17384.78+10020.87+1304.41+773.53+53.11-2010.76</f>
        <v>86735.44</v>
      </c>
      <c r="J234" s="18">
        <f>6351.63+344.49+4145.39+10655.04+11067.26</f>
        <v>32563.810000000005</v>
      </c>
      <c r="K234" s="18">
        <f>7799</f>
        <v>7799</v>
      </c>
      <c r="L234" s="13">
        <f>SUM(F234:K234)</f>
        <v>5338576.82</v>
      </c>
      <c r="M234" s="8"/>
      <c r="N234" s="165"/>
    </row>
    <row r="235" spans="1:14" s="3" customFormat="1" ht="12.2" customHeight="1" x14ac:dyDescent="0.15">
      <c r="A235" s="1" t="s">
        <v>439</v>
      </c>
      <c r="B235" s="2" t="s">
        <v>350</v>
      </c>
      <c r="C235" s="2" t="s">
        <v>291</v>
      </c>
      <c r="D235" s="2" t="s">
        <v>431</v>
      </c>
      <c r="E235" s="6">
        <v>1200</v>
      </c>
      <c r="F235" s="18">
        <f>606649.4+301461.09+15431.65+40615.5+4714.14</f>
        <v>968871.78</v>
      </c>
      <c r="G235" s="18">
        <f>516575.43+681.94</f>
        <v>517257.37</v>
      </c>
      <c r="H235" s="18">
        <f>4644.47+42739.56+915168.86-50008.2-5032.55</f>
        <v>907512.14</v>
      </c>
      <c r="I235" s="18">
        <f>1282.71+3967.13+132.95+7882.36+2584</f>
        <v>15849.15</v>
      </c>
      <c r="J235" s="18">
        <f>202.74+2477.45+3541.92</f>
        <v>6222.11</v>
      </c>
      <c r="K235" s="18">
        <f>288.15</f>
        <v>288.14999999999998</v>
      </c>
      <c r="L235" s="13">
        <f>SUM(F235:K235)</f>
        <v>2416000.6999999997</v>
      </c>
      <c r="M235" s="8"/>
      <c r="N235" s="165"/>
    </row>
    <row r="236" spans="1:14" s="3" customFormat="1" ht="12.2" customHeight="1" x14ac:dyDescent="0.15">
      <c r="A236" s="1" t="s">
        <v>440</v>
      </c>
      <c r="B236" s="2" t="s">
        <v>350</v>
      </c>
      <c r="C236" s="2" t="s">
        <v>292</v>
      </c>
      <c r="D236" s="2" t="s">
        <v>431</v>
      </c>
      <c r="E236" s="6">
        <v>1300</v>
      </c>
      <c r="F236" s="18">
        <v>0</v>
      </c>
      <c r="G236" s="18">
        <v>0</v>
      </c>
      <c r="H236" s="18">
        <v>263839.49</v>
      </c>
      <c r="I236" s="18">
        <v>0</v>
      </c>
      <c r="J236" s="18">
        <v>0</v>
      </c>
      <c r="K236" s="18">
        <v>0</v>
      </c>
      <c r="L236" s="13">
        <f>SUM(F236:K236)</f>
        <v>263839.49</v>
      </c>
      <c r="M236" s="8"/>
      <c r="N236" s="165"/>
    </row>
    <row r="237" spans="1:14" s="3" customFormat="1" ht="12.2" customHeight="1" x14ac:dyDescent="0.15">
      <c r="A237" s="1" t="s">
        <v>441</v>
      </c>
      <c r="B237" s="2" t="s">
        <v>350</v>
      </c>
      <c r="C237" s="2" t="s">
        <v>293</v>
      </c>
      <c r="D237" s="2" t="s">
        <v>431</v>
      </c>
      <c r="E237" s="6">
        <v>1400</v>
      </c>
      <c r="F237" s="18">
        <f>34388+83198.08+183080.5+8400</f>
        <v>309066.58</v>
      </c>
      <c r="G237" s="18">
        <f>12420.98+92113.33+2430.45</f>
        <v>106964.76</v>
      </c>
      <c r="H237" s="18">
        <f>509.5+62118+3166.9+30000+59437.86+1600</f>
        <v>156832.26</v>
      </c>
      <c r="I237" s="18">
        <f>5106.38+21924.96</f>
        <v>27031.34</v>
      </c>
      <c r="J237" s="18">
        <f>18399.44</f>
        <v>18399.439999999999</v>
      </c>
      <c r="K237" s="18">
        <f>13180+2495+8770</f>
        <v>24445</v>
      </c>
      <c r="L237" s="13">
        <f>SUM(F237:K237)</f>
        <v>642739.38</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f>317637.7+56091.43+70449.98+76438.84+34884.42+18388.78+45433.26</f>
        <v>619324.41</v>
      </c>
      <c r="G239" s="18">
        <f>57.42+210379.43+0.33+36413.87-0.01+47175.56+0.01+24520.11+0.02+28860.46</f>
        <v>347407.2</v>
      </c>
      <c r="H239" s="18">
        <f>18463.34+2802.6+1745+1881.67+2323.7+295.76+946.45+832.67+232.5</f>
        <v>29523.69</v>
      </c>
      <c r="I239" s="18">
        <f>1147.78+75.92+3949.25+1912.58+1889+651.93+583.87+201.17</f>
        <v>10411.5</v>
      </c>
      <c r="J239" s="18">
        <f>669.98+39.48+112.64</f>
        <v>822.1</v>
      </c>
      <c r="K239" s="18">
        <f>970</f>
        <v>970</v>
      </c>
      <c r="L239" s="13">
        <f t="shared" ref="L239:L245" si="4">SUM(F239:K239)</f>
        <v>1008458.9</v>
      </c>
      <c r="M239" s="8"/>
      <c r="N239" s="165"/>
    </row>
    <row r="240" spans="1:14" s="3" customFormat="1" ht="12.2" customHeight="1" x14ac:dyDescent="0.15">
      <c r="A240" s="1" t="s">
        <v>443</v>
      </c>
      <c r="B240" s="2" t="s">
        <v>350</v>
      </c>
      <c r="C240" s="2" t="s">
        <v>295</v>
      </c>
      <c r="D240" s="2" t="s">
        <v>431</v>
      </c>
      <c r="E240" s="6">
        <v>2200</v>
      </c>
      <c r="F240" s="18">
        <f>3904.82+82173.49+119528.87</f>
        <v>205607.18</v>
      </c>
      <c r="G240" s="18">
        <f>9.86+42961.19+58052.21-300.03</f>
        <v>100723.23000000001</v>
      </c>
      <c r="H240" s="18">
        <f>18007.07+1085.85+30977.22+26227.32</f>
        <v>76297.459999999992</v>
      </c>
      <c r="I240" s="18">
        <f>3459.69+4286.03+40148.55</f>
        <v>47894.270000000004</v>
      </c>
      <c r="J240" s="18">
        <f>4934.6+229+107779.5</f>
        <v>112943.1</v>
      </c>
      <c r="K240" s="18">
        <f>242</f>
        <v>242</v>
      </c>
      <c r="L240" s="13">
        <f t="shared" si="4"/>
        <v>543707.24</v>
      </c>
      <c r="M240" s="8"/>
      <c r="N240" s="165"/>
    </row>
    <row r="241" spans="1:14" s="3" customFormat="1" ht="12.2" customHeight="1" x14ac:dyDescent="0.15">
      <c r="A241" s="1" t="s">
        <v>444</v>
      </c>
      <c r="B241" s="2" t="s">
        <v>350</v>
      </c>
      <c r="C241" s="2" t="s">
        <v>296</v>
      </c>
      <c r="D241" s="2" t="s">
        <v>431</v>
      </c>
      <c r="E241" s="6">
        <v>2300</v>
      </c>
      <c r="F241" s="18">
        <f>5356.17+100+500</f>
        <v>5956.17</v>
      </c>
      <c r="G241" s="18">
        <f>409.76+38.25</f>
        <v>448.01</v>
      </c>
      <c r="H241" s="18">
        <f>2705.34+6429.33+5500+278304</f>
        <v>292938.67</v>
      </c>
      <c r="I241" s="18">
        <f>917.95</f>
        <v>917.95</v>
      </c>
      <c r="J241" s="18">
        <v>0</v>
      </c>
      <c r="K241" s="18">
        <f>38195.22+1908.17-0.06</f>
        <v>40103.33</v>
      </c>
      <c r="L241" s="13">
        <f t="shared" si="4"/>
        <v>340364.13</v>
      </c>
      <c r="M241" s="8"/>
      <c r="N241" s="165"/>
    </row>
    <row r="242" spans="1:14" s="3" customFormat="1" ht="12.2" customHeight="1" x14ac:dyDescent="0.15">
      <c r="A242" s="1" t="s">
        <v>445</v>
      </c>
      <c r="B242" s="2" t="s">
        <v>350</v>
      </c>
      <c r="C242" s="2" t="s">
        <v>297</v>
      </c>
      <c r="D242" s="2" t="s">
        <v>431</v>
      </c>
      <c r="E242" s="6">
        <v>2400</v>
      </c>
      <c r="F242" s="18">
        <f>118686.54+120244.49+96881.73</f>
        <v>335812.76</v>
      </c>
      <c r="G242" s="18">
        <f>162965.75</f>
        <v>162965.75</v>
      </c>
      <c r="H242" s="18">
        <f>1475+24968.3+5590.53+3920.13</f>
        <v>35953.96</v>
      </c>
      <c r="I242" s="18">
        <f>550.22+10836.24</f>
        <v>11386.46</v>
      </c>
      <c r="J242" s="18">
        <v>0</v>
      </c>
      <c r="K242" s="18">
        <f>1904+20410.04</f>
        <v>22314.04</v>
      </c>
      <c r="L242" s="13">
        <f t="shared" si="4"/>
        <v>568432.97</v>
      </c>
      <c r="M242" s="8"/>
      <c r="N242" s="1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5"/>
    </row>
    <row r="244" spans="1:14" s="3" customFormat="1" ht="12.2" customHeight="1" x14ac:dyDescent="0.15">
      <c r="A244" s="1" t="s">
        <v>447</v>
      </c>
      <c r="B244" s="2" t="s">
        <v>350</v>
      </c>
      <c r="C244" s="2" t="s">
        <v>299</v>
      </c>
      <c r="D244" s="2" t="s">
        <v>431</v>
      </c>
      <c r="E244" s="6">
        <v>2600</v>
      </c>
      <c r="F244" s="18">
        <f>218958.9+11643.29+106425.32+901.96</f>
        <v>337929.47000000003</v>
      </c>
      <c r="G244" s="18">
        <f>118257.56+66923.01</f>
        <v>185180.57</v>
      </c>
      <c r="H244" s="18">
        <f>341.66+16195.84+16580.15+77818.35+42448.19+3888+39857.91+31689.41+116635.91+15504.81+45677.97+11462.22</f>
        <v>418100.42000000004</v>
      </c>
      <c r="I244" s="18">
        <f>39241.83+100821.85+197152.17+1279.17+13170.64+11699.34</f>
        <v>363365</v>
      </c>
      <c r="J244" s="18">
        <f>671.02</f>
        <v>671.02</v>
      </c>
      <c r="K244" s="18">
        <v>0</v>
      </c>
      <c r="L244" s="13">
        <f t="shared" si="4"/>
        <v>1305246.48</v>
      </c>
      <c r="M244" s="8"/>
      <c r="N244" s="165"/>
    </row>
    <row r="245" spans="1:14" s="3" customFormat="1" ht="12.2" customHeight="1" x14ac:dyDescent="0.15">
      <c r="A245" s="1" t="s">
        <v>448</v>
      </c>
      <c r="B245" s="2" t="s">
        <v>350</v>
      </c>
      <c r="C245" s="2" t="s">
        <v>300</v>
      </c>
      <c r="D245" s="2" t="s">
        <v>431</v>
      </c>
      <c r="E245" s="6">
        <v>2700</v>
      </c>
      <c r="F245" s="18">
        <f>22285.47+44856.93+25167.27+10337.49+20827.4+10490.56</f>
        <v>133965.12</v>
      </c>
      <c r="G245" s="18">
        <f>2271.34+16433.4-0.01+2725.86+1222.77-0.01+2458.33+6843.47</f>
        <v>31955.150000000009</v>
      </c>
      <c r="H245" s="18">
        <f>357.73+43809.21+2170.75+2814.81+12979.68</f>
        <v>62132.18</v>
      </c>
      <c r="I245" s="18">
        <f>471.54+16620.87</f>
        <v>17092.41</v>
      </c>
      <c r="J245" s="18">
        <f>9110.88+15097.24</f>
        <v>24208.12</v>
      </c>
      <c r="K245" s="18">
        <f>624.69</f>
        <v>624.69000000000005</v>
      </c>
      <c r="L245" s="13">
        <f t="shared" si="4"/>
        <v>269977.67000000004</v>
      </c>
      <c r="M245" s="8"/>
      <c r="N245" s="1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6372403.5899999989</v>
      </c>
      <c r="G248" s="38">
        <f t="shared" si="5"/>
        <v>3179929.4199999995</v>
      </c>
      <c r="H248" s="38">
        <f t="shared" si="5"/>
        <v>2271711.34</v>
      </c>
      <c r="I248" s="38">
        <f t="shared" si="5"/>
        <v>580683.52000000002</v>
      </c>
      <c r="J248" s="38">
        <f t="shared" si="5"/>
        <v>195829.69999999998</v>
      </c>
      <c r="K248" s="38">
        <f t="shared" si="5"/>
        <v>96786.210000000021</v>
      </c>
      <c r="L248" s="38">
        <f t="shared" si="5"/>
        <v>12697343.780000003</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16476911.18</v>
      </c>
      <c r="G258" s="38">
        <f t="shared" si="8"/>
        <v>8305788.6499999985</v>
      </c>
      <c r="H258" s="38">
        <f t="shared" si="8"/>
        <v>3828222.5599999996</v>
      </c>
      <c r="I258" s="38">
        <f t="shared" si="8"/>
        <v>1340743.6200000001</v>
      </c>
      <c r="J258" s="38">
        <f t="shared" si="8"/>
        <v>572329.73</v>
      </c>
      <c r="K258" s="38">
        <f t="shared" si="8"/>
        <v>198029.46000000002</v>
      </c>
      <c r="L258" s="38">
        <f t="shared" si="8"/>
        <v>30722025.200000003</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200000</v>
      </c>
      <c r="L261" s="13">
        <f>SUM(F261:K261)</f>
        <v>200000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40500</v>
      </c>
      <c r="L262" s="13">
        <f>SUM(F262:K262)</f>
        <v>40500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622965</v>
      </c>
      <c r="L267" s="13">
        <f t="shared" si="9"/>
        <v>622965</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863465</v>
      </c>
      <c r="L271" s="38">
        <f t="shared" si="9"/>
        <v>863465</v>
      </c>
      <c r="M271" s="8"/>
      <c r="N271" s="165"/>
    </row>
    <row r="272" spans="1:14" s="33" customFormat="1" ht="12.2" customHeight="1" thickTop="1" x14ac:dyDescent="0.2">
      <c r="A272" s="40" t="s">
        <v>464</v>
      </c>
      <c r="B272" s="37">
        <v>10</v>
      </c>
      <c r="C272" s="37">
        <v>18</v>
      </c>
      <c r="D272" s="36" t="s">
        <v>431</v>
      </c>
      <c r="E272" s="37"/>
      <c r="F272" s="39">
        <f t="shared" ref="F272:L272" si="11">F258+F271</f>
        <v>16476911.18</v>
      </c>
      <c r="G272" s="39">
        <f t="shared" si="11"/>
        <v>8305788.6499999985</v>
      </c>
      <c r="H272" s="39">
        <f t="shared" si="11"/>
        <v>3828222.5599999996</v>
      </c>
      <c r="I272" s="39">
        <f t="shared" si="11"/>
        <v>1340743.6200000001</v>
      </c>
      <c r="J272" s="39">
        <f t="shared" si="11"/>
        <v>572329.73</v>
      </c>
      <c r="K272" s="39">
        <f t="shared" si="11"/>
        <v>1061494.46</v>
      </c>
      <c r="L272" s="39">
        <f t="shared" si="11"/>
        <v>31585490.200000003</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4933.33+9769</f>
        <v>14702.33</v>
      </c>
      <c r="G277" s="18">
        <f>377.33+747.3+1036.33+1953.77+12.86+5.95+10.26</f>
        <v>4143.7999999999993</v>
      </c>
      <c r="H277" s="18">
        <f>14085.81+9493</f>
        <v>23578.809999999998</v>
      </c>
      <c r="I277" s="18">
        <f>1344.45+768.65</f>
        <v>2113.1</v>
      </c>
      <c r="J277" s="18">
        <v>0</v>
      </c>
      <c r="K277" s="18">
        <v>644.42999999999995</v>
      </c>
      <c r="L277" s="13">
        <f>SUM(F277:K277)</f>
        <v>45182.469999999994</v>
      </c>
      <c r="M277" s="8"/>
      <c r="N277" s="165"/>
    </row>
    <row r="278" spans="1:14" s="3" customFormat="1" ht="12.2" customHeight="1" x14ac:dyDescent="0.15">
      <c r="A278" s="1" t="s">
        <v>439</v>
      </c>
      <c r="B278" s="2" t="s">
        <v>357</v>
      </c>
      <c r="C278" s="2" t="s">
        <v>291</v>
      </c>
      <c r="D278" s="2" t="s">
        <v>431</v>
      </c>
      <c r="E278" s="6">
        <v>1200</v>
      </c>
      <c r="F278" s="18">
        <f>24351.9+55915+45870.46+6046</f>
        <v>132183.35999999999</v>
      </c>
      <c r="G278" s="18">
        <v>10956.7</v>
      </c>
      <c r="H278" s="18">
        <v>0</v>
      </c>
      <c r="I278" s="18">
        <v>0</v>
      </c>
      <c r="J278" s="18">
        <f>26985</f>
        <v>26985</v>
      </c>
      <c r="K278" s="18">
        <v>2461.58</v>
      </c>
      <c r="L278" s="13">
        <f>SUM(F278:K278)</f>
        <v>172586.63999999998</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f>47791</f>
        <v>47791</v>
      </c>
      <c r="G282" s="18">
        <f>2812.31</f>
        <v>2812.31</v>
      </c>
      <c r="H282" s="18">
        <v>0</v>
      </c>
      <c r="I282" s="18">
        <v>0</v>
      </c>
      <c r="J282" s="18">
        <v>0</v>
      </c>
      <c r="K282" s="18">
        <v>732.19</v>
      </c>
      <c r="L282" s="13">
        <f t="shared" ref="L282:L288" si="12">SUM(F282:K282)</f>
        <v>51335.5</v>
      </c>
      <c r="M282" s="8"/>
      <c r="N282" s="165"/>
    </row>
    <row r="283" spans="1:14" s="3" customFormat="1" ht="12.2" customHeight="1" x14ac:dyDescent="0.15">
      <c r="A283" s="1" t="s">
        <v>443</v>
      </c>
      <c r="B283" s="2" t="s">
        <v>357</v>
      </c>
      <c r="C283" s="2" t="s">
        <v>295</v>
      </c>
      <c r="D283" s="2" t="s">
        <v>431</v>
      </c>
      <c r="E283" s="6">
        <v>2200</v>
      </c>
      <c r="F283" s="18">
        <f>7316.67</f>
        <v>7316.67</v>
      </c>
      <c r="G283" s="18">
        <f>1947.13</f>
        <v>1947.13</v>
      </c>
      <c r="H283" s="18">
        <f>9598.46+20800+14185.67</f>
        <v>44584.13</v>
      </c>
      <c r="I283" s="18">
        <f>1999.98+42533.07</f>
        <v>44533.05</v>
      </c>
      <c r="J283" s="18">
        <v>0</v>
      </c>
      <c r="K283" s="18">
        <v>1423.5</v>
      </c>
      <c r="L283" s="13">
        <f t="shared" si="12"/>
        <v>99804.479999999996</v>
      </c>
      <c r="M283" s="8"/>
      <c r="N283" s="1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5"/>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3">
        <f t="shared" si="12"/>
        <v>0</v>
      </c>
      <c r="M287" s="8"/>
      <c r="N287" s="1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201993.36</v>
      </c>
      <c r="G291" s="39">
        <f t="shared" si="13"/>
        <v>19859.940000000002</v>
      </c>
      <c r="H291" s="39">
        <f t="shared" si="13"/>
        <v>68162.94</v>
      </c>
      <c r="I291" s="39">
        <f t="shared" si="13"/>
        <v>46646.15</v>
      </c>
      <c r="J291" s="39">
        <f t="shared" si="13"/>
        <v>26985</v>
      </c>
      <c r="K291" s="39">
        <f t="shared" si="13"/>
        <v>5261.7</v>
      </c>
      <c r="L291" s="38">
        <f t="shared" si="13"/>
        <v>368909.08999999997</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f>4933.33</f>
        <v>4933.33</v>
      </c>
      <c r="G296" s="18">
        <f>377.33+1036.33</f>
        <v>1413.6599999999999</v>
      </c>
      <c r="H296" s="18">
        <v>0</v>
      </c>
      <c r="I296" s="18">
        <v>0</v>
      </c>
      <c r="J296" s="18">
        <v>0</v>
      </c>
      <c r="K296" s="18">
        <v>117.53</v>
      </c>
      <c r="L296" s="13">
        <f>SUM(F296:K296)</f>
        <v>6464.5199999999995</v>
      </c>
      <c r="M296" s="8"/>
      <c r="N296" s="165"/>
    </row>
    <row r="297" spans="1:14" s="3" customFormat="1" ht="12.2" customHeight="1" x14ac:dyDescent="0.15">
      <c r="A297" s="1" t="s">
        <v>439</v>
      </c>
      <c r="B297" s="2" t="s">
        <v>358</v>
      </c>
      <c r="C297" s="2" t="s">
        <v>291</v>
      </c>
      <c r="D297" s="2" t="s">
        <v>431</v>
      </c>
      <c r="E297" s="6">
        <v>1200</v>
      </c>
      <c r="F297" s="18">
        <f>3000</f>
        <v>3000</v>
      </c>
      <c r="G297" s="18">
        <f>264.6</f>
        <v>264.60000000000002</v>
      </c>
      <c r="H297" s="18">
        <v>0</v>
      </c>
      <c r="I297" s="18">
        <v>0</v>
      </c>
      <c r="J297" s="18">
        <f>26985</f>
        <v>26985</v>
      </c>
      <c r="K297" s="18">
        <v>560.14</v>
      </c>
      <c r="L297" s="13">
        <f>SUM(F297:K297)</f>
        <v>30809.739999999998</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f>8767</f>
        <v>8767</v>
      </c>
      <c r="G301" s="18">
        <f>670.68</f>
        <v>670.68</v>
      </c>
      <c r="H301" s="18">
        <v>0</v>
      </c>
      <c r="I301" s="18">
        <v>0</v>
      </c>
      <c r="J301" s="18">
        <v>0</v>
      </c>
      <c r="K301" s="18">
        <v>174.76</v>
      </c>
      <c r="L301" s="13">
        <f t="shared" ref="L301:L307" si="14">SUM(F301:K301)</f>
        <v>9612.44</v>
      </c>
      <c r="M301" s="8"/>
      <c r="N301" s="165"/>
    </row>
    <row r="302" spans="1:14" s="3" customFormat="1" ht="12.2" customHeight="1" x14ac:dyDescent="0.15">
      <c r="A302" s="1" t="s">
        <v>443</v>
      </c>
      <c r="B302" s="2" t="s">
        <v>358</v>
      </c>
      <c r="C302" s="2" t="s">
        <v>295</v>
      </c>
      <c r="D302" s="2" t="s">
        <v>431</v>
      </c>
      <c r="E302" s="6">
        <v>2200</v>
      </c>
      <c r="F302" s="18">
        <f>7316.67</f>
        <v>7316.67</v>
      </c>
      <c r="G302" s="18">
        <f>1947.13</f>
        <v>1947.13</v>
      </c>
      <c r="H302" s="18">
        <f>9598.46+20800+14185.67</f>
        <v>44584.13</v>
      </c>
      <c r="I302" s="18">
        <f>1999.98</f>
        <v>1999.98</v>
      </c>
      <c r="J302" s="18">
        <v>0</v>
      </c>
      <c r="K302" s="18">
        <v>1034.1500000000001</v>
      </c>
      <c r="L302" s="13">
        <f t="shared" si="14"/>
        <v>56882.06</v>
      </c>
      <c r="M302" s="8"/>
      <c r="N302" s="1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24017</v>
      </c>
      <c r="G310" s="39">
        <f t="shared" si="15"/>
        <v>4296.07</v>
      </c>
      <c r="H310" s="39">
        <f t="shared" si="15"/>
        <v>44584.13</v>
      </c>
      <c r="I310" s="39">
        <f t="shared" si="15"/>
        <v>1999.98</v>
      </c>
      <c r="J310" s="39">
        <f t="shared" si="15"/>
        <v>26985</v>
      </c>
      <c r="K310" s="39">
        <f t="shared" si="15"/>
        <v>1886.58</v>
      </c>
      <c r="L310" s="38">
        <f t="shared" si="15"/>
        <v>103768.76</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4933.34</v>
      </c>
      <c r="G315" s="18">
        <f>377.34+1036.34</f>
        <v>1413.6799999999998</v>
      </c>
      <c r="H315" s="18">
        <v>0</v>
      </c>
      <c r="I315" s="18">
        <v>0</v>
      </c>
      <c r="J315" s="18">
        <v>0</v>
      </c>
      <c r="K315" s="18">
        <v>96.29</v>
      </c>
      <c r="L315" s="13">
        <f>SUM(F315:K315)</f>
        <v>6443.31</v>
      </c>
      <c r="M315" s="8"/>
      <c r="N315" s="165"/>
    </row>
    <row r="316" spans="1:14" s="3" customFormat="1" ht="12.2" customHeight="1" x14ac:dyDescent="0.15">
      <c r="A316" s="1" t="s">
        <v>439</v>
      </c>
      <c r="B316" s="2" t="s">
        <v>359</v>
      </c>
      <c r="C316" s="2" t="s">
        <v>291</v>
      </c>
      <c r="D316" s="2" t="s">
        <v>431</v>
      </c>
      <c r="E316" s="6">
        <v>1200</v>
      </c>
      <c r="F316" s="18">
        <f>49000</f>
        <v>49000</v>
      </c>
      <c r="G316" s="18">
        <f>3748.5+10299.8</f>
        <v>14048.3</v>
      </c>
      <c r="H316" s="18">
        <v>0</v>
      </c>
      <c r="I316" s="18">
        <f>2000</f>
        <v>2000</v>
      </c>
      <c r="J316" s="18">
        <f>27932.29+24886.71+26985</f>
        <v>79804</v>
      </c>
      <c r="K316" s="18">
        <v>2197.4899999999998</v>
      </c>
      <c r="L316" s="13">
        <f>SUM(F316:K316)</f>
        <v>147049.78999999998</v>
      </c>
      <c r="M316" s="8"/>
      <c r="N316" s="1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f>6400</f>
        <v>6400</v>
      </c>
      <c r="G320" s="18">
        <f>489.6+1345.28</f>
        <v>1834.88</v>
      </c>
      <c r="H320" s="18">
        <v>0</v>
      </c>
      <c r="I320" s="18">
        <v>0</v>
      </c>
      <c r="J320" s="18">
        <v>0</v>
      </c>
      <c r="K320" s="18">
        <v>124.93</v>
      </c>
      <c r="L320" s="13">
        <f t="shared" ref="L320:L326" si="16">SUM(F320:K320)</f>
        <v>8359.8100000000013</v>
      </c>
      <c r="M320" s="8"/>
      <c r="N320" s="165"/>
    </row>
    <row r="321" spans="1:14" s="3" customFormat="1" ht="12.2" customHeight="1" x14ac:dyDescent="0.15">
      <c r="A321" s="1" t="s">
        <v>443</v>
      </c>
      <c r="B321" s="2" t="s">
        <v>359</v>
      </c>
      <c r="C321" s="2" t="s">
        <v>295</v>
      </c>
      <c r="D321" s="2" t="s">
        <v>431</v>
      </c>
      <c r="E321" s="6">
        <v>2200</v>
      </c>
      <c r="F321" s="18">
        <f>7316.66</f>
        <v>7316.66</v>
      </c>
      <c r="G321" s="18">
        <f>1947.12</f>
        <v>1947.12</v>
      </c>
      <c r="H321" s="18">
        <f>9598.46+14185.67</f>
        <v>23784.129999999997</v>
      </c>
      <c r="I321" s="18">
        <f>1999.98</f>
        <v>1999.98</v>
      </c>
      <c r="J321" s="18">
        <v>0</v>
      </c>
      <c r="K321" s="18">
        <v>531.69000000000005</v>
      </c>
      <c r="L321" s="13">
        <f t="shared" si="16"/>
        <v>35579.58</v>
      </c>
      <c r="M321" s="8"/>
      <c r="N321" s="1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0</v>
      </c>
      <c r="I325" s="18">
        <v>0</v>
      </c>
      <c r="J325" s="18">
        <f>10061.9</f>
        <v>10061.9</v>
      </c>
      <c r="K325" s="18">
        <f>152.67-0.01</f>
        <v>152.66</v>
      </c>
      <c r="L325" s="13">
        <f t="shared" si="16"/>
        <v>10214.56</v>
      </c>
      <c r="M325" s="8"/>
      <c r="N325" s="1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67650</v>
      </c>
      <c r="G329" s="39">
        <f t="shared" si="17"/>
        <v>19243.98</v>
      </c>
      <c r="H329" s="39">
        <f t="shared" si="17"/>
        <v>23784.129999999997</v>
      </c>
      <c r="I329" s="39">
        <f t="shared" si="17"/>
        <v>3999.98</v>
      </c>
      <c r="J329" s="39">
        <f t="shared" si="17"/>
        <v>89865.9</v>
      </c>
      <c r="K329" s="39">
        <f t="shared" si="17"/>
        <v>3103.0599999999995</v>
      </c>
      <c r="L329" s="38">
        <f t="shared" si="17"/>
        <v>207647.05</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5"/>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293660.36</v>
      </c>
      <c r="G339" s="38">
        <f t="shared" si="20"/>
        <v>43399.990000000005</v>
      </c>
      <c r="H339" s="38">
        <f t="shared" si="20"/>
        <v>136531.20000000001</v>
      </c>
      <c r="I339" s="38">
        <f t="shared" si="20"/>
        <v>52646.110000000008</v>
      </c>
      <c r="J339" s="38">
        <f t="shared" si="20"/>
        <v>143835.9</v>
      </c>
      <c r="K339" s="38">
        <f t="shared" si="20"/>
        <v>10251.34</v>
      </c>
      <c r="L339" s="38">
        <f t="shared" si="20"/>
        <v>680324.89999999991</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293660.36</v>
      </c>
      <c r="G353" s="38">
        <f>G339</f>
        <v>43399.990000000005</v>
      </c>
      <c r="H353" s="38">
        <f>H339</f>
        <v>136531.20000000001</v>
      </c>
      <c r="I353" s="38">
        <f>I339</f>
        <v>52646.110000000008</v>
      </c>
      <c r="J353" s="38">
        <f>J339</f>
        <v>143835.9</v>
      </c>
      <c r="K353" s="38">
        <f>K339+K352</f>
        <v>10251.34</v>
      </c>
      <c r="L353" s="38">
        <f>L339+L352</f>
        <v>680324.89999999991</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63869.73</v>
      </c>
      <c r="G359" s="18">
        <v>34167.410000000003</v>
      </c>
      <c r="H359" s="18">
        <v>23380.81</v>
      </c>
      <c r="I359" s="18">
        <v>108081.23</v>
      </c>
      <c r="J359" s="18">
        <v>26742.77</v>
      </c>
      <c r="K359" s="18">
        <v>0</v>
      </c>
      <c r="L359" s="13">
        <f>SUM(F359:K359)</f>
        <v>256241.94999999998</v>
      </c>
      <c r="M359" s="8"/>
      <c r="N359" s="165"/>
    </row>
    <row r="360" spans="1:22" s="3" customFormat="1" ht="12.2" customHeight="1" x14ac:dyDescent="0.15">
      <c r="A360" s="1" t="s">
        <v>542</v>
      </c>
      <c r="B360" s="2" t="s">
        <v>366</v>
      </c>
      <c r="C360" s="6">
        <v>2</v>
      </c>
      <c r="D360" s="2" t="s">
        <v>431</v>
      </c>
      <c r="E360" s="6"/>
      <c r="F360" s="18">
        <v>82386.42</v>
      </c>
      <c r="G360" s="18">
        <v>44073.01</v>
      </c>
      <c r="H360" s="18">
        <v>30159.23</v>
      </c>
      <c r="I360" s="18">
        <v>139415.44</v>
      </c>
      <c r="J360" s="18">
        <v>34495.86</v>
      </c>
      <c r="K360" s="18">
        <v>0</v>
      </c>
      <c r="L360" s="13">
        <f>SUM(F360:K360)</f>
        <v>330529.95999999996</v>
      </c>
      <c r="M360" s="8"/>
      <c r="N360" s="165"/>
    </row>
    <row r="361" spans="1:22" s="3" customFormat="1" ht="12.2" customHeight="1" x14ac:dyDescent="0.15">
      <c r="A361" s="3" t="s">
        <v>543</v>
      </c>
      <c r="B361" s="2" t="s">
        <v>366</v>
      </c>
      <c r="C361" s="6">
        <v>3</v>
      </c>
      <c r="D361" s="2" t="s">
        <v>431</v>
      </c>
      <c r="E361" s="6"/>
      <c r="F361" s="18">
        <v>91074.86</v>
      </c>
      <c r="G361" s="18">
        <f>48720.93-0.02</f>
        <v>48720.91</v>
      </c>
      <c r="H361" s="18">
        <v>33339.81</v>
      </c>
      <c r="I361" s="18">
        <v>154118.13</v>
      </c>
      <c r="J361" s="18">
        <v>38133.78</v>
      </c>
      <c r="K361" s="18">
        <v>0</v>
      </c>
      <c r="L361" s="13">
        <f>SUM(F361:K361)</f>
        <v>365387.49</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237331.01</v>
      </c>
      <c r="G363" s="38">
        <f t="shared" si="22"/>
        <v>126961.33000000002</v>
      </c>
      <c r="H363" s="38">
        <f t="shared" si="22"/>
        <v>86879.85</v>
      </c>
      <c r="I363" s="38">
        <f t="shared" si="22"/>
        <v>401614.8</v>
      </c>
      <c r="J363" s="38">
        <f t="shared" si="22"/>
        <v>99372.41</v>
      </c>
      <c r="K363" s="38">
        <f t="shared" si="22"/>
        <v>0</v>
      </c>
      <c r="L363" s="38">
        <f t="shared" si="22"/>
        <v>952159.39999999991</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I359-F369</f>
        <v>99428.81</v>
      </c>
      <c r="G368" s="18">
        <f>I360-G369</f>
        <v>128254.57</v>
      </c>
      <c r="H368" s="18">
        <f>I361-H369</f>
        <v>141780.23000000001</v>
      </c>
      <c r="I368" s="13">
        <f>SUM(F368:H368)</f>
        <v>369463.61</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8652.42</v>
      </c>
      <c r="G369" s="53">
        <v>11160.87</v>
      </c>
      <c r="H369" s="53">
        <v>12337.9</v>
      </c>
      <c r="I369" s="13">
        <f>SUM(F369:H369)</f>
        <v>32151.190000000002</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108081.23</v>
      </c>
      <c r="G370" s="38">
        <f>SUM(G368:G369)</f>
        <v>139415.44</v>
      </c>
      <c r="H370" s="38">
        <f>SUM(H368:H369)</f>
        <v>154118.13</v>
      </c>
      <c r="I370" s="38">
        <f>SUM(I368:I369)</f>
        <v>401614.8</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v>0</v>
      </c>
      <c r="G388" s="18">
        <v>0</v>
      </c>
      <c r="H388" s="18">
        <v>0</v>
      </c>
      <c r="I388" s="18">
        <v>0</v>
      </c>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v>0</v>
      </c>
      <c r="G389" s="18">
        <v>0</v>
      </c>
      <c r="H389" s="18">
        <v>0</v>
      </c>
      <c r="I389" s="18">
        <v>0</v>
      </c>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v>0</v>
      </c>
      <c r="G390" s="18">
        <f>K267</f>
        <v>622965</v>
      </c>
      <c r="H390" s="18">
        <v>-106828.1</v>
      </c>
      <c r="I390" s="18">
        <v>0</v>
      </c>
      <c r="J390" s="23" t="s">
        <v>288</v>
      </c>
      <c r="K390" s="23" t="s">
        <v>288</v>
      </c>
      <c r="L390" s="13">
        <f t="shared" si="25"/>
        <v>516136.9</v>
      </c>
      <c r="M390" s="8"/>
      <c r="N390" s="165"/>
    </row>
    <row r="391" spans="1:14" s="3" customFormat="1" ht="12.2" customHeight="1" x14ac:dyDescent="0.15">
      <c r="A391" s="62" t="s">
        <v>553</v>
      </c>
      <c r="B391" s="2" t="s">
        <v>381</v>
      </c>
      <c r="C391" s="6">
        <v>4</v>
      </c>
      <c r="D391" s="2" t="s">
        <v>432</v>
      </c>
      <c r="E391" s="6"/>
      <c r="F391" s="18">
        <v>0</v>
      </c>
      <c r="G391" s="18">
        <v>0</v>
      </c>
      <c r="H391" s="18">
        <v>0</v>
      </c>
      <c r="I391" s="18">
        <v>0</v>
      </c>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v>0</v>
      </c>
      <c r="G392" s="18">
        <v>0</v>
      </c>
      <c r="H392" s="18">
        <v>0</v>
      </c>
      <c r="I392" s="18">
        <v>0</v>
      </c>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v>0</v>
      </c>
      <c r="G393" s="18">
        <v>0</v>
      </c>
      <c r="H393" s="18">
        <v>0</v>
      </c>
      <c r="I393" s="18">
        <v>0</v>
      </c>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622965</v>
      </c>
      <c r="H394" s="97">
        <f>SUM(H388:H393)</f>
        <v>-106828.1</v>
      </c>
      <c r="I394" s="54">
        <f>SUM(I388:I393)</f>
        <v>0</v>
      </c>
      <c r="J394" s="42" t="s">
        <v>288</v>
      </c>
      <c r="K394" s="42" t="s">
        <v>288</v>
      </c>
      <c r="L394" s="38">
        <f>SUM(L388:L393)</f>
        <v>516136.9</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v>0</v>
      </c>
      <c r="G396" s="18">
        <v>0</v>
      </c>
      <c r="H396" s="18">
        <v>0</v>
      </c>
      <c r="I396" s="18">
        <v>0</v>
      </c>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v>0</v>
      </c>
      <c r="G397" s="18">
        <v>0</v>
      </c>
      <c r="H397" s="18">
        <v>0</v>
      </c>
      <c r="I397" s="18">
        <v>0</v>
      </c>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v>0</v>
      </c>
      <c r="G398" s="18">
        <v>0</v>
      </c>
      <c r="H398" s="18">
        <v>0</v>
      </c>
      <c r="I398" s="18">
        <v>0</v>
      </c>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v>0</v>
      </c>
      <c r="G399" s="18">
        <v>0</v>
      </c>
      <c r="H399" s="18">
        <v>0</v>
      </c>
      <c r="I399" s="18">
        <v>0</v>
      </c>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v>0</v>
      </c>
      <c r="G400" s="18">
        <v>0</v>
      </c>
      <c r="H400" s="18">
        <v>0</v>
      </c>
      <c r="I400" s="18">
        <v>0</v>
      </c>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v>0</v>
      </c>
      <c r="G401" s="18">
        <v>0</v>
      </c>
      <c r="H401" s="18">
        <v>0</v>
      </c>
      <c r="I401" s="18">
        <v>0</v>
      </c>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v>0</v>
      </c>
      <c r="G404" s="18">
        <v>0</v>
      </c>
      <c r="H404" s="18">
        <v>0</v>
      </c>
      <c r="I404" s="18">
        <v>0</v>
      </c>
      <c r="J404" s="23" t="s">
        <v>288</v>
      </c>
      <c r="K404" s="23" t="s">
        <v>288</v>
      </c>
      <c r="L404" s="13">
        <f>SUM(F404:K404)</f>
        <v>0</v>
      </c>
      <c r="M404" s="8"/>
      <c r="N404" s="165"/>
    </row>
    <row r="405" spans="1:21" s="3" customFormat="1" ht="12.2" customHeight="1" x14ac:dyDescent="0.15">
      <c r="A405" s="82"/>
      <c r="B405" s="2" t="s">
        <v>381</v>
      </c>
      <c r="C405" s="6">
        <v>16</v>
      </c>
      <c r="D405" s="2" t="s">
        <v>432</v>
      </c>
      <c r="E405" s="6"/>
      <c r="F405" s="18">
        <v>0</v>
      </c>
      <c r="G405" s="18">
        <v>0</v>
      </c>
      <c r="H405" s="18">
        <v>0</v>
      </c>
      <c r="I405" s="18">
        <v>0</v>
      </c>
      <c r="J405" s="23" t="s">
        <v>288</v>
      </c>
      <c r="K405" s="23" t="s">
        <v>288</v>
      </c>
      <c r="L405" s="13">
        <f>SUM(F405:K405)</f>
        <v>0</v>
      </c>
      <c r="M405" s="8"/>
      <c r="N405" s="165"/>
    </row>
    <row r="406" spans="1:21" s="3" customFormat="1" ht="12.2" customHeight="1" x14ac:dyDescent="0.15">
      <c r="A406" s="82"/>
      <c r="B406" s="2" t="s">
        <v>381</v>
      </c>
      <c r="C406" s="6">
        <v>17</v>
      </c>
      <c r="D406" s="2" t="s">
        <v>432</v>
      </c>
      <c r="E406" s="6"/>
      <c r="F406" s="18">
        <v>0</v>
      </c>
      <c r="G406" s="18">
        <v>0</v>
      </c>
      <c r="H406" s="18">
        <v>0</v>
      </c>
      <c r="I406" s="18">
        <v>0</v>
      </c>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v>0</v>
      </c>
      <c r="G407" s="18">
        <v>0</v>
      </c>
      <c r="H407" s="18">
        <v>0</v>
      </c>
      <c r="I407" s="18">
        <v>0</v>
      </c>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622965</v>
      </c>
      <c r="H409" s="38">
        <f>H394+H402+H408</f>
        <v>-106828.1</v>
      </c>
      <c r="I409" s="38">
        <f>I394+I402+I408</f>
        <v>0</v>
      </c>
      <c r="J409" s="23" t="s">
        <v>288</v>
      </c>
      <c r="K409" s="23" t="s">
        <v>288</v>
      </c>
      <c r="L409" s="38">
        <f>L394+L402+L408</f>
        <v>516136.9</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v>0</v>
      </c>
      <c r="G414" s="18">
        <v>0</v>
      </c>
      <c r="H414" s="18">
        <v>0</v>
      </c>
      <c r="I414" s="18">
        <v>0</v>
      </c>
      <c r="J414" s="18">
        <v>0</v>
      </c>
      <c r="K414" s="18">
        <v>0</v>
      </c>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v>0</v>
      </c>
      <c r="G415" s="18">
        <v>0</v>
      </c>
      <c r="H415" s="18">
        <v>0</v>
      </c>
      <c r="I415" s="18">
        <v>0</v>
      </c>
      <c r="J415" s="18">
        <v>0</v>
      </c>
      <c r="K415" s="18">
        <v>0</v>
      </c>
      <c r="L415" s="13">
        <f t="shared" si="27"/>
        <v>0</v>
      </c>
      <c r="N415" s="165"/>
    </row>
    <row r="416" spans="1:21" s="3" customFormat="1" ht="12.2" customHeight="1" x14ac:dyDescent="0.15">
      <c r="A416" s="62" t="s">
        <v>552</v>
      </c>
      <c r="B416" s="6">
        <v>17</v>
      </c>
      <c r="C416" s="6">
        <v>3</v>
      </c>
      <c r="D416" s="2" t="s">
        <v>432</v>
      </c>
      <c r="E416" s="6"/>
      <c r="F416" s="18">
        <v>0</v>
      </c>
      <c r="G416" s="18">
        <v>0</v>
      </c>
      <c r="H416" s="18">
        <v>0</v>
      </c>
      <c r="I416" s="18">
        <v>0</v>
      </c>
      <c r="J416" s="18">
        <v>0</v>
      </c>
      <c r="K416" s="18">
        <v>0</v>
      </c>
      <c r="L416" s="13">
        <f t="shared" si="27"/>
        <v>0</v>
      </c>
      <c r="M416" s="8"/>
      <c r="N416" s="165"/>
    </row>
    <row r="417" spans="1:21" s="3" customFormat="1" ht="12.2" customHeight="1" x14ac:dyDescent="0.15">
      <c r="A417" s="62" t="s">
        <v>553</v>
      </c>
      <c r="B417" s="6">
        <v>17</v>
      </c>
      <c r="C417" s="6">
        <v>4</v>
      </c>
      <c r="D417" s="2" t="s">
        <v>432</v>
      </c>
      <c r="E417" s="6"/>
      <c r="F417" s="18">
        <v>0</v>
      </c>
      <c r="G417" s="18">
        <v>0</v>
      </c>
      <c r="H417" s="18">
        <v>0</v>
      </c>
      <c r="I417" s="18">
        <v>0</v>
      </c>
      <c r="J417" s="18">
        <v>0</v>
      </c>
      <c r="K417" s="18">
        <v>0</v>
      </c>
      <c r="L417" s="13">
        <f t="shared" si="27"/>
        <v>0</v>
      </c>
      <c r="M417" s="8"/>
      <c r="N417" s="165"/>
    </row>
    <row r="418" spans="1:21" s="3" customFormat="1" ht="12.2" customHeight="1" x14ac:dyDescent="0.15">
      <c r="A418" s="62" t="s">
        <v>554</v>
      </c>
      <c r="B418" s="6">
        <v>17</v>
      </c>
      <c r="C418" s="6">
        <v>5</v>
      </c>
      <c r="D418" s="2" t="s">
        <v>432</v>
      </c>
      <c r="E418" s="6"/>
      <c r="F418" s="18">
        <v>0</v>
      </c>
      <c r="G418" s="18">
        <v>0</v>
      </c>
      <c r="H418" s="18">
        <v>0</v>
      </c>
      <c r="I418" s="18">
        <v>0</v>
      </c>
      <c r="J418" s="18">
        <v>0</v>
      </c>
      <c r="K418" s="18">
        <v>0</v>
      </c>
      <c r="L418" s="13">
        <f t="shared" si="27"/>
        <v>0</v>
      </c>
      <c r="M418" s="8"/>
      <c r="N418" s="165"/>
    </row>
    <row r="419" spans="1:21" s="3" customFormat="1" ht="12.2" customHeight="1" thickBot="1" x14ac:dyDescent="0.2">
      <c r="A419" s="62" t="s">
        <v>555</v>
      </c>
      <c r="B419" s="6">
        <v>17</v>
      </c>
      <c r="C419" s="6">
        <v>6</v>
      </c>
      <c r="D419" s="2" t="s">
        <v>432</v>
      </c>
      <c r="E419" s="6"/>
      <c r="F419" s="18">
        <v>0</v>
      </c>
      <c r="G419" s="18">
        <v>0</v>
      </c>
      <c r="H419" s="18">
        <v>0</v>
      </c>
      <c r="I419" s="18">
        <v>0</v>
      </c>
      <c r="J419" s="18">
        <v>0</v>
      </c>
      <c r="K419" s="18">
        <v>0</v>
      </c>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v>0</v>
      </c>
      <c r="G422" s="18">
        <v>0</v>
      </c>
      <c r="H422" s="18">
        <v>0</v>
      </c>
      <c r="I422" s="18">
        <v>0</v>
      </c>
      <c r="J422" s="18">
        <v>0</v>
      </c>
      <c r="K422" s="18">
        <v>0</v>
      </c>
      <c r="L422" s="13">
        <f t="shared" ref="L422:L427" si="29">SUM(F422:K422)</f>
        <v>0</v>
      </c>
      <c r="M422" s="8"/>
      <c r="N422" s="165"/>
    </row>
    <row r="423" spans="1:21" s="3" customFormat="1" ht="12.2" customHeight="1" x14ac:dyDescent="0.15">
      <c r="A423" s="62" t="s">
        <v>557</v>
      </c>
      <c r="B423" s="6">
        <v>17</v>
      </c>
      <c r="C423" s="6">
        <v>9</v>
      </c>
      <c r="D423" s="2" t="s">
        <v>432</v>
      </c>
      <c r="E423" s="6"/>
      <c r="F423" s="18">
        <v>0</v>
      </c>
      <c r="G423" s="18">
        <v>0</v>
      </c>
      <c r="H423" s="18">
        <v>0</v>
      </c>
      <c r="I423" s="18">
        <v>0</v>
      </c>
      <c r="J423" s="18">
        <v>0</v>
      </c>
      <c r="K423" s="18">
        <v>0</v>
      </c>
      <c r="L423" s="13">
        <f t="shared" si="29"/>
        <v>0</v>
      </c>
      <c r="M423" s="8"/>
      <c r="N423" s="165"/>
    </row>
    <row r="424" spans="1:21" s="3" customFormat="1" ht="12.2" customHeight="1" x14ac:dyDescent="0.15">
      <c r="A424" s="62" t="s">
        <v>515</v>
      </c>
      <c r="B424" s="6">
        <v>17</v>
      </c>
      <c r="C424" s="6">
        <v>10</v>
      </c>
      <c r="D424" s="2" t="s">
        <v>432</v>
      </c>
      <c r="E424" s="6"/>
      <c r="F424" s="18">
        <v>0</v>
      </c>
      <c r="G424" s="18">
        <v>0</v>
      </c>
      <c r="H424" s="18">
        <v>0</v>
      </c>
      <c r="I424" s="18">
        <v>0</v>
      </c>
      <c r="J424" s="18">
        <v>0</v>
      </c>
      <c r="K424" s="18">
        <v>0</v>
      </c>
      <c r="L424" s="13">
        <f t="shared" si="29"/>
        <v>0</v>
      </c>
      <c r="M424" s="8"/>
      <c r="N424" s="165"/>
    </row>
    <row r="425" spans="1:21" s="3" customFormat="1" ht="12.2" customHeight="1" x14ac:dyDescent="0.15">
      <c r="A425" s="62" t="s">
        <v>558</v>
      </c>
      <c r="B425" s="6">
        <v>17</v>
      </c>
      <c r="C425" s="6">
        <v>11</v>
      </c>
      <c r="D425" s="2" t="s">
        <v>432</v>
      </c>
      <c r="E425" s="6"/>
      <c r="F425" s="18">
        <v>0</v>
      </c>
      <c r="G425" s="18">
        <v>0</v>
      </c>
      <c r="H425" s="18">
        <v>0</v>
      </c>
      <c r="I425" s="18">
        <v>0</v>
      </c>
      <c r="J425" s="18">
        <v>0</v>
      </c>
      <c r="K425" s="18">
        <v>0</v>
      </c>
      <c r="L425" s="13">
        <f t="shared" si="29"/>
        <v>0</v>
      </c>
      <c r="M425" s="8"/>
      <c r="N425" s="165"/>
    </row>
    <row r="426" spans="1:21" s="3" customFormat="1" ht="12.2" customHeight="1" x14ac:dyDescent="0.15">
      <c r="A426" s="62" t="s">
        <v>559</v>
      </c>
      <c r="B426" s="6">
        <v>17</v>
      </c>
      <c r="C426" s="6">
        <v>12</v>
      </c>
      <c r="D426" s="2" t="s">
        <v>432</v>
      </c>
      <c r="E426" s="6"/>
      <c r="F426" s="18">
        <v>0</v>
      </c>
      <c r="G426" s="18">
        <v>0</v>
      </c>
      <c r="H426" s="18">
        <v>0</v>
      </c>
      <c r="I426" s="18">
        <v>0</v>
      </c>
      <c r="J426" s="18">
        <v>0</v>
      </c>
      <c r="K426" s="18">
        <v>0</v>
      </c>
      <c r="L426" s="13">
        <f t="shared" si="29"/>
        <v>0</v>
      </c>
      <c r="M426" s="8"/>
      <c r="N426" s="165"/>
    </row>
    <row r="427" spans="1:21" s="3" customFormat="1" ht="12.2" customHeight="1" thickBot="1" x14ac:dyDescent="0.2">
      <c r="A427" s="62" t="s">
        <v>510</v>
      </c>
      <c r="B427" s="6">
        <v>17</v>
      </c>
      <c r="C427" s="6">
        <v>13</v>
      </c>
      <c r="D427" s="2" t="s">
        <v>432</v>
      </c>
      <c r="E427" s="6"/>
      <c r="F427" s="18">
        <v>0</v>
      </c>
      <c r="G427" s="18">
        <v>0</v>
      </c>
      <c r="H427" s="18">
        <v>0</v>
      </c>
      <c r="I427" s="18">
        <v>0</v>
      </c>
      <c r="J427" s="18">
        <v>0</v>
      </c>
      <c r="K427" s="18">
        <v>0</v>
      </c>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v>0</v>
      </c>
      <c r="G430" s="18">
        <v>0</v>
      </c>
      <c r="H430" s="18">
        <v>0</v>
      </c>
      <c r="I430" s="18">
        <v>0</v>
      </c>
      <c r="J430" s="18">
        <v>0</v>
      </c>
      <c r="K430" s="18">
        <v>0</v>
      </c>
      <c r="L430" s="13">
        <f>SUM(F430:K430)</f>
        <v>0</v>
      </c>
      <c r="M430" s="8"/>
      <c r="N430" s="165"/>
    </row>
    <row r="431" spans="1:21" ht="12.2" customHeight="1" x14ac:dyDescent="0.2">
      <c r="A431" s="82"/>
      <c r="B431" s="6">
        <v>17</v>
      </c>
      <c r="C431" s="6">
        <v>16</v>
      </c>
      <c r="D431" s="2" t="s">
        <v>432</v>
      </c>
      <c r="E431" s="6"/>
      <c r="F431" s="18">
        <v>0</v>
      </c>
      <c r="G431" s="18">
        <v>0</v>
      </c>
      <c r="H431" s="18">
        <v>0</v>
      </c>
      <c r="I431" s="18">
        <v>0</v>
      </c>
      <c r="J431" s="18">
        <v>0</v>
      </c>
      <c r="K431" s="18">
        <v>0</v>
      </c>
      <c r="L431" s="13">
        <f>SUM(F431:K431)</f>
        <v>0</v>
      </c>
      <c r="N431" s="131"/>
    </row>
    <row r="432" spans="1:21" s="3" customFormat="1" ht="12.2" customHeight="1" x14ac:dyDescent="0.15">
      <c r="A432" s="82"/>
      <c r="B432" s="6">
        <v>17</v>
      </c>
      <c r="C432" s="6">
        <v>17</v>
      </c>
      <c r="D432" s="2" t="s">
        <v>432</v>
      </c>
      <c r="E432" s="6"/>
      <c r="F432" s="18">
        <v>0</v>
      </c>
      <c r="G432" s="18">
        <v>0</v>
      </c>
      <c r="H432" s="18">
        <v>0</v>
      </c>
      <c r="I432" s="18">
        <v>0</v>
      </c>
      <c r="J432" s="18">
        <v>0</v>
      </c>
      <c r="K432" s="18">
        <v>0</v>
      </c>
      <c r="L432" s="13">
        <f>SUM(F432:K432)</f>
        <v>0</v>
      </c>
      <c r="M432" s="8"/>
      <c r="N432" s="165"/>
    </row>
    <row r="433" spans="1:14" s="3" customFormat="1" ht="12.2" customHeight="1" thickBot="1" x14ac:dyDescent="0.2">
      <c r="A433" s="82"/>
      <c r="B433" s="6">
        <v>17</v>
      </c>
      <c r="C433" s="6">
        <v>18</v>
      </c>
      <c r="D433" s="2" t="s">
        <v>432</v>
      </c>
      <c r="E433" s="6"/>
      <c r="F433" s="18">
        <v>0</v>
      </c>
      <c r="G433" s="18">
        <v>0</v>
      </c>
      <c r="H433" s="18">
        <v>0</v>
      </c>
      <c r="I433" s="18">
        <v>0</v>
      </c>
      <c r="J433" s="18">
        <v>0</v>
      </c>
      <c r="K433" s="18">
        <v>0</v>
      </c>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0</v>
      </c>
      <c r="G440" s="18">
        <v>0</v>
      </c>
      <c r="H440" s="18">
        <v>0</v>
      </c>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f>358431.78+24711.24+650655.9+9231.43+87701.56</f>
        <v>1130731.9100000001</v>
      </c>
      <c r="G441" s="18">
        <v>0</v>
      </c>
      <c r="H441" s="18">
        <v>0</v>
      </c>
      <c r="I441" s="13">
        <f t="shared" si="33"/>
        <v>1130731.9100000001</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v>0</v>
      </c>
      <c r="G442" s="18">
        <v>0</v>
      </c>
      <c r="H442" s="18">
        <v>0</v>
      </c>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0</v>
      </c>
      <c r="G443" s="18">
        <v>0</v>
      </c>
      <c r="H443" s="18">
        <v>0</v>
      </c>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v>0</v>
      </c>
      <c r="G444" s="18">
        <v>0</v>
      </c>
      <c r="H444" s="18">
        <v>0</v>
      </c>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v>0</v>
      </c>
      <c r="G445" s="18">
        <v>0</v>
      </c>
      <c r="H445" s="18">
        <v>0</v>
      </c>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v>0</v>
      </c>
      <c r="G446" s="18">
        <v>0</v>
      </c>
      <c r="H446" s="18">
        <v>0</v>
      </c>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1130731.9100000001</v>
      </c>
      <c r="G447" s="13">
        <f>SUM(G440:G446)</f>
        <v>0</v>
      </c>
      <c r="H447" s="13">
        <f>SUM(H440:H446)</f>
        <v>0</v>
      </c>
      <c r="I447" s="13">
        <f>SUM(I440:I446)</f>
        <v>1130731.9100000001</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v>0</v>
      </c>
      <c r="G449" s="18">
        <v>0</v>
      </c>
      <c r="H449" s="18">
        <v>0</v>
      </c>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v>0</v>
      </c>
      <c r="G450" s="18">
        <v>0</v>
      </c>
      <c r="H450" s="18">
        <v>0</v>
      </c>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v>0</v>
      </c>
      <c r="G451" s="18">
        <v>0</v>
      </c>
      <c r="H451" s="18">
        <v>0</v>
      </c>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v>0</v>
      </c>
      <c r="G452" s="18">
        <v>0</v>
      </c>
      <c r="H452" s="18">
        <v>0</v>
      </c>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v>0</v>
      </c>
      <c r="G455" s="18">
        <v>0</v>
      </c>
      <c r="H455" s="18">
        <v>0</v>
      </c>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v>0</v>
      </c>
      <c r="G456" s="18">
        <v>0</v>
      </c>
      <c r="H456" s="18">
        <v>0</v>
      </c>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v>0</v>
      </c>
      <c r="G457" s="18">
        <v>0</v>
      </c>
      <c r="H457" s="18">
        <v>0</v>
      </c>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v>0</v>
      </c>
      <c r="G458" s="18">
        <v>0</v>
      </c>
      <c r="H458" s="18">
        <v>0</v>
      </c>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v>0</v>
      </c>
      <c r="G459" s="18">
        <v>0</v>
      </c>
      <c r="H459" s="18">
        <v>0</v>
      </c>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f>F441</f>
        <v>1130731.9100000001</v>
      </c>
      <c r="G460" s="18">
        <v>0</v>
      </c>
      <c r="H460" s="18">
        <v>0</v>
      </c>
      <c r="I460" s="13">
        <f t="shared" si="34"/>
        <v>1130731.9100000001</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1130731.9100000001</v>
      </c>
      <c r="G461" s="65">
        <f>SUM(G455:G460)</f>
        <v>0</v>
      </c>
      <c r="H461" s="65">
        <f>SUM(H455:H460)</f>
        <v>0</v>
      </c>
      <c r="I461" s="65">
        <f>SUM(I455:I460)</f>
        <v>1130731.9100000001</v>
      </c>
      <c r="J461" s="23" t="s">
        <v>288</v>
      </c>
      <c r="K461" s="23" t="s">
        <v>288</v>
      </c>
      <c r="L461" s="23" t="s">
        <v>288</v>
      </c>
      <c r="N461" s="131"/>
    </row>
    <row r="462" spans="1:86" ht="12.2" customHeight="1" thickTop="1" x14ac:dyDescent="0.2">
      <c r="A462" s="40" t="s">
        <v>424</v>
      </c>
      <c r="B462" s="41">
        <v>18</v>
      </c>
      <c r="C462" s="64">
        <v>21</v>
      </c>
      <c r="D462" s="114" t="s">
        <v>432</v>
      </c>
      <c r="E462" s="64"/>
      <c r="F462" s="39">
        <f>F453+F461</f>
        <v>1130731.9100000001</v>
      </c>
      <c r="G462" s="39">
        <f>G453+G461</f>
        <v>0</v>
      </c>
      <c r="H462" s="39">
        <f>H453+H461</f>
        <v>0</v>
      </c>
      <c r="I462" s="39">
        <f>I453+I461</f>
        <v>1130731.9100000001</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1104501.57</v>
      </c>
      <c r="G466" s="18">
        <v>559171.64</v>
      </c>
      <c r="H466" s="18">
        <v>0</v>
      </c>
      <c r="I466" s="18">
        <v>0</v>
      </c>
      <c r="J466" s="18">
        <v>614595.01</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31657808.569999997</v>
      </c>
      <c r="G469" s="18">
        <f>G194</f>
        <v>874930.92999999993</v>
      </c>
      <c r="H469" s="18">
        <f>H194</f>
        <v>680324.9</v>
      </c>
      <c r="I469" s="18">
        <v>0</v>
      </c>
      <c r="J469" s="18">
        <f>L409</f>
        <v>516136.9</v>
      </c>
      <c r="K469" s="23" t="s">
        <v>288</v>
      </c>
      <c r="L469" s="23" t="s">
        <v>288</v>
      </c>
      <c r="N469" s="131"/>
    </row>
    <row r="470" spans="1:14" ht="12.2" customHeight="1" x14ac:dyDescent="0.2">
      <c r="A470" s="71" t="s">
        <v>611</v>
      </c>
      <c r="B470" s="22">
        <v>19</v>
      </c>
      <c r="C470" s="31">
        <v>3</v>
      </c>
      <c r="D470" s="2" t="s">
        <v>432</v>
      </c>
      <c r="E470" s="31"/>
      <c r="F470" s="18">
        <v>0</v>
      </c>
      <c r="G470" s="18">
        <v>0</v>
      </c>
      <c r="H470" s="18">
        <v>0</v>
      </c>
      <c r="I470" s="18">
        <v>0</v>
      </c>
      <c r="J470" s="18"/>
      <c r="K470" s="23" t="s">
        <v>288</v>
      </c>
      <c r="L470" s="23" t="s">
        <v>288</v>
      </c>
      <c r="N470" s="131"/>
    </row>
    <row r="471" spans="1:14" ht="12.2" customHeight="1" x14ac:dyDescent="0.2">
      <c r="A471" s="32" t="s">
        <v>425</v>
      </c>
      <c r="B471" s="22">
        <v>19</v>
      </c>
      <c r="C471" s="31">
        <v>4</v>
      </c>
      <c r="D471" s="2" t="s">
        <v>432</v>
      </c>
      <c r="E471" s="31"/>
      <c r="F471" s="19">
        <f>SUM(F469:F470)</f>
        <v>31657808.569999997</v>
      </c>
      <c r="G471" s="19">
        <f>SUM(G469:G470)</f>
        <v>874930.92999999993</v>
      </c>
      <c r="H471" s="19">
        <f>SUM(H469:H470)</f>
        <v>680324.9</v>
      </c>
      <c r="I471" s="19">
        <f>SUM(I469:I470)</f>
        <v>0</v>
      </c>
      <c r="J471" s="19">
        <f>SUM(J469:J470)</f>
        <v>516136.9</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31585490.200000003</v>
      </c>
      <c r="G473" s="18">
        <f>L363</f>
        <v>952159.39999999991</v>
      </c>
      <c r="H473" s="18">
        <f>L353</f>
        <v>680324.89999999991</v>
      </c>
      <c r="I473" s="18">
        <v>0</v>
      </c>
      <c r="J473" s="18">
        <f>L383</f>
        <v>0</v>
      </c>
      <c r="K473" s="23" t="s">
        <v>288</v>
      </c>
      <c r="L473" s="23" t="s">
        <v>288</v>
      </c>
      <c r="N473" s="131"/>
    </row>
    <row r="474" spans="1:14" ht="12.2" customHeight="1" x14ac:dyDescent="0.2">
      <c r="A474" s="71" t="s">
        <v>613</v>
      </c>
      <c r="B474" s="22">
        <v>19</v>
      </c>
      <c r="C474" s="31">
        <v>6</v>
      </c>
      <c r="D474" s="2" t="s">
        <v>432</v>
      </c>
      <c r="E474" s="31"/>
      <c r="F474" s="18">
        <v>0</v>
      </c>
      <c r="G474" s="18">
        <v>0</v>
      </c>
      <c r="H474" s="18">
        <v>0</v>
      </c>
      <c r="I474" s="18">
        <v>0</v>
      </c>
      <c r="J474" s="18"/>
      <c r="K474" s="23" t="s">
        <v>288</v>
      </c>
      <c r="L474" s="23" t="s">
        <v>288</v>
      </c>
      <c r="N474" s="131"/>
    </row>
    <row r="475" spans="1:14" ht="12.2" customHeight="1" x14ac:dyDescent="0.2">
      <c r="A475" s="32" t="s">
        <v>426</v>
      </c>
      <c r="B475" s="22">
        <v>19</v>
      </c>
      <c r="C475" s="31">
        <v>7</v>
      </c>
      <c r="D475" s="2" t="s">
        <v>432</v>
      </c>
      <c r="E475" s="31"/>
      <c r="F475" s="19">
        <f>SUM(F473:F474)</f>
        <v>31585490.200000003</v>
      </c>
      <c r="G475" s="19">
        <f>SUM(G473:G474)</f>
        <v>952159.39999999991</v>
      </c>
      <c r="H475" s="19">
        <f>SUM(H473:H474)</f>
        <v>680324.89999999991</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1176819.9399999939</v>
      </c>
      <c r="G477" s="19">
        <f>(G466+G471)- G475</f>
        <v>481943.16999999993</v>
      </c>
      <c r="H477" s="19">
        <f>(H466+H471)- H475</f>
        <v>0</v>
      </c>
      <c r="I477" s="19">
        <f>(I466+I471)- I475</f>
        <v>0</v>
      </c>
      <c r="J477" s="19">
        <f>(J466+J471)- J475</f>
        <v>1130731.9100000001</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4027000</v>
      </c>
      <c r="G494" s="18"/>
      <c r="H494" s="18"/>
      <c r="I494" s="18"/>
      <c r="J494" s="18"/>
      <c r="K494" s="23" t="s">
        <v>288</v>
      </c>
      <c r="L494" s="23" t="s">
        <v>288</v>
      </c>
      <c r="N494" s="131"/>
    </row>
    <row r="495" spans="1:14" ht="12.2" customHeight="1" x14ac:dyDescent="0.2">
      <c r="A495" s="21" t="s">
        <v>618</v>
      </c>
      <c r="B495" s="22">
        <v>20</v>
      </c>
      <c r="C495" s="22">
        <v>5</v>
      </c>
      <c r="D495" s="2" t="s">
        <v>432</v>
      </c>
      <c r="E495" s="22"/>
      <c r="F495" s="18">
        <v>4.4000000000000004</v>
      </c>
      <c r="G495" s="18"/>
      <c r="H495" s="18"/>
      <c r="I495" s="18"/>
      <c r="J495" s="18"/>
      <c r="K495" s="23" t="s">
        <v>288</v>
      </c>
      <c r="L495" s="23" t="s">
        <v>288</v>
      </c>
      <c r="N495" s="131"/>
    </row>
    <row r="496" spans="1:14" ht="12.2" customHeight="1" x14ac:dyDescent="0.2">
      <c r="A496" s="21" t="s">
        <v>619</v>
      </c>
      <c r="B496" s="22">
        <v>20</v>
      </c>
      <c r="C496" s="22">
        <v>6</v>
      </c>
      <c r="D496" s="2" t="s">
        <v>432</v>
      </c>
      <c r="E496" s="22"/>
      <c r="F496" s="18">
        <v>1000000</v>
      </c>
      <c r="G496" s="18"/>
      <c r="H496" s="18"/>
      <c r="I496" s="18"/>
      <c r="J496" s="18"/>
      <c r="K496" s="19">
        <f>SUM(F496:J496)</f>
        <v>1000000</v>
      </c>
      <c r="L496" s="23" t="s">
        <v>288</v>
      </c>
      <c r="N496" s="131"/>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200000</v>
      </c>
      <c r="G498" s="18"/>
      <c r="H498" s="18"/>
      <c r="I498" s="18"/>
      <c r="J498" s="18"/>
      <c r="K498" s="19">
        <f t="shared" si="35"/>
        <v>200000</v>
      </c>
      <c r="L498" s="23" t="s">
        <v>288</v>
      </c>
      <c r="N498" s="131"/>
    </row>
    <row r="499" spans="1:14" ht="12.2" customHeight="1" x14ac:dyDescent="0.2">
      <c r="A499" s="144" t="s">
        <v>622</v>
      </c>
      <c r="B499" s="145">
        <v>20</v>
      </c>
      <c r="C499" s="145">
        <v>9</v>
      </c>
      <c r="D499" s="146" t="s">
        <v>432</v>
      </c>
      <c r="E499" s="145"/>
      <c r="F499" s="147">
        <v>800000</v>
      </c>
      <c r="G499" s="147"/>
      <c r="H499" s="147"/>
      <c r="I499" s="147"/>
      <c r="J499" s="147"/>
      <c r="K499" s="148">
        <f t="shared" si="35"/>
        <v>800000</v>
      </c>
      <c r="L499" s="149" t="s">
        <v>288</v>
      </c>
      <c r="N499" s="131"/>
    </row>
    <row r="500" spans="1:14" ht="12.2" customHeight="1" thickBot="1" x14ac:dyDescent="0.25">
      <c r="A500" s="21" t="s">
        <v>623</v>
      </c>
      <c r="B500" s="22">
        <v>20</v>
      </c>
      <c r="C500" s="22">
        <v>10</v>
      </c>
      <c r="D500" s="2" t="s">
        <v>432</v>
      </c>
      <c r="E500" s="22"/>
      <c r="F500" s="18">
        <f>424161-40500</f>
        <v>383661</v>
      </c>
      <c r="G500" s="18"/>
      <c r="H500" s="18"/>
      <c r="I500" s="18"/>
      <c r="J500" s="18"/>
      <c r="K500" s="19">
        <f t="shared" si="35"/>
        <v>383661</v>
      </c>
      <c r="L500" s="23" t="s">
        <v>288</v>
      </c>
      <c r="N500" s="131"/>
    </row>
    <row r="501" spans="1:14" ht="12.2" customHeight="1" thickTop="1" x14ac:dyDescent="0.2">
      <c r="A501" s="97" t="s">
        <v>624</v>
      </c>
      <c r="B501" s="41">
        <v>20</v>
      </c>
      <c r="C501" s="41">
        <v>11</v>
      </c>
      <c r="D501" s="36" t="s">
        <v>432</v>
      </c>
      <c r="E501" s="41"/>
      <c r="F501" s="39">
        <f>SUM(F499:F500)</f>
        <v>1183661</v>
      </c>
      <c r="G501" s="39">
        <f>SUM(G499:G500)</f>
        <v>0</v>
      </c>
      <c r="H501" s="39">
        <f>SUM(H499:H500)</f>
        <v>0</v>
      </c>
      <c r="I501" s="39">
        <f>SUM(I499:I500)</f>
        <v>0</v>
      </c>
      <c r="J501" s="39">
        <f>SUM(J499:J500)</f>
        <v>0</v>
      </c>
      <c r="K501" s="39">
        <f t="shared" si="35"/>
        <v>1183661</v>
      </c>
      <c r="L501" s="42" t="s">
        <v>288</v>
      </c>
      <c r="N501" s="131"/>
    </row>
    <row r="502" spans="1:14" ht="12.2" customHeight="1" x14ac:dyDescent="0.2">
      <c r="A502" s="144" t="s">
        <v>651</v>
      </c>
      <c r="B502" s="145">
        <v>20</v>
      </c>
      <c r="C502" s="145">
        <v>12</v>
      </c>
      <c r="D502" s="146" t="s">
        <v>432</v>
      </c>
      <c r="E502" s="145"/>
      <c r="F502" s="147">
        <v>200000</v>
      </c>
      <c r="G502" s="147"/>
      <c r="H502" s="147"/>
      <c r="I502" s="147"/>
      <c r="J502" s="147"/>
      <c r="K502" s="148">
        <f t="shared" si="35"/>
        <v>200000</v>
      </c>
      <c r="L502" s="149" t="s">
        <v>288</v>
      </c>
      <c r="N502" s="131"/>
    </row>
    <row r="503" spans="1:14" ht="12.2" customHeight="1" thickBot="1" x14ac:dyDescent="0.25">
      <c r="A503" s="21" t="s">
        <v>625</v>
      </c>
      <c r="B503" s="22">
        <v>20</v>
      </c>
      <c r="C503" s="22">
        <v>13</v>
      </c>
      <c r="D503" s="2" t="s">
        <v>432</v>
      </c>
      <c r="E503" s="22"/>
      <c r="F503" s="18">
        <v>31500</v>
      </c>
      <c r="G503" s="18"/>
      <c r="H503" s="18"/>
      <c r="I503" s="18"/>
      <c r="J503" s="18"/>
      <c r="K503" s="19">
        <f t="shared" si="35"/>
        <v>31500</v>
      </c>
      <c r="L503" s="23" t="s">
        <v>288</v>
      </c>
      <c r="N503" s="131"/>
    </row>
    <row r="504" spans="1:14" ht="12.2" customHeight="1" thickTop="1" x14ac:dyDescent="0.2">
      <c r="A504" s="97" t="s">
        <v>626</v>
      </c>
      <c r="B504" s="41">
        <v>20</v>
      </c>
      <c r="C504" s="41">
        <v>14</v>
      </c>
      <c r="D504" s="36" t="s">
        <v>432</v>
      </c>
      <c r="E504" s="41"/>
      <c r="F504" s="39">
        <f>SUM(F502:F503)</f>
        <v>231500</v>
      </c>
      <c r="G504" s="39">
        <f>SUM(G502:G503)</f>
        <v>0</v>
      </c>
      <c r="H504" s="39">
        <f>SUM(H502:H503)</f>
        <v>0</v>
      </c>
      <c r="I504" s="39">
        <f>SUM(I502:I503)</f>
        <v>0</v>
      </c>
      <c r="J504" s="39">
        <f>SUM(J502:J503)</f>
        <v>0</v>
      </c>
      <c r="K504" s="39">
        <f t="shared" si="35"/>
        <v>231500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F199+F278-F558-F563-F568-F532</f>
        <v>1032055.3400000001</v>
      </c>
      <c r="G522" s="18">
        <f>G199+G278-G558-G563-G568-G532</f>
        <v>511874.48999999987</v>
      </c>
      <c r="H522" s="18">
        <f t="shared" ref="H522:K522" si="36">H199+H278-H558-H563-H568</f>
        <v>42306.64</v>
      </c>
      <c r="I522" s="18">
        <f t="shared" si="36"/>
        <v>9186.6299999999992</v>
      </c>
      <c r="J522" s="18">
        <f t="shared" si="36"/>
        <v>30719.97</v>
      </c>
      <c r="K522" s="18">
        <f t="shared" si="36"/>
        <v>2718.85</v>
      </c>
      <c r="L522" s="69">
        <f>SUM(F522:K522)</f>
        <v>1628861.92</v>
      </c>
      <c r="N522" s="131"/>
    </row>
    <row r="523" spans="1:14" ht="12.2" customHeight="1" x14ac:dyDescent="0.2">
      <c r="A523" s="21" t="s">
        <v>634</v>
      </c>
      <c r="B523" s="22">
        <v>21</v>
      </c>
      <c r="C523" s="22">
        <v>2</v>
      </c>
      <c r="D523" s="2" t="s">
        <v>432</v>
      </c>
      <c r="E523" s="22"/>
      <c r="F523" s="18">
        <f>F217+F297-F559-F564-F569-F533</f>
        <v>942945.87999999989</v>
      </c>
      <c r="G523" s="18">
        <f>G217+G297-G559-G564-G569-G533</f>
        <v>521098.56999999995</v>
      </c>
      <c r="H523" s="18">
        <f t="shared" ref="H523:K523" si="37">H217+H297-H559-H564-H569</f>
        <v>91378.65</v>
      </c>
      <c r="I523" s="18">
        <f t="shared" si="37"/>
        <v>7491.0300000000007</v>
      </c>
      <c r="J523" s="18">
        <f t="shared" si="37"/>
        <v>34049.08</v>
      </c>
      <c r="K523" s="18">
        <f t="shared" si="37"/>
        <v>811.72</v>
      </c>
      <c r="L523" s="69">
        <f>SUM(F523:K523)</f>
        <v>1597774.9299999997</v>
      </c>
      <c r="N523" s="131"/>
    </row>
    <row r="524" spans="1:14" ht="12.2" customHeight="1" thickBot="1" x14ac:dyDescent="0.25">
      <c r="A524" s="21" t="s">
        <v>635</v>
      </c>
      <c r="B524" s="22">
        <v>21</v>
      </c>
      <c r="C524" s="22">
        <v>3</v>
      </c>
      <c r="D524" s="2" t="s">
        <v>432</v>
      </c>
      <c r="E524" s="22"/>
      <c r="F524" s="18">
        <f>F235+F316-F560-F565-F570-F534</f>
        <v>913771.91</v>
      </c>
      <c r="G524" s="18">
        <f>G235+G316-G560-G565-G570-G534</f>
        <v>474987.15000000008</v>
      </c>
      <c r="H524" s="18">
        <f t="shared" ref="H524:K524" si="38">H235+H316-H560-H565-H570</f>
        <v>907512.14</v>
      </c>
      <c r="I524" s="18">
        <f t="shared" si="38"/>
        <v>17849.150000000001</v>
      </c>
      <c r="J524" s="18">
        <f t="shared" si="38"/>
        <v>86026.11</v>
      </c>
      <c r="K524" s="18">
        <f t="shared" si="38"/>
        <v>2485.64</v>
      </c>
      <c r="L524" s="69">
        <f>SUM(F524:K524)</f>
        <v>2402632.1</v>
      </c>
      <c r="N524" s="131"/>
    </row>
    <row r="525" spans="1:14" ht="12.2" customHeight="1" thickTop="1" x14ac:dyDescent="0.2">
      <c r="A525" s="97" t="s">
        <v>63</v>
      </c>
      <c r="B525" s="41">
        <v>21</v>
      </c>
      <c r="C525" s="41">
        <v>4</v>
      </c>
      <c r="D525" s="115" t="s">
        <v>432</v>
      </c>
      <c r="E525" s="41"/>
      <c r="F525" s="81">
        <f>SUM(F522:F524)</f>
        <v>2888773.13</v>
      </c>
      <c r="G525" s="81">
        <f t="shared" ref="G525:L525" si="39">SUM(G522:G524)</f>
        <v>1507960.21</v>
      </c>
      <c r="H525" s="81">
        <f t="shared" si="39"/>
        <v>1041197.4299999999</v>
      </c>
      <c r="I525" s="81">
        <f t="shared" si="39"/>
        <v>34526.81</v>
      </c>
      <c r="J525" s="81">
        <f t="shared" si="39"/>
        <v>150795.16</v>
      </c>
      <c r="K525" s="81">
        <f t="shared" si="39"/>
        <v>6016.2099999999991</v>
      </c>
      <c r="L525" s="70">
        <f t="shared" si="39"/>
        <v>5629268.9499999993</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68248.11+209306.54+53363.51+181733.03</f>
        <v>512651.19000000006</v>
      </c>
      <c r="G527" s="18">
        <f>42120.51+120899.4+115369.89</f>
        <v>278389.8</v>
      </c>
      <c r="H527" s="18">
        <f>2074.7+1206.43+3860.6+930.01</f>
        <v>8071.74</v>
      </c>
      <c r="I527" s="18">
        <f>582.07+2381.64+804.69</f>
        <v>3768.4</v>
      </c>
      <c r="J527" s="18">
        <f>161.03+450.55</f>
        <v>611.58000000000004</v>
      </c>
      <c r="K527" s="18">
        <v>0</v>
      </c>
      <c r="L527" s="69">
        <f>SUM(F527:K527)</f>
        <v>803492.71</v>
      </c>
      <c r="M527" s="8"/>
      <c r="N527" s="165"/>
    </row>
    <row r="528" spans="1:14" s="3" customFormat="1" ht="12.2" customHeight="1" x14ac:dyDescent="0.15">
      <c r="A528" s="21" t="s">
        <v>634</v>
      </c>
      <c r="B528" s="22">
        <v>21</v>
      </c>
      <c r="C528" s="22">
        <v>6</v>
      </c>
      <c r="D528" s="2" t="s">
        <v>432</v>
      </c>
      <c r="E528" s="22"/>
      <c r="F528" s="18">
        <f>66737.86+34884.42+18388.78+45433.26</f>
        <v>165444.32</v>
      </c>
      <c r="G528" s="18">
        <f>41188.43+24520.11+28842.47</f>
        <v>94551.010000000009</v>
      </c>
      <c r="H528" s="18">
        <f>2028.79+295.76+945.46+232.5</f>
        <v>3502.51</v>
      </c>
      <c r="I528" s="18">
        <f>569.19+583.87+201.17</f>
        <v>1354.23</v>
      </c>
      <c r="J528" s="18">
        <f>39.48+112.64</f>
        <v>152.12</v>
      </c>
      <c r="K528" s="18">
        <v>0</v>
      </c>
      <c r="L528" s="69">
        <f>SUM(F528:K528)</f>
        <v>265004.19</v>
      </c>
      <c r="M528" s="8"/>
      <c r="N528" s="165"/>
    </row>
    <row r="529" spans="1:14" s="3" customFormat="1" ht="12.2" customHeight="1" thickBot="1" x14ac:dyDescent="0.2">
      <c r="A529" s="21" t="s">
        <v>635</v>
      </c>
      <c r="B529" s="22">
        <v>21</v>
      </c>
      <c r="C529" s="22">
        <v>7</v>
      </c>
      <c r="D529" s="2" t="s">
        <v>432</v>
      </c>
      <c r="E529" s="22"/>
      <c r="F529" s="18">
        <f>76438.84+34884.42+18388.78+45433.26</f>
        <v>175145.3</v>
      </c>
      <c r="G529" s="18">
        <f>47175.56+24520.11+28842.47</f>
        <v>100538.14</v>
      </c>
      <c r="H529" s="18">
        <f>2323.7+295.76+946.45+232.5</f>
        <v>3798.41</v>
      </c>
      <c r="I529" s="18">
        <f>651.93+583.87+201.17</f>
        <v>1436.97</v>
      </c>
      <c r="J529" s="18">
        <f>39.48+112.64</f>
        <v>152.12</v>
      </c>
      <c r="K529" s="18">
        <v>0</v>
      </c>
      <c r="L529" s="69">
        <f>SUM(F529:K529)</f>
        <v>281070.93999999994</v>
      </c>
      <c r="M529" s="8"/>
      <c r="N529" s="165"/>
    </row>
    <row r="530" spans="1:14" s="3" customFormat="1" ht="12.2" customHeight="1" thickTop="1" x14ac:dyDescent="0.15">
      <c r="A530" s="97" t="s">
        <v>65</v>
      </c>
      <c r="B530" s="41">
        <v>21</v>
      </c>
      <c r="C530" s="41">
        <v>8</v>
      </c>
      <c r="D530" s="115" t="s">
        <v>432</v>
      </c>
      <c r="E530" s="41"/>
      <c r="F530" s="70">
        <f>SUM(F527:F529)</f>
        <v>853240.81</v>
      </c>
      <c r="G530" s="70">
        <f t="shared" ref="G530:L530" si="40">SUM(G527:G529)</f>
        <v>473478.95</v>
      </c>
      <c r="H530" s="70">
        <f t="shared" si="40"/>
        <v>15372.66</v>
      </c>
      <c r="I530" s="70">
        <f t="shared" si="40"/>
        <v>6559.6</v>
      </c>
      <c r="J530" s="70">
        <f t="shared" si="40"/>
        <v>915.82</v>
      </c>
      <c r="K530" s="70">
        <f t="shared" si="40"/>
        <v>0</v>
      </c>
      <c r="L530" s="70">
        <f t="shared" si="40"/>
        <v>1349567.8399999999</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99385.73</v>
      </c>
      <c r="G532" s="18">
        <v>34463.53</v>
      </c>
      <c r="H532" s="18">
        <v>0</v>
      </c>
      <c r="I532" s="18">
        <v>0</v>
      </c>
      <c r="J532" s="18">
        <v>0</v>
      </c>
      <c r="K532" s="18">
        <v>0</v>
      </c>
      <c r="L532" s="69">
        <f>SUM(F532:K532)</f>
        <v>133849.26</v>
      </c>
      <c r="M532" s="8"/>
      <c r="N532" s="165"/>
    </row>
    <row r="533" spans="1:14" s="3" customFormat="1" ht="12.2" customHeight="1" x14ac:dyDescent="0.15">
      <c r="A533" s="21" t="s">
        <v>634</v>
      </c>
      <c r="B533" s="22">
        <v>21</v>
      </c>
      <c r="C533" s="22">
        <v>10</v>
      </c>
      <c r="D533" s="2" t="s">
        <v>432</v>
      </c>
      <c r="E533" s="22"/>
      <c r="F533" s="18">
        <v>99385.73</v>
      </c>
      <c r="G533" s="18">
        <v>36018.1</v>
      </c>
      <c r="H533" s="18">
        <v>0</v>
      </c>
      <c r="I533" s="18">
        <v>0</v>
      </c>
      <c r="J533" s="18">
        <v>0</v>
      </c>
      <c r="K533" s="18">
        <v>0</v>
      </c>
      <c r="L533" s="69">
        <f>SUM(F533:K533)</f>
        <v>135403.82999999999</v>
      </c>
      <c r="M533" s="8"/>
      <c r="N533" s="165"/>
    </row>
    <row r="534" spans="1:14" s="3" customFormat="1" ht="12.2" customHeight="1" thickBot="1" x14ac:dyDescent="0.2">
      <c r="A534" s="21" t="s">
        <v>635</v>
      </c>
      <c r="B534" s="22">
        <v>21</v>
      </c>
      <c r="C534" s="22">
        <v>11</v>
      </c>
      <c r="D534" s="2" t="s">
        <v>432</v>
      </c>
      <c r="E534" s="22"/>
      <c r="F534" s="18">
        <v>99385.73</v>
      </c>
      <c r="G534" s="18">
        <v>55636.58</v>
      </c>
      <c r="H534" s="18">
        <v>0</v>
      </c>
      <c r="I534" s="18">
        <v>0</v>
      </c>
      <c r="J534" s="18">
        <v>0</v>
      </c>
      <c r="K534" s="18">
        <v>0</v>
      </c>
      <c r="L534" s="69">
        <f>SUM(F534:K534)</f>
        <v>155022.31</v>
      </c>
      <c r="M534" s="8"/>
      <c r="N534" s="165"/>
    </row>
    <row r="535" spans="1:14" s="3" customFormat="1" ht="12.2" customHeight="1" thickTop="1" x14ac:dyDescent="0.15">
      <c r="A535" s="97" t="s">
        <v>67</v>
      </c>
      <c r="B535" s="41">
        <v>21</v>
      </c>
      <c r="C535" s="41">
        <v>12</v>
      </c>
      <c r="D535" s="115" t="s">
        <v>432</v>
      </c>
      <c r="E535" s="41"/>
      <c r="F535" s="70">
        <f>SUM(F532:F534)</f>
        <v>298157.19</v>
      </c>
      <c r="G535" s="70">
        <f t="shared" ref="G535:L535" si="41">SUM(G532:G534)</f>
        <v>126118.21</v>
      </c>
      <c r="H535" s="70">
        <f t="shared" si="41"/>
        <v>0</v>
      </c>
      <c r="I535" s="70">
        <f t="shared" si="41"/>
        <v>0</v>
      </c>
      <c r="J535" s="70">
        <f t="shared" si="41"/>
        <v>0</v>
      </c>
      <c r="K535" s="70">
        <f t="shared" si="41"/>
        <v>0</v>
      </c>
      <c r="L535" s="70">
        <f t="shared" si="41"/>
        <v>424275.39999999997</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v>0</v>
      </c>
      <c r="G537" s="18">
        <v>0</v>
      </c>
      <c r="H537" s="18">
        <v>0</v>
      </c>
      <c r="I537" s="18">
        <v>0</v>
      </c>
      <c r="J537" s="18">
        <v>0</v>
      </c>
      <c r="K537" s="18">
        <v>0</v>
      </c>
      <c r="L537" s="69">
        <f>SUM(F537:K537)</f>
        <v>0</v>
      </c>
      <c r="M537" s="8"/>
      <c r="N537" s="165"/>
    </row>
    <row r="538" spans="1:14" s="3" customFormat="1" ht="12.2" customHeight="1" x14ac:dyDescent="0.15">
      <c r="A538" s="21" t="s">
        <v>634</v>
      </c>
      <c r="B538" s="22">
        <v>21</v>
      </c>
      <c r="C538" s="22">
        <v>14</v>
      </c>
      <c r="D538" s="2" t="s">
        <v>432</v>
      </c>
      <c r="E538" s="22"/>
      <c r="F538" s="18">
        <v>0</v>
      </c>
      <c r="G538" s="18">
        <v>0</v>
      </c>
      <c r="H538" s="18">
        <v>0</v>
      </c>
      <c r="I538" s="18">
        <v>0</v>
      </c>
      <c r="J538" s="18">
        <v>0</v>
      </c>
      <c r="K538" s="18">
        <v>0</v>
      </c>
      <c r="L538" s="69">
        <f>SUM(F538:K538)</f>
        <v>0</v>
      </c>
      <c r="M538" s="8"/>
      <c r="N538" s="165"/>
    </row>
    <row r="539" spans="1:14" s="3" customFormat="1" ht="12.2" customHeight="1" thickBot="1" x14ac:dyDescent="0.2">
      <c r="A539" s="21" t="s">
        <v>635</v>
      </c>
      <c r="B539" s="22">
        <v>21</v>
      </c>
      <c r="C539" s="22">
        <v>15</v>
      </c>
      <c r="D539" s="2" t="s">
        <v>432</v>
      </c>
      <c r="E539" s="22"/>
      <c r="F539" s="18">
        <v>0</v>
      </c>
      <c r="G539" s="18">
        <v>0</v>
      </c>
      <c r="H539" s="18">
        <v>0</v>
      </c>
      <c r="I539" s="18">
        <v>0</v>
      </c>
      <c r="J539" s="18">
        <v>0</v>
      </c>
      <c r="K539" s="18">
        <v>0</v>
      </c>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2">SUM(G537:G539)</f>
        <v>0</v>
      </c>
      <c r="H540" s="70">
        <f t="shared" si="42"/>
        <v>0</v>
      </c>
      <c r="I540" s="70">
        <f t="shared" si="42"/>
        <v>0</v>
      </c>
      <c r="J540" s="70">
        <f t="shared" si="42"/>
        <v>0</v>
      </c>
      <c r="K540" s="70">
        <f t="shared" si="42"/>
        <v>0</v>
      </c>
      <c r="L540" s="70">
        <f t="shared" si="42"/>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25167.27</v>
      </c>
      <c r="G542" s="18">
        <v>2725.86</v>
      </c>
      <c r="H542" s="18">
        <v>43809.21</v>
      </c>
      <c r="I542" s="18">
        <v>0</v>
      </c>
      <c r="J542" s="18">
        <v>9110.8799999999992</v>
      </c>
      <c r="K542" s="18">
        <v>0</v>
      </c>
      <c r="L542" s="69">
        <f>SUM(F542:K542)</f>
        <v>80813.22</v>
      </c>
      <c r="M542" s="8"/>
      <c r="N542" s="165"/>
    </row>
    <row r="543" spans="1:14" s="3" customFormat="1" ht="12.2" customHeight="1" x14ac:dyDescent="0.15">
      <c r="A543" s="21" t="s">
        <v>634</v>
      </c>
      <c r="B543" s="22">
        <v>21</v>
      </c>
      <c r="C543" s="22">
        <v>18</v>
      </c>
      <c r="D543" s="2" t="s">
        <v>432</v>
      </c>
      <c r="E543" s="22"/>
      <c r="F543" s="18">
        <v>25167.27</v>
      </c>
      <c r="G543" s="18">
        <v>2725.86</v>
      </c>
      <c r="H543" s="18">
        <v>43809.21</v>
      </c>
      <c r="I543" s="18">
        <v>0</v>
      </c>
      <c r="J543" s="18">
        <v>9110.8799999999992</v>
      </c>
      <c r="K543" s="18">
        <v>0</v>
      </c>
      <c r="L543" s="69">
        <f>SUM(F543:K543)</f>
        <v>80813.22</v>
      </c>
      <c r="M543" s="8"/>
      <c r="N543" s="165"/>
    </row>
    <row r="544" spans="1:14" s="3" customFormat="1" ht="12.2" customHeight="1" thickBot="1" x14ac:dyDescent="0.2">
      <c r="A544" s="21" t="s">
        <v>635</v>
      </c>
      <c r="B544" s="22">
        <v>21</v>
      </c>
      <c r="C544" s="22">
        <v>19</v>
      </c>
      <c r="D544" s="2" t="s">
        <v>432</v>
      </c>
      <c r="E544" s="22"/>
      <c r="F544" s="18">
        <v>25167.27</v>
      </c>
      <c r="G544" s="18">
        <v>2725.86</v>
      </c>
      <c r="H544" s="18">
        <v>43809.21</v>
      </c>
      <c r="I544" s="18">
        <v>0</v>
      </c>
      <c r="J544" s="18">
        <v>9110.8799999999992</v>
      </c>
      <c r="K544" s="18">
        <v>0</v>
      </c>
      <c r="L544" s="69">
        <f>SUM(F544:K544)</f>
        <v>80813.22</v>
      </c>
      <c r="M544" s="8"/>
      <c r="N544" s="165"/>
    </row>
    <row r="545" spans="1:14" s="3" customFormat="1" ht="12.2" customHeight="1" thickTop="1" thickBot="1" x14ac:dyDescent="0.2">
      <c r="A545" s="93" t="s">
        <v>71</v>
      </c>
      <c r="B545" s="63">
        <v>21</v>
      </c>
      <c r="C545" s="63">
        <v>20</v>
      </c>
      <c r="D545" s="140" t="s">
        <v>432</v>
      </c>
      <c r="E545" s="63"/>
      <c r="F545" s="141">
        <f>SUM(F542:F544)</f>
        <v>75501.81</v>
      </c>
      <c r="G545" s="141">
        <f t="shared" ref="G545:L545" si="43">SUM(G542:G544)</f>
        <v>8177.58</v>
      </c>
      <c r="H545" s="141">
        <f t="shared" si="43"/>
        <v>131427.63</v>
      </c>
      <c r="I545" s="141">
        <f t="shared" si="43"/>
        <v>0</v>
      </c>
      <c r="J545" s="141">
        <f t="shared" si="43"/>
        <v>27332.639999999999</v>
      </c>
      <c r="K545" s="141">
        <f t="shared" si="43"/>
        <v>0</v>
      </c>
      <c r="L545" s="141">
        <f t="shared" si="43"/>
        <v>242439.66</v>
      </c>
      <c r="M545" s="8"/>
      <c r="N545" s="165"/>
    </row>
    <row r="546" spans="1:14" s="3" customFormat="1" ht="12.2" customHeight="1" thickTop="1" x14ac:dyDescent="0.15">
      <c r="A546" s="75" t="s">
        <v>72</v>
      </c>
      <c r="B546" s="41">
        <v>21</v>
      </c>
      <c r="C546" s="41">
        <v>21</v>
      </c>
      <c r="D546" s="115" t="s">
        <v>432</v>
      </c>
      <c r="E546" s="41"/>
      <c r="F546" s="70">
        <f>F525+F530+F535+F540+F545</f>
        <v>4115672.94</v>
      </c>
      <c r="G546" s="70">
        <f t="shared" ref="G546:L546" si="44">G525+G530+G535+G540+G545</f>
        <v>2115734.9500000002</v>
      </c>
      <c r="H546" s="70">
        <f t="shared" si="44"/>
        <v>1187997.7199999997</v>
      </c>
      <c r="I546" s="70">
        <f t="shared" si="44"/>
        <v>41086.409999999996</v>
      </c>
      <c r="J546" s="70">
        <f t="shared" si="44"/>
        <v>179043.62</v>
      </c>
      <c r="K546" s="70">
        <f t="shared" si="44"/>
        <v>6016.2099999999991</v>
      </c>
      <c r="L546" s="70">
        <f t="shared" si="44"/>
        <v>7645551.8499999996</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1628861.92</v>
      </c>
      <c r="G550" s="69">
        <f>L527</f>
        <v>803492.71</v>
      </c>
      <c r="H550" s="69">
        <f>L532</f>
        <v>133849.26</v>
      </c>
      <c r="I550" s="69">
        <f>L537</f>
        <v>0</v>
      </c>
      <c r="J550" s="69">
        <f>L542</f>
        <v>80813.22</v>
      </c>
      <c r="K550" s="69">
        <f>SUM(F550:J550)</f>
        <v>2647017.11</v>
      </c>
      <c r="L550" s="23" t="s">
        <v>288</v>
      </c>
      <c r="M550" s="8"/>
      <c r="N550" s="165"/>
    </row>
    <row r="551" spans="1:14" s="3" customFormat="1" ht="12.2" customHeight="1" x14ac:dyDescent="0.15">
      <c r="A551" s="21" t="s">
        <v>634</v>
      </c>
      <c r="B551" s="22">
        <v>21</v>
      </c>
      <c r="C551" s="22">
        <v>23</v>
      </c>
      <c r="D551" s="2" t="s">
        <v>432</v>
      </c>
      <c r="E551" s="22"/>
      <c r="F551" s="69">
        <f>L523</f>
        <v>1597774.9299999997</v>
      </c>
      <c r="G551" s="69">
        <f>L528</f>
        <v>265004.19</v>
      </c>
      <c r="H551" s="69">
        <f>L533</f>
        <v>135403.82999999999</v>
      </c>
      <c r="I551" s="69">
        <f>L538</f>
        <v>0</v>
      </c>
      <c r="J551" s="69">
        <f>L543</f>
        <v>80813.22</v>
      </c>
      <c r="K551" s="69">
        <f>SUM(F551:J551)</f>
        <v>2078996.1699999997</v>
      </c>
      <c r="L551" s="23" t="s">
        <v>288</v>
      </c>
      <c r="M551" s="8"/>
      <c r="N551" s="165"/>
    </row>
    <row r="552" spans="1:14" s="3" customFormat="1" ht="12.2" customHeight="1" thickBot="1" x14ac:dyDescent="0.2">
      <c r="A552" s="21" t="s">
        <v>635</v>
      </c>
      <c r="B552" s="22">
        <v>21</v>
      </c>
      <c r="C552" s="22">
        <v>24</v>
      </c>
      <c r="D552" s="2" t="s">
        <v>432</v>
      </c>
      <c r="E552" s="22"/>
      <c r="F552" s="69">
        <f>L524</f>
        <v>2402632.1</v>
      </c>
      <c r="G552" s="69">
        <f>L529</f>
        <v>281070.93999999994</v>
      </c>
      <c r="H552" s="69">
        <f>L534</f>
        <v>155022.31</v>
      </c>
      <c r="I552" s="69">
        <f>L539</f>
        <v>0</v>
      </c>
      <c r="J552" s="69">
        <f>L544</f>
        <v>80813.22</v>
      </c>
      <c r="K552" s="69">
        <f>SUM(F552:J552)</f>
        <v>2919538.5700000003</v>
      </c>
      <c r="L552" s="23" t="s">
        <v>288</v>
      </c>
      <c r="M552" s="8"/>
      <c r="N552" s="165"/>
    </row>
    <row r="553" spans="1:14" s="3" customFormat="1" ht="12.2" customHeight="1" thickTop="1" x14ac:dyDescent="0.15">
      <c r="A553" s="126" t="s">
        <v>340</v>
      </c>
      <c r="B553" s="41">
        <v>21</v>
      </c>
      <c r="C553" s="41">
        <v>25</v>
      </c>
      <c r="D553" s="36" t="s">
        <v>432</v>
      </c>
      <c r="E553" s="41"/>
      <c r="F553" s="70">
        <f t="shared" ref="F553:K553" si="45">SUM(F550:F552)</f>
        <v>5629268.9499999993</v>
      </c>
      <c r="G553" s="70">
        <f t="shared" si="45"/>
        <v>1349567.8399999999</v>
      </c>
      <c r="H553" s="70">
        <f t="shared" si="45"/>
        <v>424275.39999999997</v>
      </c>
      <c r="I553" s="70">
        <f t="shared" si="45"/>
        <v>0</v>
      </c>
      <c r="J553" s="70">
        <f t="shared" si="45"/>
        <v>242439.66</v>
      </c>
      <c r="K553" s="70">
        <f t="shared" si="45"/>
        <v>7645551.8499999996</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v>0</v>
      </c>
      <c r="G558" s="18">
        <v>0</v>
      </c>
      <c r="H558" s="18">
        <v>0</v>
      </c>
      <c r="I558" s="18">
        <v>0</v>
      </c>
      <c r="J558" s="18">
        <v>0</v>
      </c>
      <c r="K558" s="18">
        <v>0</v>
      </c>
      <c r="L558" s="69">
        <f>SUM(F558:K558)</f>
        <v>0</v>
      </c>
      <c r="M558" s="8"/>
      <c r="N558" s="165"/>
    </row>
    <row r="559" spans="1:14" s="3" customFormat="1" ht="12.2" customHeight="1" x14ac:dyDescent="0.15">
      <c r="A559" s="21" t="s">
        <v>634</v>
      </c>
      <c r="B559" s="22">
        <v>22</v>
      </c>
      <c r="C559" s="22">
        <v>2</v>
      </c>
      <c r="D559" s="2" t="s">
        <v>432</v>
      </c>
      <c r="E559" s="22"/>
      <c r="F559" s="18">
        <v>0</v>
      </c>
      <c r="G559" s="18">
        <v>0</v>
      </c>
      <c r="H559" s="18">
        <v>0</v>
      </c>
      <c r="I559" s="18">
        <v>0</v>
      </c>
      <c r="J559" s="18">
        <v>0</v>
      </c>
      <c r="K559" s="18">
        <v>0</v>
      </c>
      <c r="L559" s="69">
        <f>SUM(F559:K559)</f>
        <v>0</v>
      </c>
      <c r="M559" s="8"/>
      <c r="N559" s="165"/>
    </row>
    <row r="560" spans="1:14" s="3" customFormat="1" ht="12.2" customHeight="1" thickBot="1" x14ac:dyDescent="0.2">
      <c r="A560" s="21" t="s">
        <v>635</v>
      </c>
      <c r="B560" s="22">
        <v>22</v>
      </c>
      <c r="C560" s="22">
        <v>3</v>
      </c>
      <c r="D560" s="2" t="s">
        <v>432</v>
      </c>
      <c r="E560" s="22"/>
      <c r="F560" s="18">
        <v>0</v>
      </c>
      <c r="G560" s="18">
        <v>0</v>
      </c>
      <c r="H560" s="18">
        <v>0</v>
      </c>
      <c r="I560" s="18">
        <v>0</v>
      </c>
      <c r="J560" s="18">
        <v>0</v>
      </c>
      <c r="K560" s="18">
        <v>0</v>
      </c>
      <c r="L560" s="69">
        <f>SUM(F560:K560)</f>
        <v>0</v>
      </c>
      <c r="M560" s="8"/>
      <c r="N560" s="165"/>
    </row>
    <row r="561" spans="1:14" s="3" customFormat="1" ht="12.2" customHeight="1" thickTop="1" x14ac:dyDescent="0.15">
      <c r="A561" s="97" t="s">
        <v>63</v>
      </c>
      <c r="B561" s="41">
        <v>22</v>
      </c>
      <c r="C561" s="41">
        <v>4</v>
      </c>
      <c r="D561" s="115" t="s">
        <v>432</v>
      </c>
      <c r="E561" s="41"/>
      <c r="F561" s="81">
        <f t="shared" ref="F561:L561" si="46">SUM(F558:F560)</f>
        <v>0</v>
      </c>
      <c r="G561" s="81">
        <f t="shared" si="46"/>
        <v>0</v>
      </c>
      <c r="H561" s="81">
        <f t="shared" si="46"/>
        <v>0</v>
      </c>
      <c r="I561" s="81">
        <f t="shared" si="46"/>
        <v>0</v>
      </c>
      <c r="J561" s="81">
        <f t="shared" si="46"/>
        <v>0</v>
      </c>
      <c r="K561" s="81">
        <f t="shared" si="46"/>
        <v>0</v>
      </c>
      <c r="L561" s="70">
        <f t="shared" si="46"/>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4714.13</v>
      </c>
      <c r="G563" s="18">
        <v>681.94</v>
      </c>
      <c r="H563" s="18">
        <v>0</v>
      </c>
      <c r="I563" s="18">
        <v>0</v>
      </c>
      <c r="J563" s="18">
        <v>0</v>
      </c>
      <c r="K563" s="18">
        <v>0</v>
      </c>
      <c r="L563" s="69">
        <f>SUM(F563:K563)</f>
        <v>5396.07</v>
      </c>
      <c r="M563" s="8"/>
      <c r="N563" s="165"/>
    </row>
    <row r="564" spans="1:14" s="3" customFormat="1" ht="12.2" customHeight="1" x14ac:dyDescent="0.15">
      <c r="A564" s="21" t="s">
        <v>634</v>
      </c>
      <c r="B564" s="22">
        <v>22</v>
      </c>
      <c r="C564" s="22">
        <v>6</v>
      </c>
      <c r="D564" s="2" t="s">
        <v>432</v>
      </c>
      <c r="E564" s="22"/>
      <c r="F564" s="18">
        <v>4714.13</v>
      </c>
      <c r="G564" s="18">
        <v>681.94</v>
      </c>
      <c r="H564" s="18">
        <v>0</v>
      </c>
      <c r="I564" s="18">
        <v>0</v>
      </c>
      <c r="J564" s="18">
        <v>0</v>
      </c>
      <c r="K564" s="18">
        <v>0</v>
      </c>
      <c r="L564" s="69">
        <f>SUM(F564:K564)</f>
        <v>5396.07</v>
      </c>
      <c r="M564" s="8"/>
      <c r="N564" s="165"/>
    </row>
    <row r="565" spans="1:14" s="3" customFormat="1" ht="12.2" customHeight="1" thickBot="1" x14ac:dyDescent="0.2">
      <c r="A565" s="21" t="s">
        <v>635</v>
      </c>
      <c r="B565" s="22">
        <v>22</v>
      </c>
      <c r="C565" s="22">
        <v>7</v>
      </c>
      <c r="D565" s="2" t="s">
        <v>432</v>
      </c>
      <c r="E565" s="22"/>
      <c r="F565" s="18">
        <v>4714.1400000000003</v>
      </c>
      <c r="G565" s="18">
        <v>681.94</v>
      </c>
      <c r="H565" s="18">
        <v>0</v>
      </c>
      <c r="I565" s="18">
        <v>0</v>
      </c>
      <c r="J565" s="18">
        <v>0</v>
      </c>
      <c r="K565" s="18">
        <v>0</v>
      </c>
      <c r="L565" s="69">
        <f>SUM(F565:K565)</f>
        <v>5396.08</v>
      </c>
      <c r="M565" s="8"/>
      <c r="N565" s="165"/>
    </row>
    <row r="566" spans="1:14" s="3" customFormat="1" ht="12.2" customHeight="1" thickTop="1" x14ac:dyDescent="0.15">
      <c r="A566" s="97" t="s">
        <v>65</v>
      </c>
      <c r="B566" s="41">
        <v>22</v>
      </c>
      <c r="C566" s="41">
        <v>8</v>
      </c>
      <c r="D566" s="115" t="s">
        <v>432</v>
      </c>
      <c r="E566" s="41"/>
      <c r="F566" s="70">
        <f t="shared" ref="F566:L566" si="47">SUM(F563:F565)</f>
        <v>14142.400000000001</v>
      </c>
      <c r="G566" s="70">
        <f t="shared" si="47"/>
        <v>2045.8200000000002</v>
      </c>
      <c r="H566" s="70">
        <f t="shared" si="47"/>
        <v>0</v>
      </c>
      <c r="I566" s="70">
        <f t="shared" si="47"/>
        <v>0</v>
      </c>
      <c r="J566" s="70">
        <f t="shared" si="47"/>
        <v>0</v>
      </c>
      <c r="K566" s="70">
        <f t="shared" si="47"/>
        <v>0</v>
      </c>
      <c r="L566" s="70">
        <f t="shared" si="47"/>
        <v>16188.22</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43759</v>
      </c>
      <c r="G568" s="18">
        <v>36426.79</v>
      </c>
      <c r="H568" s="18">
        <v>0</v>
      </c>
      <c r="I568" s="18">
        <v>0</v>
      </c>
      <c r="J568" s="18">
        <v>0</v>
      </c>
      <c r="K568" s="18">
        <v>0</v>
      </c>
      <c r="L568" s="69">
        <f>SUM(F568:K568)</f>
        <v>80185.790000000008</v>
      </c>
      <c r="M568" s="8"/>
      <c r="N568" s="165"/>
    </row>
    <row r="569" spans="1:14" s="3" customFormat="1" ht="12.2" customHeight="1" x14ac:dyDescent="0.15">
      <c r="A569" s="21" t="s">
        <v>634</v>
      </c>
      <c r="B569" s="22">
        <v>22</v>
      </c>
      <c r="C569" s="22">
        <v>10</v>
      </c>
      <c r="D569" s="2" t="s">
        <v>432</v>
      </c>
      <c r="E569" s="22"/>
      <c r="F569" s="18">
        <v>0</v>
      </c>
      <c r="G569" s="18">
        <v>0</v>
      </c>
      <c r="H569" s="18">
        <v>0</v>
      </c>
      <c r="I569" s="18">
        <v>500</v>
      </c>
      <c r="J569" s="18">
        <v>0</v>
      </c>
      <c r="K569" s="18">
        <v>0</v>
      </c>
      <c r="L569" s="69">
        <f>SUM(F569:K569)</f>
        <v>500</v>
      </c>
      <c r="M569" s="8"/>
      <c r="N569" s="165"/>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5"/>
    </row>
    <row r="571" spans="1:14" s="3" customFormat="1" ht="12.2" customHeight="1" thickTop="1" thickBot="1" x14ac:dyDescent="0.2">
      <c r="A571" s="93" t="s">
        <v>67</v>
      </c>
      <c r="B571" s="63">
        <v>22</v>
      </c>
      <c r="C571" s="63">
        <v>12</v>
      </c>
      <c r="D571" s="140" t="s">
        <v>432</v>
      </c>
      <c r="E571" s="63"/>
      <c r="F571" s="141">
        <f>SUM(F568:F570)</f>
        <v>43759</v>
      </c>
      <c r="G571" s="141">
        <f t="shared" ref="G571:L571" si="48">SUM(G568:G570)</f>
        <v>36426.79</v>
      </c>
      <c r="H571" s="141">
        <f t="shared" si="48"/>
        <v>0</v>
      </c>
      <c r="I571" s="141">
        <f t="shared" si="48"/>
        <v>500</v>
      </c>
      <c r="J571" s="141">
        <f t="shared" si="48"/>
        <v>0</v>
      </c>
      <c r="K571" s="141">
        <f t="shared" si="48"/>
        <v>0</v>
      </c>
      <c r="L571" s="141">
        <f t="shared" si="48"/>
        <v>80685.790000000008</v>
      </c>
      <c r="M571" s="8"/>
      <c r="N571" s="165"/>
    </row>
    <row r="572" spans="1:14" s="3" customFormat="1" ht="12.2" customHeight="1" thickTop="1" x14ac:dyDescent="0.15">
      <c r="A572" s="75" t="s">
        <v>88</v>
      </c>
      <c r="B572" s="41">
        <v>22</v>
      </c>
      <c r="C572" s="41">
        <v>13</v>
      </c>
      <c r="D572" s="115" t="s">
        <v>432</v>
      </c>
      <c r="E572" s="41"/>
      <c r="F572" s="70">
        <f>F561+F566+F571</f>
        <v>57901.4</v>
      </c>
      <c r="G572" s="70">
        <f t="shared" ref="G572:L572" si="49">G561+G566+G571</f>
        <v>38472.61</v>
      </c>
      <c r="H572" s="70">
        <f t="shared" si="49"/>
        <v>0</v>
      </c>
      <c r="I572" s="70">
        <f t="shared" si="49"/>
        <v>500</v>
      </c>
      <c r="J572" s="70">
        <f t="shared" si="49"/>
        <v>0</v>
      </c>
      <c r="K572" s="70">
        <f t="shared" si="49"/>
        <v>0</v>
      </c>
      <c r="L572" s="70">
        <f t="shared" si="49"/>
        <v>96874.010000000009</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0</v>
      </c>
      <c r="G576" s="18">
        <v>0</v>
      </c>
      <c r="H576" s="18">
        <v>0</v>
      </c>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v>0</v>
      </c>
      <c r="G577" s="18">
        <v>0</v>
      </c>
      <c r="H577" s="18">
        <v>0</v>
      </c>
      <c r="I577" s="69">
        <f t="shared" ref="I577:I588" si="50">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0</v>
      </c>
      <c r="I578" s="69">
        <f t="shared" si="50"/>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v>0</v>
      </c>
      <c r="G579" s="18">
        <v>0</v>
      </c>
      <c r="H579" s="18">
        <v>0</v>
      </c>
      <c r="I579" s="69">
        <f t="shared" si="50"/>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0</v>
      </c>
      <c r="G580" s="18">
        <v>953.2</v>
      </c>
      <c r="H580" s="18">
        <v>0</v>
      </c>
      <c r="I580" s="69">
        <f t="shared" si="50"/>
        <v>953.2</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0</v>
      </c>
      <c r="G581" s="18">
        <v>0</v>
      </c>
      <c r="H581" s="18">
        <v>0</v>
      </c>
      <c r="I581" s="69">
        <f t="shared" si="50"/>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v>0</v>
      </c>
      <c r="I582" s="69">
        <f t="shared" si="50"/>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0</v>
      </c>
      <c r="G583" s="18">
        <v>49055</v>
      </c>
      <c r="H583" s="18">
        <f>915168.86-953.2-49055</f>
        <v>865160.66</v>
      </c>
      <c r="I583" s="69">
        <f t="shared" si="50"/>
        <v>914215.66</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0</v>
      </c>
      <c r="G584" s="18">
        <v>0</v>
      </c>
      <c r="H584" s="18">
        <v>0</v>
      </c>
      <c r="I584" s="69">
        <f t="shared" si="50"/>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v>0</v>
      </c>
      <c r="G585" s="18">
        <v>0</v>
      </c>
      <c r="H585" s="18">
        <v>263839.49</v>
      </c>
      <c r="I585" s="69">
        <f t="shared" si="50"/>
        <v>263839.49</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v>0</v>
      </c>
      <c r="G586" s="18">
        <v>0</v>
      </c>
      <c r="H586" s="18">
        <v>0</v>
      </c>
      <c r="I586" s="69">
        <f t="shared" si="50"/>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v>0</v>
      </c>
      <c r="I587" s="69">
        <f t="shared" si="50"/>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v>0</v>
      </c>
      <c r="G588" s="18">
        <v>0</v>
      </c>
      <c r="H588" s="18">
        <v>0</v>
      </c>
      <c r="I588" s="69">
        <f t="shared" si="50"/>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203918.94</v>
      </c>
      <c r="I592" s="18">
        <v>203918.94</v>
      </c>
      <c r="J592" s="18">
        <v>62744.28</v>
      </c>
      <c r="K592" s="80">
        <f t="shared" ref="K592:K598" si="51">SUM(H592:J592)</f>
        <v>470582.16000000003</v>
      </c>
      <c r="L592" s="23" t="s">
        <v>288</v>
      </c>
      <c r="M592" s="8"/>
      <c r="N592" s="165"/>
    </row>
    <row r="593" spans="1:14" s="3" customFormat="1" ht="12.2" customHeight="1" x14ac:dyDescent="0.15">
      <c r="A593" s="3" t="s">
        <v>638</v>
      </c>
      <c r="B593" s="22">
        <v>23</v>
      </c>
      <c r="C593" s="22">
        <v>2</v>
      </c>
      <c r="D593" s="2" t="s">
        <v>432</v>
      </c>
      <c r="E593" s="22"/>
      <c r="F593" s="78">
        <v>2722</v>
      </c>
      <c r="G593" s="79" t="s">
        <v>97</v>
      </c>
      <c r="H593" s="18">
        <f>L542</f>
        <v>80813.22</v>
      </c>
      <c r="I593" s="18">
        <f>L543</f>
        <v>80813.22</v>
      </c>
      <c r="J593" s="18">
        <f>L544</f>
        <v>80813.22</v>
      </c>
      <c r="K593" s="80">
        <f t="shared" si="51"/>
        <v>242439.66</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f>22285.47+2271.34</f>
        <v>24556.81</v>
      </c>
      <c r="K594" s="80">
        <f t="shared" si="51"/>
        <v>24556.81</v>
      </c>
      <c r="L594" s="23" t="s">
        <v>288</v>
      </c>
      <c r="M594" s="8"/>
      <c r="N594" s="165"/>
    </row>
    <row r="595" spans="1:14" s="3" customFormat="1" ht="12.2" customHeight="1" x14ac:dyDescent="0.15">
      <c r="A595" s="21" t="s">
        <v>640</v>
      </c>
      <c r="B595" s="22">
        <v>23</v>
      </c>
      <c r="C595" s="22">
        <v>4</v>
      </c>
      <c r="D595" s="2" t="s">
        <v>432</v>
      </c>
      <c r="E595" s="22"/>
      <c r="F595" s="78">
        <v>2724</v>
      </c>
      <c r="G595" s="79" t="s">
        <v>97</v>
      </c>
      <c r="H595" s="18">
        <v>0</v>
      </c>
      <c r="I595" s="18">
        <v>8060.45</v>
      </c>
      <c r="J595" s="18">
        <f>23285.73+2814.81</f>
        <v>26100.54</v>
      </c>
      <c r="K595" s="80">
        <f t="shared" si="51"/>
        <v>34160.99</v>
      </c>
      <c r="L595" s="23" t="s">
        <v>288</v>
      </c>
      <c r="M595" s="8"/>
      <c r="N595" s="165"/>
    </row>
    <row r="596" spans="1:14" s="3" customFormat="1" ht="12.2" customHeight="1" x14ac:dyDescent="0.15">
      <c r="A596" s="103" t="s">
        <v>652</v>
      </c>
      <c r="B596" s="22">
        <v>23</v>
      </c>
      <c r="C596" s="22">
        <v>5</v>
      </c>
      <c r="D596" s="2" t="s">
        <v>432</v>
      </c>
      <c r="E596" s="22"/>
      <c r="F596" s="78">
        <v>2725</v>
      </c>
      <c r="G596" s="79" t="s">
        <v>97</v>
      </c>
      <c r="H596" s="18">
        <v>856.32</v>
      </c>
      <c r="I596" s="18">
        <v>5566.05</v>
      </c>
      <c r="J596" s="18">
        <f>11560.25+2170.75</f>
        <v>13731</v>
      </c>
      <c r="K596" s="80">
        <f t="shared" si="51"/>
        <v>20153.37</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51"/>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201603.34</v>
      </c>
      <c r="I598" s="18">
        <v>201603.34</v>
      </c>
      <c r="J598" s="18">
        <v>62031.82</v>
      </c>
      <c r="K598" s="80">
        <f t="shared" si="51"/>
        <v>465238.5</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487191.82000000007</v>
      </c>
      <c r="I599" s="81">
        <f>SUM(I592:I598)</f>
        <v>499962</v>
      </c>
      <c r="J599" s="81">
        <f>SUM(J592:J598)</f>
        <v>269977.67</v>
      </c>
      <c r="K599" s="81">
        <f>SUM(K592:K598)</f>
        <v>1257131.4900000002</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J212+J291</f>
        <v>207486.12</v>
      </c>
      <c r="I605" s="18">
        <f>J230+J310</f>
        <v>222983.90999999997</v>
      </c>
      <c r="J605" s="18">
        <f>J248+J329</f>
        <v>285695.59999999998</v>
      </c>
      <c r="K605" s="80">
        <f>SUM(H605:J605)</f>
        <v>716165.62999999989</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207486.12</v>
      </c>
      <c r="I606" s="81">
        <f>SUM(I603:I605)</f>
        <v>222983.90999999997</v>
      </c>
      <c r="J606" s="81">
        <f>SUM(J603:J605)</f>
        <v>285695.59999999998</v>
      </c>
      <c r="K606" s="81">
        <f>SUM(K603:K605)</f>
        <v>716165.62999999989</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0</v>
      </c>
      <c r="G612" s="18">
        <v>0</v>
      </c>
      <c r="H612" s="18">
        <v>0</v>
      </c>
      <c r="I612" s="18">
        <v>0</v>
      </c>
      <c r="J612" s="18">
        <v>0</v>
      </c>
      <c r="K612" s="18">
        <v>0</v>
      </c>
      <c r="L612" s="69">
        <f>SUM(F612:K612)</f>
        <v>0</v>
      </c>
      <c r="M612" s="8"/>
      <c r="N612" s="165"/>
    </row>
    <row r="613" spans="1:14" s="3" customFormat="1" ht="12.2" customHeight="1" x14ac:dyDescent="0.15">
      <c r="A613" s="21" t="s">
        <v>634</v>
      </c>
      <c r="B613" s="22">
        <v>23</v>
      </c>
      <c r="C613" s="22">
        <v>14</v>
      </c>
      <c r="D613" s="2" t="s">
        <v>432</v>
      </c>
      <c r="E613" s="22"/>
      <c r="F613" s="18">
        <v>0</v>
      </c>
      <c r="G613" s="18">
        <v>0</v>
      </c>
      <c r="H613" s="18">
        <v>0</v>
      </c>
      <c r="I613" s="18">
        <v>0</v>
      </c>
      <c r="J613" s="18">
        <v>0</v>
      </c>
      <c r="K613" s="18">
        <v>0</v>
      </c>
      <c r="L613" s="69">
        <f>SUM(F613:K613)</f>
        <v>0</v>
      </c>
      <c r="M613" s="8"/>
      <c r="N613" s="165"/>
    </row>
    <row r="614" spans="1:14" s="3" customFormat="1" ht="12.2" customHeight="1" thickBot="1" x14ac:dyDescent="0.2">
      <c r="A614" s="21" t="s">
        <v>645</v>
      </c>
      <c r="B614" s="22">
        <v>23</v>
      </c>
      <c r="C614" s="22">
        <v>15</v>
      </c>
      <c r="D614" s="2" t="s">
        <v>432</v>
      </c>
      <c r="E614" s="22"/>
      <c r="F614" s="18">
        <v>8400</v>
      </c>
      <c r="G614" s="18">
        <v>2430.4499999999998</v>
      </c>
      <c r="H614" s="18">
        <v>0</v>
      </c>
      <c r="I614" s="18">
        <v>0</v>
      </c>
      <c r="J614" s="18">
        <v>0</v>
      </c>
      <c r="K614" s="18">
        <v>0</v>
      </c>
      <c r="L614" s="69">
        <f>SUM(F614:K614)</f>
        <v>10830.45</v>
      </c>
      <c r="M614" s="8"/>
      <c r="N614" s="165"/>
    </row>
    <row r="615" spans="1:14" s="3" customFormat="1" ht="12.2" customHeight="1" thickTop="1" x14ac:dyDescent="0.15">
      <c r="A615" s="75" t="s">
        <v>340</v>
      </c>
      <c r="B615" s="41">
        <v>23</v>
      </c>
      <c r="C615" s="41">
        <v>16</v>
      </c>
      <c r="D615" s="36" t="s">
        <v>432</v>
      </c>
      <c r="E615" s="41"/>
      <c r="F615" s="81">
        <f t="shared" ref="F615:L615" si="52">SUM(F612:F614)</f>
        <v>8400</v>
      </c>
      <c r="G615" s="81">
        <f t="shared" si="52"/>
        <v>2430.4499999999998</v>
      </c>
      <c r="H615" s="81">
        <f t="shared" si="52"/>
        <v>0</v>
      </c>
      <c r="I615" s="81">
        <f t="shared" si="52"/>
        <v>0</v>
      </c>
      <c r="J615" s="81">
        <f t="shared" si="52"/>
        <v>0</v>
      </c>
      <c r="K615" s="81">
        <f t="shared" si="52"/>
        <v>0</v>
      </c>
      <c r="L615" s="70">
        <f t="shared" si="52"/>
        <v>10830.45</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5431548.7299999995</v>
      </c>
      <c r="H618" s="80">
        <f>SUM(F52)</f>
        <v>5431548.7300000004</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1492735.03</v>
      </c>
      <c r="H619" s="80">
        <f>SUM(G52)</f>
        <v>1492735.03</v>
      </c>
      <c r="I619" s="87" t="s">
        <v>875</v>
      </c>
      <c r="J619" s="80">
        <f>G619-H619</f>
        <v>0</v>
      </c>
      <c r="K619" s="80"/>
      <c r="L619" s="80"/>
      <c r="M619" s="8"/>
    </row>
    <row r="620" spans="1:14" s="3" customFormat="1" ht="12.2" customHeight="1" x14ac:dyDescent="0.15">
      <c r="A620" s="74"/>
      <c r="B620" s="22"/>
      <c r="C620" s="22"/>
      <c r="D620" s="22"/>
      <c r="E620" s="22"/>
      <c r="F620" s="87" t="s">
        <v>685</v>
      </c>
      <c r="G620" s="80">
        <f>SUM(H19)</f>
        <v>755264.61</v>
      </c>
      <c r="H620" s="80">
        <f>SUM(H52)</f>
        <v>755264.61</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1130731.9100000001</v>
      </c>
      <c r="H622" s="80">
        <f>SUM(J52)</f>
        <v>1130731.9100000001</v>
      </c>
      <c r="I622" s="87" t="s">
        <v>878</v>
      </c>
      <c r="J622" s="80">
        <f>G622-H622</f>
        <v>0</v>
      </c>
      <c r="K622" s="80"/>
      <c r="L622" s="80"/>
      <c r="M622" s="8"/>
    </row>
    <row r="623" spans="1:14" s="3" customFormat="1" ht="12.2" customHeight="1" x14ac:dyDescent="0.15">
      <c r="A623" s="74"/>
      <c r="B623" s="22"/>
      <c r="C623" s="22"/>
      <c r="D623" s="22"/>
      <c r="E623" s="22"/>
      <c r="F623" s="87" t="s">
        <v>864</v>
      </c>
      <c r="G623" s="80">
        <f>F51</f>
        <v>1176819.94</v>
      </c>
      <c r="H623" s="80">
        <f>F477</f>
        <v>1176819.9399999939</v>
      </c>
      <c r="I623" s="87" t="s">
        <v>101</v>
      </c>
      <c r="J623" s="80">
        <f t="shared" ref="J623:J656" si="53">G623-H623</f>
        <v>6.0535967350006104E-9</v>
      </c>
      <c r="K623" s="80"/>
      <c r="L623" s="80"/>
      <c r="M623" s="8"/>
    </row>
    <row r="624" spans="1:14" s="3" customFormat="1" ht="12.2" customHeight="1" x14ac:dyDescent="0.15">
      <c r="A624" s="74"/>
      <c r="B624" s="22"/>
      <c r="C624" s="85"/>
      <c r="D624" s="85"/>
      <c r="E624" s="85"/>
      <c r="F624" s="85" t="s">
        <v>865</v>
      </c>
      <c r="G624" s="80">
        <f>G51</f>
        <v>481943.17</v>
      </c>
      <c r="H624" s="80">
        <f>G477</f>
        <v>481943.16999999993</v>
      </c>
      <c r="I624" s="87" t="s">
        <v>102</v>
      </c>
      <c r="J624" s="80">
        <f t="shared" si="53"/>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3"/>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3"/>
        <v>0</v>
      </c>
      <c r="K626" s="80"/>
      <c r="L626" s="80"/>
      <c r="M626" s="8"/>
    </row>
    <row r="627" spans="1:13" s="3" customFormat="1" ht="12.2" customHeight="1" x14ac:dyDescent="0.15">
      <c r="A627" s="21"/>
      <c r="B627" s="22"/>
      <c r="C627" s="22"/>
      <c r="D627" s="22"/>
      <c r="E627" s="22"/>
      <c r="F627" s="86" t="s">
        <v>868</v>
      </c>
      <c r="G627" s="80">
        <f>J51</f>
        <v>1130731.9100000001</v>
      </c>
      <c r="H627" s="80">
        <f>J477</f>
        <v>1130731.9100000001</v>
      </c>
      <c r="I627" s="87" t="s">
        <v>105</v>
      </c>
      <c r="J627" s="80">
        <f t="shared" si="53"/>
        <v>0</v>
      </c>
      <c r="K627" s="67"/>
      <c r="L627" s="69"/>
      <c r="M627" s="8"/>
    </row>
    <row r="628" spans="1:13" s="3" customFormat="1" ht="12.2" customHeight="1" x14ac:dyDescent="0.15">
      <c r="A628" s="21"/>
      <c r="B628" s="22"/>
      <c r="C628" s="22"/>
      <c r="D628" s="22"/>
      <c r="E628" s="22"/>
      <c r="F628" s="86" t="s">
        <v>658</v>
      </c>
      <c r="G628" s="80">
        <f>F194</f>
        <v>31657808.569999997</v>
      </c>
      <c r="H628" s="80">
        <f>SUM(F469)</f>
        <v>31657808.569999997</v>
      </c>
      <c r="I628" s="87" t="s">
        <v>106</v>
      </c>
      <c r="J628" s="80">
        <f>G628-H628</f>
        <v>0</v>
      </c>
      <c r="K628" s="67"/>
      <c r="L628" s="69"/>
      <c r="M628" s="8"/>
    </row>
    <row r="629" spans="1:13" s="3" customFormat="1" ht="12.2" customHeight="1" x14ac:dyDescent="0.15">
      <c r="A629" s="21"/>
      <c r="B629" s="22"/>
      <c r="C629" s="22"/>
      <c r="D629" s="22"/>
      <c r="E629" s="22"/>
      <c r="F629" s="86" t="s">
        <v>659</v>
      </c>
      <c r="G629" s="80">
        <f>G194</f>
        <v>874930.92999999993</v>
      </c>
      <c r="H629" s="80">
        <f>SUM(G469)</f>
        <v>874930.92999999993</v>
      </c>
      <c r="I629" s="87" t="s">
        <v>107</v>
      </c>
      <c r="J629" s="80">
        <f>G629-H629</f>
        <v>0</v>
      </c>
      <c r="K629" s="67"/>
      <c r="L629" s="69"/>
      <c r="M629" s="8"/>
    </row>
    <row r="630" spans="1:13" s="3" customFormat="1" ht="12.2" customHeight="1" x14ac:dyDescent="0.15">
      <c r="A630" s="21"/>
      <c r="B630" s="22"/>
      <c r="C630" s="22"/>
      <c r="D630" s="22"/>
      <c r="E630" s="22"/>
      <c r="F630" s="86" t="s">
        <v>660</v>
      </c>
      <c r="G630" s="80">
        <f>H194</f>
        <v>680324.9</v>
      </c>
      <c r="H630" s="80">
        <f>SUM(H469)</f>
        <v>680324.9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516136.9</v>
      </c>
      <c r="H632" s="80">
        <f>SUM(J469)</f>
        <v>516136.9</v>
      </c>
      <c r="I632" s="87" t="s">
        <v>110</v>
      </c>
      <c r="J632" s="80">
        <f>G632-H632</f>
        <v>0</v>
      </c>
      <c r="K632" s="67"/>
      <c r="L632" s="69"/>
      <c r="M632" s="8"/>
    </row>
    <row r="633" spans="1:13" s="3" customFormat="1" ht="12.2" customHeight="1" x14ac:dyDescent="0.15">
      <c r="A633" s="21"/>
      <c r="B633" s="22"/>
      <c r="C633" s="22"/>
      <c r="D633" s="22"/>
      <c r="E633" s="22"/>
      <c r="F633" s="86" t="s">
        <v>394</v>
      </c>
      <c r="G633" s="80">
        <f>SUM(L272)</f>
        <v>31585490.200000003</v>
      </c>
      <c r="H633" s="80">
        <f>SUM(F473)</f>
        <v>31585490.200000003</v>
      </c>
      <c r="I633" s="87" t="s">
        <v>111</v>
      </c>
      <c r="J633" s="80">
        <f t="shared" si="53"/>
        <v>0</v>
      </c>
      <c r="K633" s="67"/>
      <c r="L633" s="69"/>
      <c r="M633" s="8"/>
    </row>
    <row r="634" spans="1:13" s="3" customFormat="1" ht="12.2" customHeight="1" x14ac:dyDescent="0.15">
      <c r="A634" s="21"/>
      <c r="B634" s="22"/>
      <c r="C634" s="22"/>
      <c r="D634" s="22"/>
      <c r="E634" s="22"/>
      <c r="F634" s="86" t="s">
        <v>395</v>
      </c>
      <c r="G634" s="80">
        <f>SUM(L353)</f>
        <v>680324.89999999991</v>
      </c>
      <c r="H634" s="80">
        <f>SUM(H473)</f>
        <v>680324.89999999991</v>
      </c>
      <c r="I634" s="87" t="s">
        <v>112</v>
      </c>
      <c r="J634" s="80">
        <f>G634-H634</f>
        <v>0</v>
      </c>
      <c r="K634" s="67"/>
      <c r="L634" s="69"/>
      <c r="M634" s="8"/>
    </row>
    <row r="635" spans="1:13" s="124" customFormat="1" ht="12.2" customHeight="1" x14ac:dyDescent="0.15">
      <c r="A635" s="21"/>
      <c r="B635" s="22"/>
      <c r="C635" s="22"/>
      <c r="D635" s="22"/>
      <c r="E635" s="22"/>
      <c r="F635" s="99" t="s">
        <v>247</v>
      </c>
      <c r="G635" s="80">
        <f>I363</f>
        <v>401614.8</v>
      </c>
      <c r="H635" s="80">
        <f>I370</f>
        <v>401614.8</v>
      </c>
      <c r="I635" s="100" t="s">
        <v>248</v>
      </c>
      <c r="J635" s="80">
        <f>G635-H635</f>
        <v>0</v>
      </c>
      <c r="K635" s="67"/>
      <c r="L635" s="69"/>
      <c r="M635" s="123"/>
    </row>
    <row r="636" spans="1:13" s="124" customFormat="1" ht="12.2" customHeight="1" x14ac:dyDescent="0.15">
      <c r="A636" s="21"/>
      <c r="B636" s="22"/>
      <c r="C636" s="22"/>
      <c r="D636" s="22"/>
      <c r="E636" s="22"/>
      <c r="F636" s="86" t="s">
        <v>113</v>
      </c>
      <c r="G636" s="80">
        <f>SUM(L363)</f>
        <v>952159.39999999991</v>
      </c>
      <c r="H636" s="80">
        <f>SUM(G473)</f>
        <v>952159.39999999991</v>
      </c>
      <c r="I636" s="87" t="s">
        <v>114</v>
      </c>
      <c r="J636" s="80">
        <f t="shared" si="53"/>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3"/>
        <v>0</v>
      </c>
      <c r="K637" s="67"/>
      <c r="L637" s="69"/>
      <c r="M637" s="8"/>
    </row>
    <row r="638" spans="1:13" s="3" customFormat="1" ht="12.2" customHeight="1" x14ac:dyDescent="0.15">
      <c r="A638" s="117"/>
      <c r="B638" s="118"/>
      <c r="C638" s="118"/>
      <c r="D638" s="118"/>
      <c r="E638" s="118"/>
      <c r="F638" s="119" t="s">
        <v>477</v>
      </c>
      <c r="G638" s="108">
        <f>SUM(L409)</f>
        <v>516136.9</v>
      </c>
      <c r="H638" s="108">
        <f>SUM(J469)</f>
        <v>516136.9</v>
      </c>
      <c r="I638" s="120" t="s">
        <v>110</v>
      </c>
      <c r="J638" s="108">
        <f t="shared" si="53"/>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3"/>
        <v>0</v>
      </c>
      <c r="K639" s="121"/>
      <c r="L639" s="122"/>
      <c r="M639" s="8"/>
    </row>
    <row r="640" spans="1:13" s="3" customFormat="1" ht="12.2" customHeight="1" x14ac:dyDescent="0.15">
      <c r="A640" s="21"/>
      <c r="B640" s="22"/>
      <c r="C640" s="22"/>
      <c r="D640" s="22"/>
      <c r="E640" s="22"/>
      <c r="F640" s="86" t="s">
        <v>118</v>
      </c>
      <c r="G640" s="80">
        <f>SUM(F447)</f>
        <v>1130731.9100000001</v>
      </c>
      <c r="H640" s="80">
        <f>SUM(F462)</f>
        <v>1130731.9100000001</v>
      </c>
      <c r="I640" s="87" t="s">
        <v>840</v>
      </c>
      <c r="J640" s="80">
        <f t="shared" si="53"/>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3"/>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3"/>
        <v>0</v>
      </c>
      <c r="K642" s="67"/>
      <c r="L642" s="69"/>
      <c r="M642" s="8"/>
    </row>
    <row r="643" spans="1:13" s="3" customFormat="1" ht="12.2" customHeight="1" x14ac:dyDescent="0.15">
      <c r="A643" s="21"/>
      <c r="B643" s="22"/>
      <c r="C643" s="22"/>
      <c r="D643" s="22"/>
      <c r="E643" s="22"/>
      <c r="F643" s="86" t="s">
        <v>121</v>
      </c>
      <c r="G643" s="80">
        <f>SUM(I447)</f>
        <v>1130731.9100000001</v>
      </c>
      <c r="H643" s="80">
        <f>SUM(I462)</f>
        <v>1130731.9100000001</v>
      </c>
      <c r="I643" s="87" t="s">
        <v>843</v>
      </c>
      <c r="J643" s="80">
        <f t="shared" si="53"/>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3"/>
        <v>0</v>
      </c>
      <c r="K644" s="67"/>
      <c r="L644" s="69"/>
      <c r="M644" s="8"/>
    </row>
    <row r="645" spans="1:13" s="3" customFormat="1" ht="12.2" customHeight="1" x14ac:dyDescent="0.15">
      <c r="A645" s="21"/>
      <c r="B645" s="22"/>
      <c r="C645" s="22"/>
      <c r="D645" s="22"/>
      <c r="E645" s="22"/>
      <c r="F645" s="86" t="s">
        <v>663</v>
      </c>
      <c r="G645" s="80">
        <f>J96</f>
        <v>-106828.1</v>
      </c>
      <c r="H645" s="80">
        <f>H409</f>
        <v>-106828.1</v>
      </c>
      <c r="I645" s="87" t="s">
        <v>480</v>
      </c>
      <c r="J645" s="80">
        <f t="shared" si="53"/>
        <v>0</v>
      </c>
      <c r="K645" s="67"/>
      <c r="L645" s="69"/>
      <c r="M645" s="8"/>
    </row>
    <row r="646" spans="1:13" s="3" customFormat="1" ht="12.2" customHeight="1" x14ac:dyDescent="0.15">
      <c r="A646" s="21"/>
      <c r="B646" s="22"/>
      <c r="C646" s="22"/>
      <c r="D646" s="22"/>
      <c r="E646" s="22"/>
      <c r="F646" s="86" t="s">
        <v>664</v>
      </c>
      <c r="G646" s="80">
        <f>J184</f>
        <v>622965</v>
      </c>
      <c r="H646" s="80">
        <f>G409</f>
        <v>622965</v>
      </c>
      <c r="I646" s="87" t="s">
        <v>481</v>
      </c>
      <c r="J646" s="80">
        <f t="shared" si="53"/>
        <v>0</v>
      </c>
      <c r="K646" s="67"/>
      <c r="L646" s="69"/>
      <c r="M646" s="8"/>
    </row>
    <row r="647" spans="1:13" s="3" customFormat="1" ht="12.2" customHeight="1" x14ac:dyDescent="0.15">
      <c r="A647" s="21"/>
      <c r="B647" s="22"/>
      <c r="C647" s="22"/>
      <c r="D647" s="22"/>
      <c r="E647" s="22"/>
      <c r="F647" s="86" t="s">
        <v>662</v>
      </c>
      <c r="G647" s="80">
        <f>J194</f>
        <v>516136.9</v>
      </c>
      <c r="H647" s="80">
        <f>L409</f>
        <v>516136.9</v>
      </c>
      <c r="I647" s="87" t="s">
        <v>477</v>
      </c>
      <c r="J647" s="80">
        <f t="shared" si="53"/>
        <v>0</v>
      </c>
      <c r="K647" s="67"/>
      <c r="L647" s="69"/>
      <c r="M647" s="8"/>
    </row>
    <row r="648" spans="1:13" s="3" customFormat="1" ht="12.2" customHeight="1" x14ac:dyDescent="0.15">
      <c r="A648" s="21"/>
      <c r="B648" s="22"/>
      <c r="C648" s="22"/>
      <c r="D648" s="22"/>
      <c r="E648" s="22"/>
      <c r="F648" s="86" t="s">
        <v>51</v>
      </c>
      <c r="G648" s="80">
        <f>K599</f>
        <v>1257131.4900000002</v>
      </c>
      <c r="H648" s="80">
        <f>L209+L227+L245</f>
        <v>1257131.4899999998</v>
      </c>
      <c r="I648" s="87" t="s">
        <v>396</v>
      </c>
      <c r="J648" s="80">
        <f t="shared" si="53"/>
        <v>0</v>
      </c>
      <c r="K648" s="67"/>
      <c r="L648" s="69"/>
      <c r="M648" s="8"/>
    </row>
    <row r="649" spans="1:13" s="3" customFormat="1" ht="12.2" customHeight="1" x14ac:dyDescent="0.15">
      <c r="A649" s="21"/>
      <c r="B649" s="22"/>
      <c r="C649" s="22"/>
      <c r="D649" s="22"/>
      <c r="E649" s="22"/>
      <c r="F649" s="86" t="s">
        <v>52</v>
      </c>
      <c r="G649" s="80">
        <f>K606</f>
        <v>716165.62999999989</v>
      </c>
      <c r="H649" s="80">
        <f>(J258+J339)-(J256+J337)</f>
        <v>716165.63</v>
      </c>
      <c r="I649" s="87" t="s">
        <v>699</v>
      </c>
      <c r="J649" s="80">
        <f t="shared" si="53"/>
        <v>0</v>
      </c>
      <c r="K649" s="67"/>
      <c r="L649" s="69"/>
      <c r="M649" s="8"/>
    </row>
    <row r="650" spans="1:13" s="3" customFormat="1" ht="12.2" customHeight="1" x14ac:dyDescent="0.15">
      <c r="A650" s="21"/>
      <c r="B650" s="22"/>
      <c r="C650" s="22"/>
      <c r="D650" s="22"/>
      <c r="E650" s="22"/>
      <c r="F650" s="86" t="s">
        <v>387</v>
      </c>
      <c r="G650" s="80">
        <f>L209</f>
        <v>487191.81999999989</v>
      </c>
      <c r="H650" s="80">
        <f>H599</f>
        <v>487191.82000000007</v>
      </c>
      <c r="I650" s="87" t="s">
        <v>388</v>
      </c>
      <c r="J650" s="80">
        <f t="shared" si="53"/>
        <v>0</v>
      </c>
      <c r="K650" s="67"/>
      <c r="L650" s="69"/>
      <c r="M650" s="8"/>
    </row>
    <row r="651" spans="1:13" s="3" customFormat="1" ht="12.2" customHeight="1" x14ac:dyDescent="0.15">
      <c r="A651" s="21"/>
      <c r="B651" s="22"/>
      <c r="C651" s="22"/>
      <c r="D651" s="22"/>
      <c r="E651" s="22"/>
      <c r="F651" s="86" t="s">
        <v>392</v>
      </c>
      <c r="G651" s="80">
        <f>L227</f>
        <v>499961.99999999994</v>
      </c>
      <c r="H651" s="80">
        <f>I599</f>
        <v>499962</v>
      </c>
      <c r="I651" s="87" t="s">
        <v>389</v>
      </c>
      <c r="J651" s="80">
        <f t="shared" si="53"/>
        <v>0</v>
      </c>
      <c r="K651" s="67"/>
      <c r="L651" s="69"/>
      <c r="M651" s="8"/>
    </row>
    <row r="652" spans="1:13" s="3" customFormat="1" ht="12.2" customHeight="1" x14ac:dyDescent="0.15">
      <c r="A652" s="21"/>
      <c r="B652" s="22"/>
      <c r="C652" s="22"/>
      <c r="D652" s="22"/>
      <c r="E652" s="22"/>
      <c r="F652" s="86" t="s">
        <v>393</v>
      </c>
      <c r="G652" s="80">
        <f>L245</f>
        <v>269977.67000000004</v>
      </c>
      <c r="H652" s="80">
        <f>J599</f>
        <v>269977.67</v>
      </c>
      <c r="I652" s="87" t="s">
        <v>390</v>
      </c>
      <c r="J652" s="80">
        <f t="shared" si="53"/>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3"/>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3"/>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3"/>
        <v>0</v>
      </c>
      <c r="K655" s="67"/>
      <c r="L655" s="69"/>
      <c r="M655" s="8"/>
    </row>
    <row r="656" spans="1:13" s="3" customFormat="1" ht="12.2" customHeight="1" x14ac:dyDescent="0.15">
      <c r="A656" s="21"/>
      <c r="B656" s="22"/>
      <c r="C656" s="22"/>
      <c r="D656" s="22"/>
      <c r="E656" s="22"/>
      <c r="F656" s="86" t="s">
        <v>668</v>
      </c>
      <c r="G656" s="80">
        <f>J180+J182</f>
        <v>622965</v>
      </c>
      <c r="H656" s="80">
        <f>K267+K348</f>
        <v>622965</v>
      </c>
      <c r="I656" s="87" t="s">
        <v>400</v>
      </c>
      <c r="J656" s="80">
        <f t="shared" si="53"/>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9718890.6499999985</v>
      </c>
      <c r="G661" s="13">
        <f>(L230+L310+L360)</f>
        <v>9365240.5300000012</v>
      </c>
      <c r="H661" s="13">
        <f>(L248+L329+L361)</f>
        <v>13270378.320000004</v>
      </c>
      <c r="I661" s="13">
        <f>SUM(F661:H661)</f>
        <v>32354509.500000004</v>
      </c>
      <c r="J661" s="13"/>
      <c r="K661" s="13"/>
      <c r="L661" s="13"/>
      <c r="M661" s="9"/>
    </row>
    <row r="662" spans="1:13" s="3" customFormat="1" ht="12.2" customHeight="1" x14ac:dyDescent="0.2">
      <c r="A662" s="1" t="s">
        <v>127</v>
      </c>
      <c r="F662" s="13">
        <f>(L359/IF(SUM(L359:L361)=0,1,SUM(L359:L361))*(SUM(G97:G110)))</f>
        <v>173789.94168652748</v>
      </c>
      <c r="G662" s="13">
        <f>(L360/IF(SUM(L359:L361)=0,1,SUM(L359:L361))*(SUM(G97:G110)))</f>
        <v>224173.99834043666</v>
      </c>
      <c r="H662" s="13">
        <f>(L361/IF(SUM(L359:L361)=0,1,SUM(L359:L361))*(SUM(G97:G110)))</f>
        <v>247815.27997303582</v>
      </c>
      <c r="I662" s="13">
        <f>SUM(F662:H662)</f>
        <v>645779.22</v>
      </c>
      <c r="J662"/>
      <c r="K662" s="13"/>
      <c r="L662" s="13"/>
      <c r="M662" s="8"/>
    </row>
    <row r="663" spans="1:13" s="3" customFormat="1" ht="12.2" customHeight="1" x14ac:dyDescent="0.2">
      <c r="A663" s="1" t="s">
        <v>128</v>
      </c>
      <c r="F663" s="13">
        <f>(L209+L288)-(J209+J288)</f>
        <v>429014.89999999991</v>
      </c>
      <c r="G663" s="13">
        <f>(L227+L307)-(J227+J307)</f>
        <v>441785.07999999996</v>
      </c>
      <c r="H663" s="13">
        <f>(L245+L326)-(J245+J326)</f>
        <v>245769.55000000005</v>
      </c>
      <c r="I663" s="13">
        <f>SUM(F663:H663)</f>
        <v>1116569.5299999998</v>
      </c>
      <c r="J663"/>
      <c r="K663" s="13"/>
      <c r="L663" s="13"/>
      <c r="M663" s="9"/>
    </row>
    <row r="664" spans="1:13" s="3" customFormat="1" ht="12.2" customHeight="1" x14ac:dyDescent="0.15">
      <c r="A664" s="142" t="s">
        <v>129</v>
      </c>
      <c r="B664" s="124"/>
      <c r="C664" s="124"/>
      <c r="D664" s="124"/>
      <c r="E664" s="124"/>
      <c r="F664" s="143">
        <f>SUM(F576:F588)+SUM(H603:H605)+SUM(L612)</f>
        <v>207486.12</v>
      </c>
      <c r="G664" s="143">
        <f>SUM(G576:G588)+SUM(I603:I605)+L613</f>
        <v>272992.11</v>
      </c>
      <c r="H664" s="143">
        <f>SUM(H576:H588)+SUM(J603:J605)+L614</f>
        <v>1425526.2</v>
      </c>
      <c r="I664" s="13">
        <f>SUM(F664:H664)</f>
        <v>1906004.43</v>
      </c>
      <c r="J664" s="13"/>
      <c r="K664" s="13"/>
      <c r="L664" s="13"/>
      <c r="M664" s="9"/>
    </row>
    <row r="665" spans="1:13" s="3" customFormat="1" ht="12.2" customHeight="1" x14ac:dyDescent="0.15">
      <c r="A665" s="1" t="s">
        <v>130</v>
      </c>
      <c r="F665" s="13">
        <f>F661-SUM(F662:F664)</f>
        <v>8908599.6883134712</v>
      </c>
      <c r="G665" s="13">
        <f>G661-SUM(G662:G664)</f>
        <v>8426289.3416595645</v>
      </c>
      <c r="H665" s="13">
        <f>H661-SUM(H662:H664)</f>
        <v>11351267.290026968</v>
      </c>
      <c r="I665" s="13">
        <f>I661-SUM(I662:I664)</f>
        <v>28686156.320000004</v>
      </c>
      <c r="J665" s="13"/>
      <c r="K665" s="13"/>
      <c r="L665" s="13"/>
      <c r="M665" s="8"/>
    </row>
    <row r="666" spans="1:13" s="3" customFormat="1" ht="12.2" customHeight="1" x14ac:dyDescent="0.2">
      <c r="A666" s="1" t="s">
        <v>131</v>
      </c>
      <c r="F666" s="183">
        <v>538.87</v>
      </c>
      <c r="G666" s="184">
        <v>528.05999999999995</v>
      </c>
      <c r="H666" s="184">
        <v>604.82000000000005</v>
      </c>
      <c r="I666" s="13">
        <f>SUM(F666:H666)</f>
        <v>1671.75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16532</v>
      </c>
      <c r="G668" s="13">
        <f>ROUND(G665/G666,2)</f>
        <v>15957.07</v>
      </c>
      <c r="H668" s="13">
        <f>ROUND(H665/H666,2)</f>
        <v>18768.009999999998</v>
      </c>
      <c r="I668" s="13">
        <f>ROUND(I665/I666,2)</f>
        <v>17159.36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4">IF(AND(F666=0,F665&gt;0),F665*-1,"")</f>
        <v/>
      </c>
      <c r="G670" s="73" t="str">
        <f t="shared" si="54"/>
        <v/>
      </c>
      <c r="H670" s="73" t="str">
        <f t="shared" si="54"/>
        <v/>
      </c>
      <c r="I670" s="13">
        <f>SUM(F670:H670)</f>
        <v>0</v>
      </c>
      <c r="J670" s="13"/>
      <c r="K670" s="13"/>
      <c r="L670" s="13"/>
      <c r="M670" s="9"/>
    </row>
    <row r="671" spans="1:13" s="3" customFormat="1" ht="12.2" customHeight="1" x14ac:dyDescent="0.15">
      <c r="A671" s="1" t="s">
        <v>135</v>
      </c>
      <c r="F671" s="18"/>
      <c r="G671" s="18"/>
      <c r="H671" s="18">
        <v>-29.17</v>
      </c>
      <c r="I671" s="13">
        <f>SUM(F671:H671)</f>
        <v>-29.17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16532</v>
      </c>
      <c r="G673" s="13">
        <f>ROUND((G665+G670)/(G666+G671),2)</f>
        <v>15957.07</v>
      </c>
      <c r="H673" s="13">
        <f>ROUND((H665+H670)/(H666+H671),2)</f>
        <v>19719.04</v>
      </c>
      <c r="I673" s="13">
        <f>ROUND((I665+I670)/(I666+I671),2)</f>
        <v>17464.080000000002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1" sqref="E21"/>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64088.909999999996</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27947.36+11941.73</f>
        <v>39889.089999999997</v>
      </c>
      <c r="F9" s="272" t="s">
        <v>1627</v>
      </c>
    </row>
    <row r="10" spans="2:8" x14ac:dyDescent="0.25">
      <c r="B10" s="271"/>
      <c r="C10" s="271"/>
      <c r="D10" s="271"/>
      <c r="E10" s="271"/>
      <c r="F10" s="271"/>
    </row>
    <row r="11" spans="2:8" x14ac:dyDescent="0.25">
      <c r="B11" s="271"/>
      <c r="C11" s="275" t="s">
        <v>1631</v>
      </c>
      <c r="D11" s="272" t="s">
        <v>1634</v>
      </c>
      <c r="E11" s="260">
        <v>0</v>
      </c>
      <c r="F11" s="272" t="s">
        <v>1628</v>
      </c>
    </row>
    <row r="12" spans="2:8" x14ac:dyDescent="0.25">
      <c r="B12" s="271"/>
      <c r="C12" s="271"/>
      <c r="D12" s="272"/>
      <c r="E12" s="271"/>
      <c r="F12" s="271"/>
    </row>
    <row r="13" spans="2:8" x14ac:dyDescent="0.25">
      <c r="B13" s="271"/>
      <c r="C13" s="272" t="s">
        <v>1621</v>
      </c>
      <c r="D13" s="272" t="s">
        <v>1635</v>
      </c>
      <c r="E13" s="260">
        <f>7901.81+16298.01</f>
        <v>24199.82</v>
      </c>
      <c r="F13" s="272" t="s">
        <v>1629</v>
      </c>
    </row>
    <row r="14" spans="2:8" x14ac:dyDescent="0.25">
      <c r="B14" s="271"/>
      <c r="C14" s="271"/>
      <c r="D14" s="272"/>
      <c r="E14" s="271"/>
      <c r="F14" s="271"/>
    </row>
    <row r="15" spans="2:8" x14ac:dyDescent="0.25">
      <c r="B15" s="271"/>
      <c r="C15" s="272" t="s">
        <v>1623</v>
      </c>
      <c r="D15" s="272" t="s">
        <v>1636</v>
      </c>
      <c r="E15" s="260">
        <v>0</v>
      </c>
      <c r="F15" s="272" t="s">
        <v>1630</v>
      </c>
    </row>
    <row r="16" spans="2:8" x14ac:dyDescent="0.25">
      <c r="B16" s="271"/>
      <c r="C16" s="271"/>
      <c r="D16" s="271"/>
      <c r="E16" s="271"/>
      <c r="F16" s="271"/>
    </row>
    <row r="17" spans="2:8" x14ac:dyDescent="0.25">
      <c r="B17" s="271"/>
      <c r="C17" s="272" t="s">
        <v>1622</v>
      </c>
      <c r="D17" s="272" t="s">
        <v>1637</v>
      </c>
      <c r="E17" s="260">
        <v>0</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0</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I36"/>
  <sheetViews>
    <sheetView topLeftCell="A2"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Bow</v>
      </c>
      <c r="C5" s="317"/>
      <c r="D5" s="317"/>
      <c r="E5" s="317"/>
      <c r="F5" s="317"/>
    </row>
    <row r="8" spans="1:9" ht="18" x14ac:dyDescent="0.25">
      <c r="A8" s="240" t="s">
        <v>1560</v>
      </c>
      <c r="F8" s="247" t="s">
        <v>1578</v>
      </c>
    </row>
    <row r="9" spans="1:9" ht="15" x14ac:dyDescent="0.2">
      <c r="A9" s="238" t="s">
        <v>1561</v>
      </c>
      <c r="B9" s="241">
        <f>'DOE25'!G97</f>
        <v>634278.94999999995</v>
      </c>
      <c r="F9" s="238" t="s">
        <v>1574</v>
      </c>
    </row>
    <row r="10" spans="1:9" ht="15" x14ac:dyDescent="0.2">
      <c r="A10" s="238" t="s">
        <v>1562</v>
      </c>
      <c r="B10" s="241">
        <f>'DOE25'!G112-'DOE25'!G97</f>
        <v>11500.270000000019</v>
      </c>
      <c r="F10" s="238" t="s">
        <v>1575</v>
      </c>
    </row>
    <row r="11" spans="1:9" ht="15" x14ac:dyDescent="0.2">
      <c r="A11" s="238" t="s">
        <v>1563</v>
      </c>
      <c r="B11" s="241">
        <f>'DOE25'!G140</f>
        <v>9045.74</v>
      </c>
      <c r="F11" s="238" t="s">
        <v>1576</v>
      </c>
    </row>
    <row r="12" spans="1:9" ht="15" x14ac:dyDescent="0.2">
      <c r="A12" s="238" t="s">
        <v>1564</v>
      </c>
      <c r="B12" s="241">
        <f>'DOE25'!G170</f>
        <v>220105.97</v>
      </c>
      <c r="F12" s="238" t="s">
        <v>1577</v>
      </c>
    </row>
    <row r="13" spans="1:9" ht="15" x14ac:dyDescent="0.2">
      <c r="A13" s="238" t="s">
        <v>1565</v>
      </c>
      <c r="B13" s="241">
        <f>'DOE25'!G193-'DOE25'!G180</f>
        <v>0</v>
      </c>
      <c r="F13" s="238" t="s">
        <v>1587</v>
      </c>
    </row>
    <row r="14" spans="1:9" ht="18" x14ac:dyDescent="0.25">
      <c r="A14" s="240" t="s">
        <v>732</v>
      </c>
      <c r="B14" s="242">
        <f>SUM(B9:B13)</f>
        <v>874930.92999999993</v>
      </c>
    </row>
    <row r="16" spans="1:9" ht="18" x14ac:dyDescent="0.25">
      <c r="A16" s="240" t="s">
        <v>786</v>
      </c>
      <c r="F16" s="247" t="s">
        <v>1579</v>
      </c>
    </row>
    <row r="17" spans="1:6" ht="15" x14ac:dyDescent="0.2">
      <c r="A17" s="238" t="s">
        <v>1566</v>
      </c>
      <c r="B17" s="241">
        <f>'DOE25'!L363-'DOE25'!L362</f>
        <v>952159.39999999991</v>
      </c>
      <c r="F17" s="238" t="s">
        <v>1580</v>
      </c>
    </row>
    <row r="18" spans="1:6" ht="15" x14ac:dyDescent="0.2">
      <c r="A18" s="238" t="s">
        <v>1567</v>
      </c>
      <c r="B18" s="251">
        <v>0</v>
      </c>
      <c r="F18" s="247" t="s">
        <v>1604</v>
      </c>
    </row>
    <row r="19" spans="1:6" ht="18" x14ac:dyDescent="0.25">
      <c r="A19" s="240" t="s">
        <v>725</v>
      </c>
      <c r="B19" s="242">
        <f>SUM(B17:B18)</f>
        <v>952159.39999999991</v>
      </c>
    </row>
    <row r="21" spans="1:6" ht="18.75" thickBot="1" x14ac:dyDescent="0.3">
      <c r="A21" s="240" t="s">
        <v>1568</v>
      </c>
    </row>
    <row r="22" spans="1:6" ht="18.75" thickTop="1" x14ac:dyDescent="0.25">
      <c r="A22" s="240" t="s">
        <v>1569</v>
      </c>
      <c r="B22" s="246">
        <f>B14-B19</f>
        <v>-77228.469999999972</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559171.64</v>
      </c>
      <c r="F31" s="238" t="s">
        <v>1584</v>
      </c>
    </row>
    <row r="33" spans="1:6" ht="15" x14ac:dyDescent="0.2">
      <c r="A33" s="238" t="s">
        <v>1798</v>
      </c>
      <c r="B33" s="241">
        <f>'DOE25'!G477</f>
        <v>481943.16999999993</v>
      </c>
      <c r="F33" s="238" t="s">
        <v>1585</v>
      </c>
    </row>
    <row r="36" spans="1:6" ht="15" x14ac:dyDescent="0.2">
      <c r="A36" s="238" t="s">
        <v>1571</v>
      </c>
      <c r="B36" s="252">
        <v>47088.44</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scale="93"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Bow</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8631905.3699999992</v>
      </c>
      <c r="C9" s="167">
        <f>'DOE25'!G198+'DOE25'!G216+'DOE25'!G234+'DOE25'!G277+'DOE25'!G296+'DOE25'!G315</f>
        <v>4320402.71</v>
      </c>
    </row>
    <row r="10" spans="1:3" x14ac:dyDescent="0.2">
      <c r="A10" t="s">
        <v>775</v>
      </c>
      <c r="B10" s="177">
        <f>B9-B11-B12</f>
        <v>8160503.3699999992</v>
      </c>
      <c r="C10" s="177">
        <f>C9-C11-C12</f>
        <v>4121437.61</v>
      </c>
    </row>
    <row r="11" spans="1:3" x14ac:dyDescent="0.2">
      <c r="A11" t="s">
        <v>776</v>
      </c>
      <c r="B11" s="177">
        <f>24930.04+27806.58+51489.98</f>
        <v>104226.6</v>
      </c>
      <c r="C11" s="177">
        <f>15706.08+6134.32+56613.92</f>
        <v>78454.320000000007</v>
      </c>
    </row>
    <row r="12" spans="1:3" x14ac:dyDescent="0.2">
      <c r="A12" t="s">
        <v>777</v>
      </c>
      <c r="B12" s="177">
        <f>37889.58*3+100756.66+152750</f>
        <v>367175.4</v>
      </c>
      <c r="C12" s="177">
        <f>17459.33*3+56037.54+12095.25</f>
        <v>120510.78</v>
      </c>
    </row>
    <row r="13" spans="1:3" x14ac:dyDescent="0.2">
      <c r="A13" t="str">
        <f>IF(B9=B13,IF(C9=C13,"Check Total OK","Check Total Error"),"Check Total Error")</f>
        <v>Check Total OK</v>
      </c>
      <c r="B13" s="169">
        <f>SUM(B10:B12)</f>
        <v>8631905.3699999992</v>
      </c>
      <c r="C13" s="169">
        <f>SUM(C10:C12)</f>
        <v>4320402.71</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3244831.7199999997</v>
      </c>
      <c r="C18" s="167">
        <f>'DOE25'!G199+'DOE25'!G217+'DOE25'!G235+'DOE25'!G278+'DOE25'!G297+'DOE25'!G316</f>
        <v>1672551.0299999998</v>
      </c>
    </row>
    <row r="19" spans="1:3" x14ac:dyDescent="0.2">
      <c r="A19" t="s">
        <v>775</v>
      </c>
      <c r="B19" s="177">
        <f>85623+55915+60474+80673+85623+81173-81601.9+49707+70708+58150+74262+78017+72834+80873+77973+80313+72136</f>
        <v>1082852.1000000001</v>
      </c>
      <c r="C19" s="177">
        <v>655813.56000000006</v>
      </c>
    </row>
    <row r="20" spans="1:3" x14ac:dyDescent="0.2">
      <c r="A20" t="s">
        <v>776</v>
      </c>
      <c r="B20" s="177">
        <f>514214.6+405634.14+369193.44</f>
        <v>1289042.18</v>
      </c>
      <c r="C20" s="177">
        <f>214219.28+205226.99+209853.46</f>
        <v>629299.73</v>
      </c>
    </row>
    <row r="21" spans="1:3" x14ac:dyDescent="0.2">
      <c r="A21" t="s">
        <v>777</v>
      </c>
      <c r="B21" s="177">
        <f>B18-B19-B20</f>
        <v>872937.43999999971</v>
      </c>
      <c r="C21" s="177">
        <f>C18-C19-C20</f>
        <v>387437.73999999976</v>
      </c>
    </row>
    <row r="22" spans="1:3" x14ac:dyDescent="0.2">
      <c r="A22" t="str">
        <f>IF(B18=B22,IF(C18=C22,"Check Total OK","Check Total Error"),"Check Total Error")</f>
        <v>Check Total OK</v>
      </c>
      <c r="B22" s="169">
        <f>SUM(B19:B21)</f>
        <v>3244831.7199999997</v>
      </c>
      <c r="C22" s="169">
        <f>SUM(C19:C21)</f>
        <v>1672551.0299999998</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v>0</v>
      </c>
      <c r="C28" s="177">
        <v>0</v>
      </c>
    </row>
    <row r="29" spans="1:3" x14ac:dyDescent="0.2">
      <c r="A29" t="s">
        <v>776</v>
      </c>
      <c r="B29" s="177">
        <v>0</v>
      </c>
      <c r="C29" s="177">
        <v>0</v>
      </c>
    </row>
    <row r="30" spans="1:3" x14ac:dyDescent="0.2">
      <c r="A30" t="s">
        <v>777</v>
      </c>
      <c r="B30" s="177">
        <v>0</v>
      </c>
      <c r="C30" s="177">
        <v>0</v>
      </c>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389697.25</v>
      </c>
      <c r="C36" s="173">
        <f>'DOE25'!G201+'DOE25'!G219+'DOE25'!G237+'DOE25'!G280+'DOE25'!G299+'DOE25'!G318</f>
        <v>135500.25</v>
      </c>
    </row>
    <row r="37" spans="1:3" x14ac:dyDescent="0.2">
      <c r="A37" t="s">
        <v>775</v>
      </c>
      <c r="B37" s="177">
        <f>B36-B38-B39</f>
        <v>201849.78999999998</v>
      </c>
      <c r="C37" s="177">
        <f>C36-C38-C39</f>
        <v>54416.854999999996</v>
      </c>
    </row>
    <row r="38" spans="1:3" x14ac:dyDescent="0.2">
      <c r="A38" t="s">
        <v>776</v>
      </c>
      <c r="B38" s="177">
        <v>101321.28</v>
      </c>
      <c r="C38" s="177">
        <f>C36*0.26</f>
        <v>35230.065000000002</v>
      </c>
    </row>
    <row r="39" spans="1:3" x14ac:dyDescent="0.2">
      <c r="A39" t="s">
        <v>777</v>
      </c>
      <c r="B39" s="177">
        <v>86526.18</v>
      </c>
      <c r="C39" s="177">
        <v>45853.33</v>
      </c>
    </row>
    <row r="40" spans="1:3" x14ac:dyDescent="0.2">
      <c r="A40" t="str">
        <f>IF(B36=B40,IF(C36=C40,"Check Total OK","Check Total Error"),"Check Total Error")</f>
        <v>Check Total OK</v>
      </c>
      <c r="B40" s="169">
        <f>SUM(B37:B39)</f>
        <v>389697.24999999994</v>
      </c>
      <c r="C40" s="169">
        <f>SUM(C37:C39)</f>
        <v>135500.25</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Bow</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20227288.16</v>
      </c>
      <c r="D5" s="19">
        <f>SUM('DOE25'!L198:L201)+SUM('DOE25'!L216:L219)+SUM('DOE25'!L234:L237)-F5-G5-H5</f>
        <v>20061847.300000001</v>
      </c>
      <c r="E5" s="180"/>
      <c r="F5" s="181">
        <v>0</v>
      </c>
      <c r="G5" s="19">
        <f>SUM('DOE25'!J198:J201)+SUM('DOE25'!J216:J219)+SUM('DOE25'!J234:J237)</f>
        <v>122750.7</v>
      </c>
      <c r="H5" s="19">
        <f>SUM('DOE25'!K198:K201)+SUM('DOE25'!K216:K219)+SUM('DOE25'!K234:K237)</f>
        <v>42690.16</v>
      </c>
      <c r="I5" s="192"/>
    </row>
    <row r="6" spans="1:9" x14ac:dyDescent="0.2">
      <c r="A6" s="31">
        <v>2100</v>
      </c>
      <c r="B6" t="s">
        <v>796</v>
      </c>
      <c r="C6" s="206">
        <f t="shared" si="0"/>
        <v>2723913.89</v>
      </c>
      <c r="D6" s="19">
        <f>'DOE25'!L203+'DOE25'!L221+'DOE25'!L239-F6-G6-H6</f>
        <v>2652147.1100000003</v>
      </c>
      <c r="E6" s="180"/>
      <c r="F6" s="181">
        <f>45115.18-25000+70867.8-25000</f>
        <v>65982.98000000001</v>
      </c>
      <c r="G6" s="19">
        <f>'DOE25'!J203+'DOE25'!J221+'DOE25'!J239</f>
        <v>1813.8</v>
      </c>
      <c r="H6" s="19">
        <f>'DOE25'!K203+'DOE25'!K221+'DOE25'!K239</f>
        <v>3970</v>
      </c>
      <c r="I6" s="192"/>
    </row>
    <row r="7" spans="1:9" x14ac:dyDescent="0.2">
      <c r="A7" s="31">
        <v>2200</v>
      </c>
      <c r="B7" t="s">
        <v>820</v>
      </c>
      <c r="C7" s="206">
        <f t="shared" si="0"/>
        <v>1377660.19</v>
      </c>
      <c r="D7" s="19">
        <f>'DOE25'!L204+'DOE25'!L222+'DOE25'!L240-F7-G7-H7</f>
        <v>1070885.94</v>
      </c>
      <c r="E7" s="180"/>
      <c r="F7" s="181">
        <v>0</v>
      </c>
      <c r="G7" s="19">
        <f>'DOE25'!J204+'DOE25'!J222+'DOE25'!J240</f>
        <v>306532.25</v>
      </c>
      <c r="H7" s="19">
        <f>'DOE25'!K204+'DOE25'!K222+'DOE25'!K240</f>
        <v>242</v>
      </c>
      <c r="I7" s="192"/>
    </row>
    <row r="8" spans="1:9" x14ac:dyDescent="0.2">
      <c r="A8" s="31">
        <v>2300</v>
      </c>
      <c r="B8" t="s">
        <v>797</v>
      </c>
      <c r="C8" s="206">
        <f t="shared" si="0"/>
        <v>949497.65</v>
      </c>
      <c r="D8" s="180"/>
      <c r="E8" s="19">
        <f>'DOE25'!L205+'DOE25'!L223+'DOE25'!L241-F8-G8-H8-D9-D11</f>
        <v>829187.54</v>
      </c>
      <c r="F8" s="181">
        <v>0</v>
      </c>
      <c r="G8" s="19">
        <f>'DOE25'!J205+'DOE25'!J223+'DOE25'!J241</f>
        <v>0</v>
      </c>
      <c r="H8" s="19">
        <f>'DOE25'!K205+'DOE25'!K223+'DOE25'!K241</f>
        <v>120310.11</v>
      </c>
      <c r="I8" s="192"/>
    </row>
    <row r="9" spans="1:9" ht="14.25" x14ac:dyDescent="0.2">
      <c r="A9" s="31">
        <v>2310</v>
      </c>
      <c r="B9" s="71" t="s">
        <v>887</v>
      </c>
      <c r="C9" s="206">
        <f t="shared" si="0"/>
        <v>71594.86</v>
      </c>
      <c r="D9" s="181">
        <f>33892.12+300+1614.75+19287.99+16500</f>
        <v>71594.86</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1558578.24</v>
      </c>
      <c r="D12" s="19">
        <f>'DOE25'!L206+'DOE25'!L224+'DOE25'!L242-F12-G12-H12</f>
        <v>1532446.2</v>
      </c>
      <c r="E12" s="180"/>
      <c r="F12" s="181">
        <v>0</v>
      </c>
      <c r="G12" s="19">
        <f>'DOE25'!J206+'DOE25'!J224+'DOE25'!J242</f>
        <v>0</v>
      </c>
      <c r="H12" s="19">
        <f>'DOE25'!K206+'DOE25'!K224+'DOE25'!K242</f>
        <v>26132.04</v>
      </c>
      <c r="I12" s="192"/>
    </row>
    <row r="13" spans="1:9" x14ac:dyDescent="0.2">
      <c r="A13" s="31">
        <v>2500</v>
      </c>
      <c r="B13" t="s">
        <v>798</v>
      </c>
      <c r="C13" s="206">
        <f t="shared" si="0"/>
        <v>0</v>
      </c>
      <c r="D13" s="180"/>
      <c r="E13" s="19">
        <f>'DOE25'!L207+'DOE25'!L225+'DOE25'!L243-F13-G13-H13</f>
        <v>0</v>
      </c>
      <c r="F13" s="181">
        <v>0</v>
      </c>
      <c r="G13" s="19">
        <f>'DOE25'!J207+'DOE25'!J225+'DOE25'!J243</f>
        <v>0</v>
      </c>
      <c r="H13" s="19">
        <f>'DOE25'!K207+'DOE25'!K225+'DOE25'!K243</f>
        <v>0</v>
      </c>
      <c r="I13" s="192"/>
    </row>
    <row r="14" spans="1:9" x14ac:dyDescent="0.2">
      <c r="A14" s="31">
        <v>2600</v>
      </c>
      <c r="B14" t="s">
        <v>818</v>
      </c>
      <c r="C14" s="206">
        <f t="shared" si="0"/>
        <v>2556360.7199999997</v>
      </c>
      <c r="D14" s="19">
        <f>'DOE25'!L208+'DOE25'!L226+'DOE25'!L244-F14-G14-H14</f>
        <v>2555689.6999999997</v>
      </c>
      <c r="E14" s="180"/>
      <c r="F14" s="181">
        <v>0</v>
      </c>
      <c r="G14" s="19">
        <f>'DOE25'!J208+'DOE25'!J226+'DOE25'!J244</f>
        <v>671.02</v>
      </c>
      <c r="H14" s="19">
        <f>'DOE25'!K208+'DOE25'!K226+'DOE25'!K244</f>
        <v>0</v>
      </c>
      <c r="I14" s="192"/>
    </row>
    <row r="15" spans="1:9" x14ac:dyDescent="0.2">
      <c r="A15" s="31">
        <v>2700</v>
      </c>
      <c r="B15" t="s">
        <v>799</v>
      </c>
      <c r="C15" s="206">
        <f t="shared" si="0"/>
        <v>1257131.4899999998</v>
      </c>
      <c r="D15" s="19">
        <f>'DOE25'!L209+'DOE25'!L227+'DOE25'!L245-F15-G15-H15</f>
        <v>1035739.3799999998</v>
      </c>
      <c r="E15" s="180"/>
      <c r="F15" s="181">
        <f>40770-25000+85375-25000</f>
        <v>76145</v>
      </c>
      <c r="G15" s="19">
        <f>'DOE25'!J209+'DOE25'!J227+'DOE25'!J245</f>
        <v>140561.96</v>
      </c>
      <c r="H15" s="19">
        <f>'DOE25'!K209+'DOE25'!K227+'DOE25'!K245</f>
        <v>4685.1499999999996</v>
      </c>
      <c r="I15" s="192"/>
    </row>
    <row r="16" spans="1:9" x14ac:dyDescent="0.2">
      <c r="A16" s="31">
        <v>2800</v>
      </c>
      <c r="B16" t="s">
        <v>800</v>
      </c>
      <c r="C16" s="206">
        <f t="shared" si="0"/>
        <v>0</v>
      </c>
      <c r="D16" s="180"/>
      <c r="E16" s="19">
        <f>'DOE25'!L210+'DOE25'!L228+'DOE25'!L246-F16-G16-H16</f>
        <v>0</v>
      </c>
      <c r="F16" s="181">
        <v>0</v>
      </c>
      <c r="G16" s="19">
        <f>'DOE25'!J210+'DOE25'!J228+'DOE25'!J246</f>
        <v>0</v>
      </c>
      <c r="H16" s="19">
        <f>'DOE25'!K210+'DOE25'!K228+'DOE25'!K246</f>
        <v>0</v>
      </c>
      <c r="I16" s="192"/>
    </row>
    <row r="17" spans="1:9" x14ac:dyDescent="0.2">
      <c r="A17" s="31">
        <v>1600</v>
      </c>
      <c r="B17" t="s">
        <v>801</v>
      </c>
      <c r="C17" s="206">
        <f t="shared" si="0"/>
        <v>0</v>
      </c>
      <c r="D17" s="19">
        <f>'DOE25'!L252-F17-G17-H17</f>
        <v>0</v>
      </c>
      <c r="E17" s="180"/>
      <c r="F17" s="181">
        <v>0</v>
      </c>
      <c r="G17" s="19">
        <f>'DOE25'!J252</f>
        <v>0</v>
      </c>
      <c r="H17" s="19">
        <f>'DOE25'!K252</f>
        <v>0</v>
      </c>
      <c r="I17" s="192"/>
    </row>
    <row r="18" spans="1:9" x14ac:dyDescent="0.2">
      <c r="A18" s="31">
        <v>1700</v>
      </c>
      <c r="B18" t="s">
        <v>802</v>
      </c>
      <c r="C18" s="206">
        <f t="shared" si="0"/>
        <v>0</v>
      </c>
      <c r="D18" s="19">
        <f>'DOE25'!L253-F18-G18-H18</f>
        <v>0</v>
      </c>
      <c r="E18" s="180"/>
      <c r="F18" s="181">
        <v>0</v>
      </c>
      <c r="G18" s="19">
        <f>'DOE25'!J253</f>
        <v>0</v>
      </c>
      <c r="H18" s="19">
        <f>'DOE25'!K253</f>
        <v>0</v>
      </c>
      <c r="I18" s="192"/>
    </row>
    <row r="19" spans="1:9" x14ac:dyDescent="0.2">
      <c r="A19" s="31">
        <v>1800</v>
      </c>
      <c r="B19" t="s">
        <v>803</v>
      </c>
      <c r="C19" s="206">
        <f t="shared" si="0"/>
        <v>0</v>
      </c>
      <c r="D19" s="19">
        <f>'DOE25'!L254-F19-G19-H19</f>
        <v>0</v>
      </c>
      <c r="E19" s="180"/>
      <c r="F19" s="181">
        <v>0</v>
      </c>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240500</v>
      </c>
      <c r="D25" s="180"/>
      <c r="E25" s="180"/>
      <c r="F25" s="191"/>
      <c r="G25" s="180"/>
      <c r="H25" s="180"/>
      <c r="I25" s="190">
        <f>'DOE25'!L261+'DOE25'!L262+'DOE25'!L342+'DOE25'!L343</f>
        <v>240500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582695.78999999992</v>
      </c>
      <c r="D29" s="212">
        <f>'DOE25'!L359+'DOE25'!L360+'DOE25'!L361-'DOE25'!I368-F29-G29-H29-F39</f>
        <v>483323.37999999989</v>
      </c>
      <c r="E29" s="180"/>
      <c r="F29" s="180"/>
      <c r="G29" s="19">
        <f>'DOE25'!J359+'DOE25'!J360+'DOE25'!J361</f>
        <v>99372.41</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680324.89999999991</v>
      </c>
      <c r="D31" s="19">
        <f>'DOE25'!L291+'DOE25'!L310+'DOE25'!L329+'DOE25'!L334+'DOE25'!L335+'DOE25'!L336-F31-G31-H31</f>
        <v>526237.65999999992</v>
      </c>
      <c r="E31" s="180"/>
      <c r="F31" s="181">
        <v>0</v>
      </c>
      <c r="G31" s="19">
        <f>'DOE25'!J291+'DOE25'!J310+'DOE25'!J329+'DOE25'!J334+'DOE25'!J335+'DOE25'!J336</f>
        <v>143835.9</v>
      </c>
      <c r="H31" s="19">
        <f>'DOE25'!K291+'DOE25'!K310+'DOE25'!K329+'DOE25'!K334+'DOE25'!K335+'DOE25'!K336</f>
        <v>10251.34</v>
      </c>
      <c r="I31" s="192"/>
    </row>
    <row r="32" spans="1:9" ht="12" thickBot="1" x14ac:dyDescent="0.25">
      <c r="C32" s="207"/>
      <c r="G32" s="188"/>
      <c r="H32" s="188"/>
      <c r="I32" s="194"/>
    </row>
    <row r="33" spans="1:9" ht="12" thickTop="1" x14ac:dyDescent="0.2">
      <c r="B33" t="s">
        <v>809</v>
      </c>
      <c r="D33" s="182">
        <f t="shared" ref="D33:I33" si="1">SUM(D5:D31)</f>
        <v>29989911.529999997</v>
      </c>
      <c r="E33" s="182">
        <f t="shared" si="1"/>
        <v>829187.54</v>
      </c>
      <c r="F33" s="182">
        <f t="shared" si="1"/>
        <v>142127.98000000001</v>
      </c>
      <c r="G33" s="182">
        <f t="shared" si="1"/>
        <v>815538.04</v>
      </c>
      <c r="H33" s="182">
        <f t="shared" si="1"/>
        <v>208280.80000000002</v>
      </c>
      <c r="I33" s="182">
        <f t="shared" si="1"/>
        <v>240500</v>
      </c>
    </row>
    <row r="34" spans="1:9" ht="12" thickBot="1" x14ac:dyDescent="0.25"/>
    <row r="35" spans="1:9" ht="12" thickBot="1" x14ac:dyDescent="0.25">
      <c r="B35" s="188" t="s">
        <v>830</v>
      </c>
      <c r="D35" s="189">
        <f>E33</f>
        <v>829187.54</v>
      </c>
      <c r="E35" s="185"/>
      <c r="F35" s="295" t="s">
        <v>1608</v>
      </c>
      <c r="G35" s="296"/>
      <c r="H35" s="296"/>
      <c r="I35" s="297"/>
    </row>
    <row r="36" spans="1:9" ht="12" thickTop="1" x14ac:dyDescent="0.2">
      <c r="B36" t="s">
        <v>810</v>
      </c>
      <c r="D36" s="19">
        <f>D33</f>
        <v>29989911.529999997</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0</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3"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E39" sqref="E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Bow</v>
      </c>
      <c r="B2">
        <f>'DOE25'!B2</f>
        <v>57</v>
      </c>
      <c r="J2" s="224" t="s">
        <v>1808</v>
      </c>
      <c r="K2" s="309">
        <f>SUM('DOE25'!L198:L201)+SUM('DOE25'!L216:L219)+SUM('DOE25'!L234:L237)+SUM('DOE25'!L277:L280)+SUM('DOE25'!L296:L299)+SUM('DOE25'!L315:L318)</f>
        <v>20635824.630000003</v>
      </c>
      <c r="L2" s="309">
        <f>'DOE25'!L203+'DOE25'!L221+'DOE25'!L239+'DOE25'!L282+'DOE25'!L301+'DOE25'!L320</f>
        <v>2793221.64</v>
      </c>
      <c r="M2" s="309">
        <f>'DOE25'!L204+'DOE25'!L222+'DOE25'!L240+'DOE25'!L283+'DOE25'!L302+'DOE25'!L321</f>
        <v>1569926.31</v>
      </c>
      <c r="N2" s="309">
        <f>'DOE25'!L206+'DOE25'!L224+'DOE25'!L242+'DOE25'!L285+'DOE25'!L304+'DOE25'!L323</f>
        <v>1558578.24</v>
      </c>
      <c r="O2" s="309">
        <f>'Salaries-Benefits'!B10+'Salaries-Benefits'!B12+'Salaries-Benefits'!B19+'Salaries-Benefits'!B21+'Salaries-Benefits'!B28+'Salaries-Benefits'!B30+'Salaries-Benefits'!B37+'Salaries-Benefits'!B39</f>
        <v>10771844.279999997</v>
      </c>
      <c r="P2" s="309">
        <f>'Salaries-Benefits'!B11+'Salaries-Benefits'!B20+'Salaries-Benefits'!B29+'Salaries-Benefits'!B38</f>
        <v>1494590.06</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-20635824.630000003</v>
      </c>
      <c r="L3" s="311">
        <f t="shared" ref="L3:P3" si="0">L21+L33+L43-L2</f>
        <v>-2793221.64</v>
      </c>
      <c r="M3" s="311">
        <f t="shared" si="0"/>
        <v>-1569926.31</v>
      </c>
      <c r="N3" s="311">
        <f t="shared" si="0"/>
        <v>-1558578.24</v>
      </c>
      <c r="O3" s="311">
        <f t="shared" si="0"/>
        <v>-10771844.279999997</v>
      </c>
      <c r="P3" s="311">
        <f t="shared" si="0"/>
        <v>-1494590.06</v>
      </c>
      <c r="Q3" s="310"/>
      <c r="R3" s="306"/>
      <c r="S3" s="215"/>
      <c r="T3" s="215"/>
      <c r="U3" s="216"/>
    </row>
    <row r="4" spans="1:21" ht="55.5" customHeight="1" thickBot="1" x14ac:dyDescent="0.25">
      <c r="A4" s="224" t="s">
        <v>1522</v>
      </c>
      <c r="B4" s="224" t="s">
        <v>1523</v>
      </c>
      <c r="C4" s="224" t="s">
        <v>896</v>
      </c>
      <c r="D4" s="224" t="s">
        <v>786</v>
      </c>
      <c r="E4" s="224" t="s">
        <v>786</v>
      </c>
      <c r="F4" s="228">
        <f>SUM(F5:F20)</f>
        <v>9462648.6999999993</v>
      </c>
      <c r="G4" s="229">
        <f>'DOE25'!L212+'DOE25'!L291</f>
        <v>9462648.6999999993</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Bow Elementary School</v>
      </c>
      <c r="B6" s="230">
        <f>IFERROR(VLOOKUP(A6,'School Tables'!$C$3:$D$365,2,FALSE),"")</f>
        <v>20680</v>
      </c>
      <c r="C6" s="223" t="str">
        <f>IFERROR(INDEX('School Tables'!$B$3:$B$365,MATCH('School Level Expenditures'!B6,'School Tables'!$D$3:$D$365,0)),"")</f>
        <v>Bow</v>
      </c>
      <c r="D6" s="220">
        <f>'DOE25'!L212</f>
        <v>9093739.6099999994</v>
      </c>
      <c r="E6" s="220">
        <f>'DOE25'!L291</f>
        <v>368909.08999999997</v>
      </c>
      <c r="F6" s="232">
        <f t="shared" ref="F6:F20" si="1">D6+E6</f>
        <v>9462648.6999999993</v>
      </c>
      <c r="G6" s="223"/>
      <c r="H6" s="223"/>
      <c r="J6" t="str">
        <f>A6</f>
        <v>Bow Elementary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9093739.6099999994</v>
      </c>
      <c r="E21" s="262">
        <f>SUM(E5:E20)</f>
        <v>368909.08999999997</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9034710.5700000022</v>
      </c>
      <c r="G24" s="229">
        <f>'DOE25'!L230+'DOE25'!L310</f>
        <v>9034710.5700000022</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Bow Memorial School</v>
      </c>
      <c r="B26" s="230">
        <f>IFERROR(VLOOKUP(A26,'School Tables'!$N$4:$O$75,2,FALSE),"")</f>
        <v>20675</v>
      </c>
      <c r="C26" s="223" t="str">
        <f>IFERROR(INDEX('School Tables'!$M$4:$M$75,MATCH('School Level Expenditures'!A26,'School Tables'!$N$4:$N$75,0)),"")</f>
        <v>Bow</v>
      </c>
      <c r="D26" s="220">
        <f>'DOE25'!L230</f>
        <v>8930941.8100000024</v>
      </c>
      <c r="E26" s="220">
        <f>'DOE25'!L310</f>
        <v>103768.76</v>
      </c>
      <c r="F26" s="232">
        <f t="shared" ref="F26:F32" si="4">D26+E26</f>
        <v>9034710.5700000022</v>
      </c>
      <c r="G26" s="223"/>
      <c r="H26" s="223"/>
      <c r="J26" t="str">
        <f t="shared" ref="J26:J32" si="5">A26</f>
        <v>Bow Memorial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8930941.8100000024</v>
      </c>
      <c r="E33" s="262">
        <f>SUM(E25:E32)</f>
        <v>103768.76</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12904990.830000004</v>
      </c>
      <c r="G36" s="229">
        <f>'DOE25'!L248+'DOE25'!L329</f>
        <v>12904990.830000004</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Bow High School</v>
      </c>
      <c r="B38" s="230">
        <f>IFERROR(VLOOKUP(A38,'School Tables'!$Y$4:$Z$100,2,FALSE),"")</f>
        <v>27375</v>
      </c>
      <c r="C38" s="223" t="str">
        <f>IFERROR(INDEX('School Tables'!$X$4:$X$100,MATCH('School Level Expenditures'!A38,'School Tables'!$Y$4:$Y$100,0)),"")</f>
        <v>Bow</v>
      </c>
      <c r="D38" s="220">
        <f>'DOE25'!L248</f>
        <v>12697343.780000003</v>
      </c>
      <c r="E38" s="220">
        <f>'DOE25'!L329</f>
        <v>207647.05</v>
      </c>
      <c r="F38" s="232">
        <f t="shared" si="7"/>
        <v>12904990.830000004</v>
      </c>
      <c r="G38" s="223"/>
      <c r="H38" s="223"/>
      <c r="J38" t="str">
        <f t="shared" ref="J38:J42" si="8">A38</f>
        <v>Bow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12697343.780000003</v>
      </c>
      <c r="E43" s="263">
        <f>SUM(E37:E42)</f>
        <v>207647.05</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Bow</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3097668.1399999997</v>
      </c>
      <c r="D8" s="73">
        <f>'DOE25'!G9</f>
        <v>0</v>
      </c>
      <c r="E8" s="73">
        <f>'DOE25'!H9</f>
        <v>0</v>
      </c>
      <c r="F8" s="73">
        <f>'DOE25'!I9</f>
        <v>0</v>
      </c>
      <c r="G8" s="73">
        <f>'DOE25'!J9</f>
        <v>0</v>
      </c>
      <c r="H8" s="13">
        <f>SUM(C8:G8)</f>
        <v>3097668.1399999997</v>
      </c>
      <c r="I8" s="90"/>
    </row>
    <row r="9" spans="1:9" x14ac:dyDescent="0.2">
      <c r="A9" s="1" t="s">
        <v>140</v>
      </c>
      <c r="B9" s="6">
        <v>110</v>
      </c>
      <c r="C9" s="73">
        <f>'DOE25'!F10</f>
        <v>0</v>
      </c>
      <c r="D9" s="73">
        <f>'DOE25'!G10</f>
        <v>0</v>
      </c>
      <c r="E9" s="73">
        <f>'DOE25'!H10</f>
        <v>0</v>
      </c>
      <c r="F9" s="73">
        <f>'DOE25'!I10</f>
        <v>0</v>
      </c>
      <c r="G9" s="73">
        <f>'DOE25'!J10</f>
        <v>1130731.9100000001</v>
      </c>
      <c r="H9" s="13">
        <f t="shared" ref="H9:H18" si="0">SUM(C9:G9)</f>
        <v>1130731.9100000001</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1574498.6600000001</v>
      </c>
      <c r="D11" s="73">
        <f>'DOE25'!G12</f>
        <v>1459772.7</v>
      </c>
      <c r="E11" s="73">
        <f>'DOE25'!H12</f>
        <v>582960.92999999993</v>
      </c>
      <c r="F11" s="73">
        <f>'DOE25'!I12</f>
        <v>0</v>
      </c>
      <c r="G11" s="73">
        <f>'DOE25'!J12</f>
        <v>0</v>
      </c>
      <c r="H11" s="13">
        <f t="shared" si="0"/>
        <v>3617232.29</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478849.63</v>
      </c>
      <c r="D13" s="73">
        <f>'DOE25'!G14</f>
        <v>32962.33</v>
      </c>
      <c r="E13" s="73">
        <f>'DOE25'!H14</f>
        <v>159298.14000000001</v>
      </c>
      <c r="F13" s="73">
        <f>'DOE25'!I14</f>
        <v>0</v>
      </c>
      <c r="G13" s="73">
        <f>'DOE25'!J14</f>
        <v>0</v>
      </c>
      <c r="H13" s="13">
        <f t="shared" si="0"/>
        <v>671110.10000000009</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280532.3</v>
      </c>
      <c r="D16" s="73">
        <f>'DOE25'!G17</f>
        <v>0</v>
      </c>
      <c r="E16" s="73">
        <f>'DOE25'!H17</f>
        <v>13005.54</v>
      </c>
      <c r="F16" s="73">
        <f>'DOE25'!I17</f>
        <v>0</v>
      </c>
      <c r="G16" s="73">
        <f>'DOE25'!J17</f>
        <v>0</v>
      </c>
      <c r="H16" s="13">
        <f t="shared" si="0"/>
        <v>293537.83999999997</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5431548.7299999995</v>
      </c>
      <c r="D18" s="38">
        <f>SUM(D8:D17)</f>
        <v>1492735.03</v>
      </c>
      <c r="E18" s="38">
        <f>SUM(E8:E17)</f>
        <v>755264.61</v>
      </c>
      <c r="F18" s="38">
        <f>SUM(F8:F17)</f>
        <v>0</v>
      </c>
      <c r="G18" s="38">
        <f>SUM(G8:G17)</f>
        <v>1130731.9100000001</v>
      </c>
      <c r="H18" s="38">
        <f t="shared" si="0"/>
        <v>8810280.2800000012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2042732.6099999999</v>
      </c>
      <c r="D21" s="73">
        <f>'DOE25'!G22</f>
        <v>826183.8</v>
      </c>
      <c r="E21" s="73">
        <f>'DOE25'!H22</f>
        <v>748316.44</v>
      </c>
      <c r="F21" s="73">
        <f>'DOE25'!I22</f>
        <v>0</v>
      </c>
      <c r="G21" s="73">
        <f>'DOE25'!J22</f>
        <v>0</v>
      </c>
      <c r="H21" s="13">
        <f t="shared" ref="H21:H31" si="1">SUM(C21:G21)</f>
        <v>3617232.85</v>
      </c>
      <c r="I21" s="90"/>
    </row>
    <row r="22" spans="1:9" x14ac:dyDescent="0.2">
      <c r="A22" s="1" t="s">
        <v>151</v>
      </c>
      <c r="B22" s="6">
        <v>410</v>
      </c>
      <c r="C22" s="73">
        <f>'DOE25'!F23</f>
        <v>0</v>
      </c>
      <c r="D22" s="73">
        <f>'DOE25'!G23</f>
        <v>2726</v>
      </c>
      <c r="E22" s="73">
        <f>'DOE25'!H23</f>
        <v>0</v>
      </c>
      <c r="F22" s="73">
        <f>'DOE25'!I23</f>
        <v>0</v>
      </c>
      <c r="G22" s="73">
        <f>'DOE25'!J23</f>
        <v>0</v>
      </c>
      <c r="H22" s="13">
        <f t="shared" si="1"/>
        <v>2726</v>
      </c>
      <c r="I22" s="90"/>
    </row>
    <row r="23" spans="1:9" x14ac:dyDescent="0.2">
      <c r="A23" s="1" t="s">
        <v>152</v>
      </c>
      <c r="B23" s="6">
        <v>420</v>
      </c>
      <c r="C23" s="73">
        <f>'DOE25'!F24</f>
        <v>1658008.77</v>
      </c>
      <c r="D23" s="73">
        <f>'DOE25'!G24</f>
        <v>74912.61</v>
      </c>
      <c r="E23" s="73">
        <f>'DOE25'!H24</f>
        <v>6948.17</v>
      </c>
      <c r="F23" s="73">
        <f>'DOE25'!I24</f>
        <v>0</v>
      </c>
      <c r="G23" s="73">
        <f>'DOE25'!J24</f>
        <v>0</v>
      </c>
      <c r="H23" s="13">
        <f t="shared" si="1"/>
        <v>1739869.55</v>
      </c>
      <c r="I23" s="90"/>
    </row>
    <row r="24" spans="1:9" x14ac:dyDescent="0.2">
      <c r="A24" s="1" t="s">
        <v>153</v>
      </c>
      <c r="B24" s="6">
        <v>430</v>
      </c>
      <c r="C24" s="73">
        <f>'DOE25'!F25</f>
        <v>261270.29</v>
      </c>
      <c r="D24" s="73">
        <f>'DOE25'!G25</f>
        <v>13794.65</v>
      </c>
      <c r="E24" s="73">
        <f>'DOE25'!H25</f>
        <v>0</v>
      </c>
      <c r="F24" s="73">
        <f>'DOE25'!I25</f>
        <v>0</v>
      </c>
      <c r="G24" s="23" t="s">
        <v>288</v>
      </c>
      <c r="H24" s="13">
        <f t="shared" si="1"/>
        <v>275064.94</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292717.12</v>
      </c>
      <c r="D28" s="73">
        <f>'DOE25'!G29</f>
        <v>0</v>
      </c>
      <c r="E28" s="73">
        <f>'DOE25'!H29</f>
        <v>0</v>
      </c>
      <c r="F28" s="73">
        <f>'DOE25'!I29</f>
        <v>0</v>
      </c>
      <c r="G28" s="23" t="s">
        <v>288</v>
      </c>
      <c r="H28" s="13">
        <f t="shared" si="1"/>
        <v>292717.12</v>
      </c>
      <c r="I28" s="90"/>
    </row>
    <row r="29" spans="1:9" x14ac:dyDescent="0.2">
      <c r="A29" s="1" t="s">
        <v>158</v>
      </c>
      <c r="B29" s="6">
        <v>480</v>
      </c>
      <c r="C29" s="73">
        <f>'DOE25'!F30</f>
        <v>0</v>
      </c>
      <c r="D29" s="73">
        <f>'DOE25'!G30</f>
        <v>93174.8</v>
      </c>
      <c r="E29" s="73">
        <f>'DOE25'!H30</f>
        <v>0</v>
      </c>
      <c r="F29" s="73">
        <f>'DOE25'!I30</f>
        <v>0</v>
      </c>
      <c r="G29" s="23" t="s">
        <v>288</v>
      </c>
      <c r="H29" s="13">
        <f t="shared" si="1"/>
        <v>93174.8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4254728.79</v>
      </c>
      <c r="D31" s="38">
        <f>SUM(D21:D30)</f>
        <v>1010791.8600000001</v>
      </c>
      <c r="E31" s="38">
        <f>SUM(E21:E30)</f>
        <v>755264.61</v>
      </c>
      <c r="F31" s="38">
        <f>SUM(F21:F30)</f>
        <v>0</v>
      </c>
      <c r="G31" s="38">
        <f>SUM(G21:G30)</f>
        <v>0</v>
      </c>
      <c r="H31" s="38">
        <f t="shared" si="1"/>
        <v>6020785.2600000007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280532.3</v>
      </c>
      <c r="D35" s="73">
        <f>'DOE25'!G36</f>
        <v>0</v>
      </c>
      <c r="E35" s="73">
        <f>'DOE25'!H36</f>
        <v>0</v>
      </c>
      <c r="F35" s="73">
        <f>'DOE25'!I36</f>
        <v>0</v>
      </c>
      <c r="G35" s="23" t="s">
        <v>288</v>
      </c>
      <c r="H35" s="13">
        <f t="shared" si="2"/>
        <v>280532.3</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481943.17</v>
      </c>
      <c r="E39" s="23" t="s">
        <v>288</v>
      </c>
      <c r="F39" s="23" t="s">
        <v>288</v>
      </c>
      <c r="G39" s="23" t="s">
        <v>288</v>
      </c>
      <c r="H39" s="13">
        <f t="shared" si="2"/>
        <v>481943.17</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1130731.9100000001</v>
      </c>
      <c r="H47" s="13">
        <f t="shared" si="2"/>
        <v>1130731.9100000001</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896287.6399999999</v>
      </c>
      <c r="D49" s="23" t="s">
        <v>288</v>
      </c>
      <c r="E49" s="23" t="s">
        <v>288</v>
      </c>
      <c r="F49" s="23" t="s">
        <v>288</v>
      </c>
      <c r="G49" s="23" t="s">
        <v>288</v>
      </c>
      <c r="H49" s="13">
        <f t="shared" si="2"/>
        <v>896287.6399999999</v>
      </c>
      <c r="I49" s="90"/>
    </row>
    <row r="50" spans="1:9" ht="12.75" thickTop="1" thickBot="1" x14ac:dyDescent="0.25">
      <c r="A50" s="35" t="s">
        <v>883</v>
      </c>
      <c r="B50" s="44"/>
      <c r="C50" s="38">
        <f>SUM(C34:C49)</f>
        <v>1176819.94</v>
      </c>
      <c r="D50" s="38">
        <f>SUM(D34:D49)</f>
        <v>481943.17</v>
      </c>
      <c r="E50" s="38">
        <f>SUM(E34:E49)</f>
        <v>0</v>
      </c>
      <c r="F50" s="38">
        <f>SUM(F34:F49)</f>
        <v>0</v>
      </c>
      <c r="G50" s="38">
        <f>SUM(G34:G49)</f>
        <v>1130731.9100000001</v>
      </c>
      <c r="H50" s="38">
        <f t="shared" si="2"/>
        <v>2789495.02</v>
      </c>
      <c r="I50" s="90"/>
    </row>
    <row r="51" spans="1:9" ht="12" thickTop="1" x14ac:dyDescent="0.2">
      <c r="A51" s="35" t="s">
        <v>884</v>
      </c>
      <c r="B51" s="2"/>
      <c r="C51" s="38">
        <f>C50+C31</f>
        <v>5431548.7300000004</v>
      </c>
      <c r="D51" s="38">
        <f>D50+D31</f>
        <v>1492735.03</v>
      </c>
      <c r="E51" s="38">
        <f>E50+E31</f>
        <v>755264.61</v>
      </c>
      <c r="F51" s="38">
        <f>F50+F31</f>
        <v>0</v>
      </c>
      <c r="G51" s="38">
        <f>G50+G31</f>
        <v>1130731.9100000001</v>
      </c>
      <c r="H51" s="38">
        <f t="shared" si="2"/>
        <v>8810280.2800000012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20237883</v>
      </c>
      <c r="D56" s="73">
        <f>'DOE25'!G60</f>
        <v>0</v>
      </c>
      <c r="E56" s="73">
        <f>'DOE25'!H60</f>
        <v>0</v>
      </c>
      <c r="F56" s="73">
        <f>'DOE25'!I60</f>
        <v>0</v>
      </c>
      <c r="G56" s="73">
        <f>'DOE25'!J60</f>
        <v>0</v>
      </c>
      <c r="H56" s="13">
        <f t="shared" ref="H56:H63" si="3">SUM(C56:G56)</f>
        <v>20237883</v>
      </c>
      <c r="I56"/>
    </row>
    <row r="57" spans="1:9" x14ac:dyDescent="0.2">
      <c r="A57" s="1" t="s">
        <v>164</v>
      </c>
      <c r="B57" s="6" t="s">
        <v>165</v>
      </c>
      <c r="C57" s="73">
        <f>'DOE25'!F79</f>
        <v>3770906.34</v>
      </c>
      <c r="D57" s="23" t="s">
        <v>288</v>
      </c>
      <c r="E57" s="73">
        <f>'DOE25'!H79</f>
        <v>0</v>
      </c>
      <c r="F57" s="23" t="s">
        <v>288</v>
      </c>
      <c r="G57" s="23" t="s">
        <v>288</v>
      </c>
      <c r="H57" s="13">
        <f t="shared" si="3"/>
        <v>3770906.34</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35552.61</v>
      </c>
      <c r="D59" s="73">
        <f>'DOE25'!G96</f>
        <v>0</v>
      </c>
      <c r="E59" s="73">
        <f>'DOE25'!H96</f>
        <v>0</v>
      </c>
      <c r="F59" s="73">
        <f>'DOE25'!I96</f>
        <v>0</v>
      </c>
      <c r="G59" s="73">
        <f>'DOE25'!J96</f>
        <v>-106828.1</v>
      </c>
      <c r="H59" s="13">
        <f t="shared" si="3"/>
        <v>-71275.490000000005</v>
      </c>
      <c r="I59"/>
    </row>
    <row r="60" spans="1:9" x14ac:dyDescent="0.2">
      <c r="A60" s="1" t="s">
        <v>170</v>
      </c>
      <c r="B60" s="22" t="s">
        <v>171</v>
      </c>
      <c r="C60" s="23" t="s">
        <v>288</v>
      </c>
      <c r="D60" s="73">
        <f>'DOE25'!G97</f>
        <v>634278.94999999995</v>
      </c>
      <c r="E60" s="23" t="s">
        <v>288</v>
      </c>
      <c r="F60" s="23" t="s">
        <v>288</v>
      </c>
      <c r="G60" s="23" t="s">
        <v>288</v>
      </c>
      <c r="H60" s="13">
        <f t="shared" si="3"/>
        <v>634278.94999999995</v>
      </c>
      <c r="I60"/>
    </row>
    <row r="61" spans="1:9" ht="12" thickBot="1" x14ac:dyDescent="0.25">
      <c r="A61" s="1" t="s">
        <v>172</v>
      </c>
      <c r="B61" s="22" t="s">
        <v>173</v>
      </c>
      <c r="C61" s="73">
        <f>SUM('DOE25'!F98:F110)</f>
        <v>245727.22999999998</v>
      </c>
      <c r="D61" s="73">
        <f>SUM('DOE25'!G98:G110)</f>
        <v>11500.27</v>
      </c>
      <c r="E61" s="73">
        <f>SUM('DOE25'!H98:H110)</f>
        <v>0</v>
      </c>
      <c r="F61" s="73">
        <f>SUM('DOE25'!I98:I110)</f>
        <v>0</v>
      </c>
      <c r="G61" s="73">
        <f>SUM('DOE25'!J98:J110)</f>
        <v>0</v>
      </c>
      <c r="H61" s="13">
        <f t="shared" si="3"/>
        <v>257227.49999999997</v>
      </c>
      <c r="I61"/>
    </row>
    <row r="62" spans="1:9" ht="12.75" thickTop="1" thickBot="1" x14ac:dyDescent="0.25">
      <c r="A62" s="28" t="s">
        <v>174</v>
      </c>
      <c r="B62" s="6"/>
      <c r="C62" s="93">
        <f>SUM(C57:C61)</f>
        <v>4052186.1799999997</v>
      </c>
      <c r="D62" s="93">
        <f>SUM(D57:D61)</f>
        <v>645779.22</v>
      </c>
      <c r="E62" s="93">
        <f>SUM(E57:E61)</f>
        <v>0</v>
      </c>
      <c r="F62" s="93">
        <f>SUM(F57:F61)</f>
        <v>0</v>
      </c>
      <c r="G62" s="93">
        <f>SUM(G57:G61)</f>
        <v>-106828.1</v>
      </c>
      <c r="H62" s="13">
        <f t="shared" si="3"/>
        <v>4591137.3</v>
      </c>
      <c r="I62"/>
    </row>
    <row r="63" spans="1:9" ht="12" thickTop="1" x14ac:dyDescent="0.2">
      <c r="A63" s="28" t="s">
        <v>175</v>
      </c>
      <c r="B63" s="6"/>
      <c r="C63" s="21">
        <f>C56+C62</f>
        <v>24290069.18</v>
      </c>
      <c r="D63" s="21">
        <f>D56+D62</f>
        <v>645779.22</v>
      </c>
      <c r="E63" s="21">
        <f>E56+E62</f>
        <v>0</v>
      </c>
      <c r="F63" s="21">
        <f>F56+F62</f>
        <v>0</v>
      </c>
      <c r="G63" s="21">
        <f>G56+G62</f>
        <v>-106828.1</v>
      </c>
      <c r="H63" s="13">
        <f t="shared" si="3"/>
        <v>24829020.299999997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4829274.78</v>
      </c>
      <c r="D66" s="23" t="s">
        <v>288</v>
      </c>
      <c r="E66" s="23" t="s">
        <v>288</v>
      </c>
      <c r="F66" s="23" t="s">
        <v>288</v>
      </c>
      <c r="G66" s="23" t="s">
        <v>288</v>
      </c>
      <c r="H66" s="13">
        <f t="shared" ref="H66:H81" si="4">SUM(C66:G66)</f>
        <v>4829274.78</v>
      </c>
      <c r="I66"/>
    </row>
    <row r="67" spans="1:9" x14ac:dyDescent="0.2">
      <c r="A67" s="1" t="s">
        <v>770</v>
      </c>
      <c r="B67" s="6">
        <v>3112</v>
      </c>
      <c r="C67" s="73">
        <f>'DOE25'!F118</f>
        <v>1566630</v>
      </c>
      <c r="D67" s="23"/>
      <c r="E67" s="23"/>
      <c r="F67" s="23"/>
      <c r="G67" s="23"/>
      <c r="H67" s="13">
        <f t="shared" si="4"/>
        <v>1566630</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189734.77</v>
      </c>
      <c r="D69" s="73">
        <f>'DOE25'!G120</f>
        <v>0</v>
      </c>
      <c r="E69" s="73">
        <f>'DOE25'!H120</f>
        <v>0</v>
      </c>
      <c r="F69" s="73">
        <f>'DOE25'!I120</f>
        <v>0</v>
      </c>
      <c r="G69" s="73">
        <f>'DOE25'!J120</f>
        <v>0</v>
      </c>
      <c r="H69" s="13">
        <f t="shared" si="4"/>
        <v>189734.77</v>
      </c>
      <c r="I69"/>
    </row>
    <row r="70" spans="1:9" ht="12" thickTop="1" x14ac:dyDescent="0.2">
      <c r="A70" s="28" t="s">
        <v>252</v>
      </c>
      <c r="B70" s="2"/>
      <c r="C70" s="97">
        <f>SUM(C66:C69)</f>
        <v>6585639.5499999998</v>
      </c>
      <c r="D70" s="97">
        <f>D69</f>
        <v>0</v>
      </c>
      <c r="E70" s="97">
        <f>E69</f>
        <v>0</v>
      </c>
      <c r="F70" s="97">
        <f>F69</f>
        <v>0</v>
      </c>
      <c r="G70" s="97">
        <f>G69</f>
        <v>0</v>
      </c>
      <c r="H70" s="13">
        <f t="shared" si="4"/>
        <v>6585639.5499999998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67289.929999999993</v>
      </c>
      <c r="D72" s="23" t="s">
        <v>288</v>
      </c>
      <c r="E72" s="23" t="s">
        <v>288</v>
      </c>
      <c r="F72" s="73">
        <f>'DOE25'!I123</f>
        <v>0</v>
      </c>
      <c r="G72" s="23" t="s">
        <v>288</v>
      </c>
      <c r="H72" s="13">
        <f t="shared" si="4"/>
        <v>67289.929999999993</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491188.08</v>
      </c>
      <c r="D75" s="23" t="s">
        <v>288</v>
      </c>
      <c r="E75" s="23" t="s">
        <v>288</v>
      </c>
      <c r="F75" s="23" t="s">
        <v>288</v>
      </c>
      <c r="G75" s="23" t="s">
        <v>288</v>
      </c>
      <c r="H75" s="13">
        <f t="shared" si="4"/>
        <v>491188.08</v>
      </c>
      <c r="I75"/>
    </row>
    <row r="76" spans="1:9" x14ac:dyDescent="0.2">
      <c r="A76" s="1" t="s">
        <v>257</v>
      </c>
      <c r="B76" s="6" t="s">
        <v>179</v>
      </c>
      <c r="C76" s="73">
        <f>SUM('DOE25'!F127:F130)</f>
        <v>15624</v>
      </c>
      <c r="D76" s="23" t="s">
        <v>288</v>
      </c>
      <c r="E76" s="73">
        <f>SUM('DOE25'!H127:H130)</f>
        <v>0</v>
      </c>
      <c r="F76" s="73">
        <f>SUM('DOE25'!I127:I130)</f>
        <v>0</v>
      </c>
      <c r="G76" s="23" t="s">
        <v>288</v>
      </c>
      <c r="H76" s="13">
        <f t="shared" si="4"/>
        <v>15624</v>
      </c>
      <c r="I76"/>
    </row>
    <row r="77" spans="1:9" ht="12" thickBot="1" x14ac:dyDescent="0.25">
      <c r="A77" s="1" t="s">
        <v>258</v>
      </c>
      <c r="B77" s="6" t="s">
        <v>180</v>
      </c>
      <c r="C77" s="73">
        <f>SUM('DOE25'!F131:F135)</f>
        <v>0</v>
      </c>
      <c r="D77" s="73">
        <f>SUM('DOE25'!G131:G135)</f>
        <v>9045.74</v>
      </c>
      <c r="E77" s="73">
        <f>SUM('DOE25'!H131:H135)</f>
        <v>0</v>
      </c>
      <c r="F77" s="73">
        <f>SUM('DOE25'!I131:I135)</f>
        <v>0</v>
      </c>
      <c r="G77" s="73">
        <f>SUM('DOE25'!J131:J135)</f>
        <v>0</v>
      </c>
      <c r="H77" s="13">
        <f t="shared" si="4"/>
        <v>9045.74</v>
      </c>
      <c r="I77"/>
    </row>
    <row r="78" spans="1:9" ht="12.75" thickTop="1" thickBot="1" x14ac:dyDescent="0.25">
      <c r="A78" s="28" t="s">
        <v>259</v>
      </c>
      <c r="B78" s="6"/>
      <c r="C78" s="93">
        <f>SUM(C72:C77)</f>
        <v>574102.01</v>
      </c>
      <c r="D78" s="93">
        <f>SUM(D72:D77)</f>
        <v>9045.74</v>
      </c>
      <c r="E78" s="93">
        <f>SUM(E72:E77)</f>
        <v>0</v>
      </c>
      <c r="F78" s="93">
        <f>SUM(F72:F77)</f>
        <v>0</v>
      </c>
      <c r="G78" s="93">
        <f>SUM(G72:G77)</f>
        <v>0</v>
      </c>
      <c r="H78" s="13">
        <f t="shared" si="4"/>
        <v>583147.75</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7159741.5599999996</v>
      </c>
      <c r="D81" s="93">
        <f>SUM(D79:D80)+D78+D70</f>
        <v>9045.74</v>
      </c>
      <c r="E81" s="93">
        <f>SUM(E79:E80)+E78+E70</f>
        <v>0</v>
      </c>
      <c r="F81" s="93">
        <f>SUM(F79:F80)+F78+F70</f>
        <v>0</v>
      </c>
      <c r="G81" s="93">
        <f>SUM(G79:G80)+G78+G70</f>
        <v>0</v>
      </c>
      <c r="H81" s="93">
        <f t="shared" si="4"/>
        <v>7168787.2999999998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207997.83</v>
      </c>
      <c r="D88" s="253">
        <f>SUM('DOE25'!G153:G162)</f>
        <v>220105.97</v>
      </c>
      <c r="E88" s="253">
        <f>SUM('DOE25'!H153:H162)</f>
        <v>680324.9</v>
      </c>
      <c r="F88" s="253">
        <f>SUM('DOE25'!I153:I162)</f>
        <v>0</v>
      </c>
      <c r="G88" s="23" t="s">
        <v>288</v>
      </c>
      <c r="H88" s="13">
        <f t="shared" si="5"/>
        <v>1108428.7</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207997.83</v>
      </c>
      <c r="D91" s="94">
        <f>SUM(D85:D90)</f>
        <v>220105.97</v>
      </c>
      <c r="E91" s="94">
        <f>SUM(E85:E90)</f>
        <v>680324.9</v>
      </c>
      <c r="F91" s="94">
        <f>SUM(F85:F90)</f>
        <v>0</v>
      </c>
      <c r="G91" s="23" t="s">
        <v>288</v>
      </c>
      <c r="H91" s="13">
        <f t="shared" si="5"/>
        <v>1108428.7</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622965</v>
      </c>
      <c r="H96" s="13">
        <f t="shared" si="5"/>
        <v>622965</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622965</v>
      </c>
      <c r="H103" s="68">
        <f t="shared" si="5"/>
        <v>622965</v>
      </c>
    </row>
    <row r="104" spans="1:8" ht="12.75" thickTop="1" thickBot="1" x14ac:dyDescent="0.25">
      <c r="A104" s="32" t="s">
        <v>761</v>
      </c>
      <c r="C104" s="68">
        <f>C63+C81+C91+C103</f>
        <v>31657808.569999997</v>
      </c>
      <c r="D104" s="68">
        <f>D63+D81+D91+D103</f>
        <v>874930.92999999993</v>
      </c>
      <c r="E104" s="68">
        <f>E63+E81+E91+E103</f>
        <v>680324.9</v>
      </c>
      <c r="F104" s="68">
        <f>F63+F81+F91+F103</f>
        <v>0</v>
      </c>
      <c r="G104" s="68">
        <f>G63+G81+G103</f>
        <v>516136.9</v>
      </c>
      <c r="H104" s="68">
        <f t="shared" si="5"/>
        <v>33729201.299999997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13365327.73</v>
      </c>
      <c r="D109" s="23" t="s">
        <v>288</v>
      </c>
      <c r="E109" s="73">
        <f>('DOE25'!L277)+('DOE25'!L296)+('DOE25'!L315)</f>
        <v>58090.299999999988</v>
      </c>
      <c r="F109" s="23" t="s">
        <v>288</v>
      </c>
      <c r="G109" s="23" t="s">
        <v>288</v>
      </c>
      <c r="H109" s="13">
        <f t="shared" ref="H109:H115" si="6">SUM(C109:G109)</f>
        <v>13423418.030000001</v>
      </c>
    </row>
    <row r="110" spans="1:8" x14ac:dyDescent="0.2">
      <c r="A110" t="s">
        <v>198</v>
      </c>
      <c r="B110" s="31" t="s">
        <v>199</v>
      </c>
      <c r="C110" s="73">
        <f>('DOE25'!L199)+('DOE25'!L217)+('DOE25'!L235)</f>
        <v>5799972.1899999995</v>
      </c>
      <c r="D110" s="23" t="s">
        <v>288</v>
      </c>
      <c r="E110" s="73">
        <f>('DOE25'!L278)+('DOE25'!L297)+('DOE25'!L316)</f>
        <v>350446.16999999993</v>
      </c>
      <c r="F110" s="23" t="s">
        <v>288</v>
      </c>
      <c r="G110" s="23" t="s">
        <v>288</v>
      </c>
      <c r="H110" s="13">
        <f t="shared" si="6"/>
        <v>6150418.3599999994</v>
      </c>
    </row>
    <row r="111" spans="1:8" x14ac:dyDescent="0.2">
      <c r="A111" t="s">
        <v>200</v>
      </c>
      <c r="B111" s="31" t="s">
        <v>165</v>
      </c>
      <c r="C111" s="73">
        <f>('DOE25'!L200)+('DOE25'!L218)+('DOE25'!L236)</f>
        <v>263839.49</v>
      </c>
      <c r="D111" s="23" t="s">
        <v>288</v>
      </c>
      <c r="E111" s="73">
        <f>('DOE25'!L279)+('DOE25'!L298)+('DOE25'!L317)</f>
        <v>0</v>
      </c>
      <c r="F111" s="23" t="s">
        <v>288</v>
      </c>
      <c r="G111" s="23" t="s">
        <v>288</v>
      </c>
      <c r="H111" s="13">
        <f t="shared" si="6"/>
        <v>263839.49</v>
      </c>
    </row>
    <row r="112" spans="1:8" x14ac:dyDescent="0.2">
      <c r="A112" t="s">
        <v>201</v>
      </c>
      <c r="B112" s="31" t="s">
        <v>167</v>
      </c>
      <c r="C112" s="73">
        <f>('DOE25'!L201)+('DOE25'!L219)+('DOE25'!L237)</f>
        <v>798148.75</v>
      </c>
      <c r="D112" s="23" t="s">
        <v>288</v>
      </c>
      <c r="E112" s="73">
        <f>+('DOE25'!L280)+('DOE25'!L299)+('DOE25'!L318)</f>
        <v>0</v>
      </c>
      <c r="F112" s="23" t="s">
        <v>288</v>
      </c>
      <c r="G112" s="23" t="s">
        <v>288</v>
      </c>
      <c r="H112" s="13">
        <f t="shared" si="6"/>
        <v>798148.75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20227288.16</v>
      </c>
      <c r="D115" s="68">
        <f>SUM(D109:D114)</f>
        <v>0</v>
      </c>
      <c r="E115" s="68">
        <f>SUM(E109:E114)</f>
        <v>408536.46999999991</v>
      </c>
      <c r="F115" s="68">
        <f>SUM(F109:F114)</f>
        <v>0</v>
      </c>
      <c r="G115" s="68">
        <f>SUM(G109:G114)</f>
        <v>0</v>
      </c>
      <c r="H115" s="68">
        <f t="shared" si="6"/>
        <v>20635824.629999999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2723913.89</v>
      </c>
      <c r="D118" s="23" t="s">
        <v>288</v>
      </c>
      <c r="E118" s="73">
        <f>+('DOE25'!L282)+('DOE25'!L301)+('DOE25'!L320)</f>
        <v>69307.75</v>
      </c>
      <c r="F118" s="23" t="s">
        <v>288</v>
      </c>
      <c r="G118" s="23" t="s">
        <v>288</v>
      </c>
      <c r="H118" s="13">
        <f t="shared" ref="H118:H145" si="7">SUM(C118:G118)</f>
        <v>2793221.64</v>
      </c>
    </row>
    <row r="119" spans="1:8" x14ac:dyDescent="0.2">
      <c r="A119" t="s">
        <v>208</v>
      </c>
      <c r="B119" s="31" t="s">
        <v>209</v>
      </c>
      <c r="C119" s="73">
        <f>('DOE25'!L204)+('DOE25'!L222)+('DOE25'!L240)</f>
        <v>1377660.19</v>
      </c>
      <c r="D119" s="23" t="s">
        <v>288</v>
      </c>
      <c r="E119" s="73">
        <f>+('DOE25'!L283)+('DOE25'!L302)+('DOE25'!L321)</f>
        <v>192266.12</v>
      </c>
      <c r="F119" s="23" t="s">
        <v>288</v>
      </c>
      <c r="G119" s="23" t="s">
        <v>288</v>
      </c>
      <c r="H119" s="13">
        <f t="shared" si="7"/>
        <v>1569926.31</v>
      </c>
    </row>
    <row r="120" spans="1:8" x14ac:dyDescent="0.2">
      <c r="A120" t="s">
        <v>210</v>
      </c>
      <c r="B120" s="31" t="s">
        <v>211</v>
      </c>
      <c r="C120" s="73">
        <f>('DOE25'!L205)+('DOE25'!L223)+('DOE25'!L241)</f>
        <v>1021092.51</v>
      </c>
      <c r="D120" s="23" t="s">
        <v>288</v>
      </c>
      <c r="E120" s="73">
        <f>+('DOE25'!L284)+('DOE25'!L303)+('DOE25'!L322)</f>
        <v>0</v>
      </c>
      <c r="F120" s="23" t="s">
        <v>288</v>
      </c>
      <c r="G120" s="23" t="s">
        <v>288</v>
      </c>
      <c r="H120" s="13">
        <f t="shared" si="7"/>
        <v>1021092.51</v>
      </c>
    </row>
    <row r="121" spans="1:8" x14ac:dyDescent="0.2">
      <c r="A121" t="s">
        <v>212</v>
      </c>
      <c r="B121" s="31" t="s">
        <v>213</v>
      </c>
      <c r="C121" s="73">
        <f>('DOE25'!L206)+('DOE25'!L224)+('DOE25'!L242)</f>
        <v>1558578.24</v>
      </c>
      <c r="D121" s="23" t="s">
        <v>288</v>
      </c>
      <c r="E121" s="73">
        <f>+('DOE25'!L285)+('DOE25'!L304)+('DOE25'!L323)</f>
        <v>0</v>
      </c>
      <c r="F121" s="23" t="s">
        <v>288</v>
      </c>
      <c r="G121" s="23" t="s">
        <v>288</v>
      </c>
      <c r="H121" s="13">
        <f t="shared" si="7"/>
        <v>1558578.24</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2556360.7199999997</v>
      </c>
      <c r="D123" s="23" t="s">
        <v>288</v>
      </c>
      <c r="E123" s="73">
        <f>+('DOE25'!L287)+('DOE25'!L306)+('DOE25'!L325)</f>
        <v>10214.56</v>
      </c>
      <c r="F123" s="23" t="s">
        <v>288</v>
      </c>
      <c r="G123" s="23" t="s">
        <v>288</v>
      </c>
      <c r="H123" s="13">
        <f t="shared" si="7"/>
        <v>2566575.2799999998</v>
      </c>
    </row>
    <row r="124" spans="1:8" x14ac:dyDescent="0.2">
      <c r="A124" t="s">
        <v>218</v>
      </c>
      <c r="B124" s="31" t="s">
        <v>219</v>
      </c>
      <c r="C124" s="73">
        <f>('DOE25'!L209)+('DOE25'!L227)+('DOE25'!L245+'DOE25'!L255)</f>
        <v>1257131.4899999998</v>
      </c>
      <c r="D124" s="23" t="s">
        <v>288</v>
      </c>
      <c r="E124" s="73">
        <f>+('DOE25'!L288)+('DOE25'!L307)+('DOE25'!L326)</f>
        <v>0</v>
      </c>
      <c r="F124" s="23" t="s">
        <v>288</v>
      </c>
      <c r="G124" s="23" t="s">
        <v>288</v>
      </c>
      <c r="H124" s="13">
        <f t="shared" si="7"/>
        <v>1257131.4899999998</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952159.39999999991</v>
      </c>
      <c r="E127" s="23" t="s">
        <v>288</v>
      </c>
      <c r="F127" s="23" t="s">
        <v>288</v>
      </c>
      <c r="G127" s="23" t="s">
        <v>288</v>
      </c>
      <c r="H127" s="13">
        <f t="shared" si="7"/>
        <v>952159.39999999991</v>
      </c>
    </row>
    <row r="128" spans="1:8" ht="12.75" thickTop="1" thickBot="1" x14ac:dyDescent="0.25">
      <c r="A128" s="32" t="s">
        <v>226</v>
      </c>
      <c r="C128" s="68">
        <f>SUM(C118:C127)</f>
        <v>10494737.040000001</v>
      </c>
      <c r="D128" s="68">
        <f>SUM(D118:D127)</f>
        <v>952159.39999999991</v>
      </c>
      <c r="E128" s="68">
        <f>SUM(E118:E127)</f>
        <v>271788.43</v>
      </c>
      <c r="F128" s="68">
        <f>SUM(F118:F127)</f>
        <v>0</v>
      </c>
      <c r="G128" s="68">
        <f>SUM(G118:G127)</f>
        <v>0</v>
      </c>
      <c r="H128" s="68">
        <f t="shared" si="7"/>
        <v>11718684.870000001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200000</v>
      </c>
      <c r="D131" s="23" t="s">
        <v>288</v>
      </c>
      <c r="E131" s="92">
        <f>'DOE25'!L342</f>
        <v>0</v>
      </c>
      <c r="F131" s="23" t="s">
        <v>288</v>
      </c>
      <c r="G131" s="23" t="s">
        <v>288</v>
      </c>
      <c r="H131" s="13">
        <f t="shared" si="7"/>
        <v>200000</v>
      </c>
    </row>
    <row r="132" spans="1:8" x14ac:dyDescent="0.2">
      <c r="A132" t="s">
        <v>230</v>
      </c>
      <c r="B132" s="31">
        <v>5120</v>
      </c>
      <c r="C132" s="73">
        <f>'DOE25'!L262</f>
        <v>40500</v>
      </c>
      <c r="D132" s="23" t="s">
        <v>288</v>
      </c>
      <c r="E132" s="92">
        <f>'DOE25'!L343</f>
        <v>0</v>
      </c>
      <c r="F132" s="23" t="s">
        <v>288</v>
      </c>
      <c r="G132" s="23" t="s">
        <v>288</v>
      </c>
      <c r="H132" s="13">
        <f t="shared" si="7"/>
        <v>40500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516136.9</v>
      </c>
      <c r="D138" s="23" t="s">
        <v>288</v>
      </c>
      <c r="E138" s="23" t="s">
        <v>288</v>
      </c>
      <c r="F138" s="23" t="s">
        <v>288</v>
      </c>
      <c r="G138" s="23" t="s">
        <v>288</v>
      </c>
      <c r="H138" s="13">
        <f t="shared" si="7"/>
        <v>516136.9</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106828.09999999998</v>
      </c>
      <c r="D141" s="23" t="s">
        <v>288</v>
      </c>
      <c r="E141" s="23" t="s">
        <v>288</v>
      </c>
      <c r="F141" s="23" t="s">
        <v>288</v>
      </c>
      <c r="G141" s="23" t="s">
        <v>288</v>
      </c>
      <c r="H141" s="13">
        <f t="shared" si="7"/>
        <v>106828.09999999998</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863465</v>
      </c>
      <c r="D144" s="98">
        <f>SUM(D130:D143)</f>
        <v>0</v>
      </c>
      <c r="E144" s="98">
        <f>SUM(E130:E143)</f>
        <v>0</v>
      </c>
      <c r="F144" s="98">
        <f>SUM(F130:F143)</f>
        <v>0</v>
      </c>
      <c r="G144" s="98">
        <f>SUM(G130:G143)</f>
        <v>0</v>
      </c>
      <c r="H144" s="98">
        <f t="shared" si="7"/>
        <v>863465</v>
      </c>
    </row>
    <row r="145" spans="1:9" ht="12.75" thickTop="1" thickBot="1" x14ac:dyDescent="0.25">
      <c r="A145" s="32" t="s">
        <v>244</v>
      </c>
      <c r="C145" s="68">
        <f>(C115+C128+C144)</f>
        <v>31585490.200000003</v>
      </c>
      <c r="D145" s="68">
        <f>(D115+D128+D144)</f>
        <v>952159.39999999991</v>
      </c>
      <c r="E145" s="68">
        <f>(E115+E128+E144)</f>
        <v>680324.89999999991</v>
      </c>
      <c r="F145" s="68">
        <f>(F115+F128+F144)</f>
        <v>0</v>
      </c>
      <c r="G145" s="68">
        <f>(G115+G128+G144)</f>
        <v>0</v>
      </c>
      <c r="H145" s="68">
        <f t="shared" si="7"/>
        <v>33217974.5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7/06</v>
      </c>
      <c r="C152" s="109">
        <f>'DOE25'!G492</f>
        <v>0</v>
      </c>
      <c r="D152" s="109">
        <f>'DOE25'!H492</f>
        <v>0</v>
      </c>
      <c r="E152" s="109">
        <f>'DOE25'!I492</f>
        <v>0</v>
      </c>
      <c r="F152" s="109">
        <f>'DOE25'!J492</f>
        <v>0</v>
      </c>
      <c r="G152" s="23" t="s">
        <v>288</v>
      </c>
    </row>
    <row r="153" spans="1:9" x14ac:dyDescent="0.2">
      <c r="A153" s="21" t="s">
        <v>29</v>
      </c>
      <c r="B153" s="109" t="str">
        <f>'DOE25'!F493</f>
        <v>7/26</v>
      </c>
      <c r="C153" s="109">
        <f>'DOE25'!G493</f>
        <v>0</v>
      </c>
      <c r="D153" s="109">
        <f>'DOE25'!H493</f>
        <v>0</v>
      </c>
      <c r="E153" s="109">
        <f>'DOE25'!I493</f>
        <v>0</v>
      </c>
      <c r="F153" s="109">
        <f>'DOE25'!J493</f>
        <v>0</v>
      </c>
      <c r="G153" s="23" t="s">
        <v>288</v>
      </c>
    </row>
    <row r="154" spans="1:9" x14ac:dyDescent="0.2">
      <c r="A154" s="21" t="s">
        <v>30</v>
      </c>
      <c r="B154" s="19">
        <f>'DOE25'!F494</f>
        <v>4027000</v>
      </c>
      <c r="C154" s="19">
        <f>'DOE25'!G494</f>
        <v>0</v>
      </c>
      <c r="D154" s="19">
        <f>'DOE25'!H494</f>
        <v>0</v>
      </c>
      <c r="E154" s="19">
        <f>'DOE25'!I494</f>
        <v>0</v>
      </c>
      <c r="F154" s="19">
        <f>'DOE25'!J494</f>
        <v>0</v>
      </c>
      <c r="G154" s="23" t="s">
        <v>288</v>
      </c>
    </row>
    <row r="155" spans="1:9" x14ac:dyDescent="0.2">
      <c r="A155" s="21" t="s">
        <v>31</v>
      </c>
      <c r="B155" s="19">
        <f>'DOE25'!F495</f>
        <v>4.4000000000000004</v>
      </c>
      <c r="C155" s="19">
        <f>'DOE25'!G495</f>
        <v>0</v>
      </c>
      <c r="D155" s="19">
        <f>'DOE25'!H495</f>
        <v>0</v>
      </c>
      <c r="E155" s="19">
        <f>'DOE25'!I495</f>
        <v>0</v>
      </c>
      <c r="F155" s="19">
        <f>'DOE25'!J495</f>
        <v>0</v>
      </c>
      <c r="G155" s="23" t="s">
        <v>288</v>
      </c>
    </row>
    <row r="156" spans="1:9" x14ac:dyDescent="0.2">
      <c r="A156" s="21" t="s">
        <v>32</v>
      </c>
      <c r="B156" s="19">
        <f>'DOE25'!F496</f>
        <v>1000000</v>
      </c>
      <c r="C156" s="19">
        <f>'DOE25'!G496</f>
        <v>0</v>
      </c>
      <c r="D156" s="19">
        <f>'DOE25'!H496</f>
        <v>0</v>
      </c>
      <c r="E156" s="19">
        <f>'DOE25'!I496</f>
        <v>0</v>
      </c>
      <c r="F156" s="19">
        <f>'DOE25'!J496</f>
        <v>0</v>
      </c>
      <c r="G156" s="96">
        <f>SUM(B156:F156)</f>
        <v>1000000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200000</v>
      </c>
      <c r="C158" s="19">
        <f>'DOE25'!G498</f>
        <v>0</v>
      </c>
      <c r="D158" s="19">
        <f>'DOE25'!H498</f>
        <v>0</v>
      </c>
      <c r="E158" s="19">
        <f>'DOE25'!I498</f>
        <v>0</v>
      </c>
      <c r="F158" s="19">
        <f>'DOE25'!J498</f>
        <v>0</v>
      </c>
      <c r="G158" s="96">
        <f t="shared" si="8"/>
        <v>200000</v>
      </c>
    </row>
    <row r="159" spans="1:9" x14ac:dyDescent="0.2">
      <c r="A159" s="21" t="s">
        <v>35</v>
      </c>
      <c r="B159" s="19">
        <f>'DOE25'!F499</f>
        <v>800000</v>
      </c>
      <c r="C159" s="19">
        <f>'DOE25'!G499</f>
        <v>0</v>
      </c>
      <c r="D159" s="19">
        <f>'DOE25'!H499</f>
        <v>0</v>
      </c>
      <c r="E159" s="19">
        <f>'DOE25'!I499</f>
        <v>0</v>
      </c>
      <c r="F159" s="19">
        <f>'DOE25'!J499</f>
        <v>0</v>
      </c>
      <c r="G159" s="96">
        <f t="shared" si="8"/>
        <v>800000</v>
      </c>
    </row>
    <row r="160" spans="1:9" x14ac:dyDescent="0.2">
      <c r="A160" s="21" t="s">
        <v>36</v>
      </c>
      <c r="B160" s="19">
        <f>'DOE25'!F500</f>
        <v>383661</v>
      </c>
      <c r="C160" s="19">
        <f>'DOE25'!G500</f>
        <v>0</v>
      </c>
      <c r="D160" s="19">
        <f>'DOE25'!H500</f>
        <v>0</v>
      </c>
      <c r="E160" s="19">
        <f>'DOE25'!I500</f>
        <v>0</v>
      </c>
      <c r="F160" s="19">
        <f>'DOE25'!J500</f>
        <v>0</v>
      </c>
      <c r="G160" s="96">
        <f t="shared" si="8"/>
        <v>383661</v>
      </c>
    </row>
    <row r="161" spans="1:7" x14ac:dyDescent="0.2">
      <c r="A161" s="21" t="s">
        <v>37</v>
      </c>
      <c r="B161" s="19">
        <f>'DOE25'!F501</f>
        <v>1183661</v>
      </c>
      <c r="C161" s="19">
        <f>'DOE25'!G501</f>
        <v>0</v>
      </c>
      <c r="D161" s="19">
        <f>'DOE25'!H501</f>
        <v>0</v>
      </c>
      <c r="E161" s="19">
        <f>'DOE25'!I501</f>
        <v>0</v>
      </c>
      <c r="F161" s="19">
        <f>'DOE25'!J501</f>
        <v>0</v>
      </c>
      <c r="G161" s="96">
        <f t="shared" si="8"/>
        <v>1183661</v>
      </c>
    </row>
    <row r="162" spans="1:7" x14ac:dyDescent="0.2">
      <c r="A162" s="21" t="s">
        <v>38</v>
      </c>
      <c r="B162" s="19">
        <f>'DOE25'!F502</f>
        <v>200000</v>
      </c>
      <c r="C162" s="19">
        <f>'DOE25'!G502</f>
        <v>0</v>
      </c>
      <c r="D162" s="19">
        <f>'DOE25'!H502</f>
        <v>0</v>
      </c>
      <c r="E162" s="19">
        <f>'DOE25'!I502</f>
        <v>0</v>
      </c>
      <c r="F162" s="19">
        <f>'DOE25'!J502</f>
        <v>0</v>
      </c>
      <c r="G162" s="96">
        <f t="shared" si="8"/>
        <v>200000</v>
      </c>
    </row>
    <row r="163" spans="1:7" x14ac:dyDescent="0.2">
      <c r="A163" s="21" t="s">
        <v>39</v>
      </c>
      <c r="B163" s="19">
        <f>'DOE25'!F503</f>
        <v>31500</v>
      </c>
      <c r="C163" s="19">
        <f>'DOE25'!G503</f>
        <v>0</v>
      </c>
      <c r="D163" s="19">
        <f>'DOE25'!H503</f>
        <v>0</v>
      </c>
      <c r="E163" s="19">
        <f>'DOE25'!I503</f>
        <v>0</v>
      </c>
      <c r="F163" s="19">
        <f>'DOE25'!J503</f>
        <v>0</v>
      </c>
      <c r="G163" s="96">
        <f t="shared" si="8"/>
        <v>31500</v>
      </c>
    </row>
    <row r="164" spans="1:7" x14ac:dyDescent="0.2">
      <c r="A164" s="21" t="s">
        <v>246</v>
      </c>
      <c r="B164" s="19">
        <f>'DOE25'!F504</f>
        <v>231500</v>
      </c>
      <c r="C164" s="19">
        <f>'DOE25'!G504</f>
        <v>0</v>
      </c>
      <c r="D164" s="19">
        <f>'DOE25'!H504</f>
        <v>0</v>
      </c>
      <c r="E164" s="19">
        <f>'DOE25'!I504</f>
        <v>0</v>
      </c>
      <c r="F164" s="19">
        <f>'DOE25'!J504</f>
        <v>0</v>
      </c>
      <c r="G164" s="96">
        <f t="shared" si="8"/>
        <v>231500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Bow</v>
      </c>
    </row>
    <row r="3" spans="1:4" x14ac:dyDescent="0.2">
      <c r="B3" s="137" t="s">
        <v>1799</v>
      </c>
    </row>
    <row r="4" spans="1:4" x14ac:dyDescent="0.2">
      <c r="B4" t="s">
        <v>61</v>
      </c>
      <c r="C4" s="129">
        <f>IF('DOE25'!F666+'DOE25'!F671=0,0,ROUND('DOE25'!F673,0))</f>
        <v>16532</v>
      </c>
    </row>
    <row r="5" spans="1:4" x14ac:dyDescent="0.2">
      <c r="B5" t="s">
        <v>700</v>
      </c>
      <c r="C5" s="129">
        <f>IF('DOE25'!G666+'DOE25'!G671=0,0,ROUND('DOE25'!G673,0))</f>
        <v>15957</v>
      </c>
    </row>
    <row r="6" spans="1:4" x14ac:dyDescent="0.2">
      <c r="B6" t="s">
        <v>62</v>
      </c>
      <c r="C6" s="129">
        <f>IF('DOE25'!H666+'DOE25'!H671=0,0,ROUND('DOE25'!H673,0))</f>
        <v>19719</v>
      </c>
    </row>
    <row r="7" spans="1:4" x14ac:dyDescent="0.2">
      <c r="B7" t="s">
        <v>701</v>
      </c>
      <c r="C7" s="129">
        <f>IF('DOE25'!I666+'DOE25'!I671=0,0,ROUND('DOE25'!I673,0))</f>
        <v>17464</v>
      </c>
    </row>
    <row r="9" spans="1:4" x14ac:dyDescent="0.2">
      <c r="A9" s="136" t="s">
        <v>94</v>
      </c>
      <c r="B9" s="137" t="s">
        <v>1800</v>
      </c>
      <c r="C9" s="131" t="s">
        <v>720</v>
      </c>
      <c r="D9" s="131" t="s">
        <v>721</v>
      </c>
    </row>
    <row r="10" spans="1:4" x14ac:dyDescent="0.2">
      <c r="A10">
        <v>1100</v>
      </c>
      <c r="B10" t="s">
        <v>702</v>
      </c>
      <c r="C10" s="129">
        <f>ROUND('DOE25'!L198+'DOE25'!L216+'DOE25'!L234+'DOE25'!L277+'DOE25'!L296+'DOE25'!L315,0)</f>
        <v>13423418</v>
      </c>
      <c r="D10" s="132">
        <f>ROUND((C10/$C$28)*100,1)</f>
        <v>42.3</v>
      </c>
    </row>
    <row r="11" spans="1:4" x14ac:dyDescent="0.2">
      <c r="A11">
        <v>1200</v>
      </c>
      <c r="B11" t="s">
        <v>703</v>
      </c>
      <c r="C11" s="129">
        <f>ROUND('DOE25'!L199+'DOE25'!L217+'DOE25'!L235+'DOE25'!L278+'DOE25'!L297+'DOE25'!L316,0)</f>
        <v>6150418</v>
      </c>
      <c r="D11" s="132">
        <f>ROUND((C11/$C$28)*100,1)</f>
        <v>19.399999999999999</v>
      </c>
    </row>
    <row r="12" spans="1:4" x14ac:dyDescent="0.2">
      <c r="A12">
        <v>1300</v>
      </c>
      <c r="B12" t="s">
        <v>704</v>
      </c>
      <c r="C12" s="129">
        <f>ROUND('DOE25'!L200+'DOE25'!L218+'DOE25'!L236+'DOE25'!L279+'DOE25'!L298+'DOE25'!L317,0)</f>
        <v>263839</v>
      </c>
      <c r="D12" s="132">
        <f>ROUND((C12/$C$28)*100,1)</f>
        <v>0.8</v>
      </c>
    </row>
    <row r="13" spans="1:4" x14ac:dyDescent="0.2">
      <c r="A13">
        <v>1400</v>
      </c>
      <c r="B13" t="s">
        <v>705</v>
      </c>
      <c r="C13" s="129">
        <f>ROUND('DOE25'!L201+'DOE25'!L219+'DOE25'!L237+'DOE25'!L280+'DOE25'!L299+'DOE25'!L318,0)</f>
        <v>798149</v>
      </c>
      <c r="D13" s="132">
        <f>ROUND((C13/$C$28)*100,1)</f>
        <v>2.5</v>
      </c>
    </row>
    <row r="14" spans="1:4" x14ac:dyDescent="0.2">
      <c r="D14" s="132"/>
    </row>
    <row r="15" spans="1:4" x14ac:dyDescent="0.2">
      <c r="A15">
        <v>2100</v>
      </c>
      <c r="B15" t="s">
        <v>706</v>
      </c>
      <c r="C15" s="129">
        <f>ROUND('DOE25'!L203+'DOE25'!L221+'DOE25'!L239+'DOE25'!L282+'DOE25'!L301+'DOE25'!L320,0)</f>
        <v>2793222</v>
      </c>
      <c r="D15" s="132">
        <f t="shared" ref="D15:D27" si="0">ROUND((C15/$C$28)*100,1)</f>
        <v>8.8000000000000007</v>
      </c>
    </row>
    <row r="16" spans="1:4" x14ac:dyDescent="0.2">
      <c r="A16">
        <v>2200</v>
      </c>
      <c r="B16" t="s">
        <v>707</v>
      </c>
      <c r="C16" s="129">
        <f>ROUND('DOE25'!L204+'DOE25'!L222+'DOE25'!L240+'DOE25'!L283+'DOE25'!L302+'DOE25'!L321,0)</f>
        <v>1569926</v>
      </c>
      <c r="D16" s="132">
        <f t="shared" si="0"/>
        <v>4.9000000000000004</v>
      </c>
    </row>
    <row r="17" spans="1:4" x14ac:dyDescent="0.2">
      <c r="A17" s="133" t="s">
        <v>723</v>
      </c>
      <c r="B17" t="s">
        <v>738</v>
      </c>
      <c r="C17" s="129">
        <f>ROUND('DOE25'!L205+'DOE25'!L210+'DOE25'!L223+'DOE25'!L228+'DOE25'!L241+'DOE25'!L246+'DOE25'!L284+'DOE25'!L289+'DOE25'!L303+'DOE25'!L308+'DOE25'!L322+'DOE25'!L327,0)</f>
        <v>1021093</v>
      </c>
      <c r="D17" s="132">
        <f t="shared" si="0"/>
        <v>3.2</v>
      </c>
    </row>
    <row r="18" spans="1:4" x14ac:dyDescent="0.2">
      <c r="A18">
        <v>2400</v>
      </c>
      <c r="B18" t="s">
        <v>711</v>
      </c>
      <c r="C18" s="129">
        <f>ROUND('DOE25'!L206+'DOE25'!L224+'DOE25'!L242+'DOE25'!L285+'DOE25'!L304+'DOE25'!L323,0)</f>
        <v>1558578</v>
      </c>
      <c r="D18" s="132">
        <f t="shared" si="0"/>
        <v>4.9000000000000004</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2566575</v>
      </c>
      <c r="D20" s="132">
        <f t="shared" si="0"/>
        <v>8.1</v>
      </c>
    </row>
    <row r="21" spans="1:4" x14ac:dyDescent="0.2">
      <c r="A21">
        <v>2700</v>
      </c>
      <c r="B21" t="s">
        <v>710</v>
      </c>
      <c r="C21" s="129">
        <f>ROUND('DOE25'!L209+'DOE25'!L227+'DOE25'!L245+'DOE25'!L288+'DOE25'!L307+'DOE25'!L326,0)</f>
        <v>1257131</v>
      </c>
      <c r="D21" s="132">
        <f t="shared" si="0"/>
        <v>4</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40500</v>
      </c>
      <c r="D25" s="132">
        <f t="shared" si="0"/>
        <v>0.1</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306379.78000000003</v>
      </c>
      <c r="D27" s="132">
        <f t="shared" si="0"/>
        <v>1</v>
      </c>
    </row>
    <row r="28" spans="1:4" x14ac:dyDescent="0.2">
      <c r="B28" s="136" t="s">
        <v>719</v>
      </c>
      <c r="C28" s="130">
        <f>SUM(C10:C27)</f>
        <v>31749228.780000001</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31749228.780000001</v>
      </c>
    </row>
    <row r="31" spans="1:4" x14ac:dyDescent="0.2">
      <c r="B31" s="32"/>
      <c r="C31" s="130"/>
    </row>
    <row r="32" spans="1:4" x14ac:dyDescent="0.2">
      <c r="A32">
        <v>5100</v>
      </c>
      <c r="B32" s="32" t="s">
        <v>726</v>
      </c>
      <c r="C32" s="130">
        <f>ROUND('DOE25'!L261+'DOE25'!L342,0)</f>
        <v>200000</v>
      </c>
    </row>
    <row r="34" spans="1:4" x14ac:dyDescent="0.2">
      <c r="A34" s="136" t="s">
        <v>94</v>
      </c>
      <c r="B34" s="137" t="s">
        <v>1801</v>
      </c>
      <c r="C34" s="131" t="s">
        <v>720</v>
      </c>
      <c r="D34" s="131" t="s">
        <v>721</v>
      </c>
    </row>
    <row r="35" spans="1:4" x14ac:dyDescent="0.2">
      <c r="A35">
        <v>1100</v>
      </c>
      <c r="B35" s="71" t="s">
        <v>727</v>
      </c>
      <c r="C35" s="129">
        <f>ROUND('DOE25'!F60+'DOE25'!G60+'DOE25'!H60+'DOE25'!I60+'DOE25'!J60,0)</f>
        <v>20237883</v>
      </c>
      <c r="D35" s="132">
        <f t="shared" ref="D35:D40" si="1">ROUND((C35/$C$41)*100,1)</f>
        <v>62.3</v>
      </c>
    </row>
    <row r="36" spans="1:4" x14ac:dyDescent="0.2">
      <c r="B36" s="71" t="s">
        <v>739</v>
      </c>
      <c r="C36" s="129">
        <f>SUM('DOE25'!F112:J112)-SUM('DOE25'!G97:G110)+('DOE25'!F175+'DOE25'!F176+'DOE25'!I175+'DOE25'!I176)-C35</f>
        <v>3945358.0799999982</v>
      </c>
      <c r="D36" s="132">
        <f t="shared" si="1"/>
        <v>12.2</v>
      </c>
    </row>
    <row r="37" spans="1:4" x14ac:dyDescent="0.2">
      <c r="A37" s="133" t="s">
        <v>834</v>
      </c>
      <c r="B37" s="71" t="s">
        <v>728</v>
      </c>
      <c r="C37" s="129">
        <f>ROUND('DOE25'!F117+'DOE25'!F118,0)</f>
        <v>6395905</v>
      </c>
      <c r="D37" s="132">
        <f t="shared" si="1"/>
        <v>19.7</v>
      </c>
    </row>
    <row r="38" spans="1:4" x14ac:dyDescent="0.2">
      <c r="A38" s="133" t="s">
        <v>734</v>
      </c>
      <c r="B38" s="71" t="s">
        <v>729</v>
      </c>
      <c r="C38" s="129">
        <f>ROUND(SUM('DOE25'!F140:J140)-SUM('DOE25'!F117:F119),0)</f>
        <v>772883</v>
      </c>
      <c r="D38" s="132">
        <f t="shared" si="1"/>
        <v>2.4</v>
      </c>
    </row>
    <row r="39" spans="1:4" x14ac:dyDescent="0.2">
      <c r="A39">
        <v>4000</v>
      </c>
      <c r="B39" s="71" t="s">
        <v>730</v>
      </c>
      <c r="C39" s="129">
        <f>ROUND('DOE25'!F170+'DOE25'!G170+'DOE25'!H170+'DOE25'!I170,0)</f>
        <v>1108429</v>
      </c>
      <c r="D39" s="132">
        <f t="shared" si="1"/>
        <v>3.4</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32460458.079999998</v>
      </c>
      <c r="D41" s="134">
        <f>SUM(D35:D40)</f>
        <v>100.00000000000001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Bow</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29</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7</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6</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f>IF('School Level Expenditures'!$B$2='School Tables'!W9,'School Tables'!AD9,"")</f>
        <v>6</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f>IF('School Level Expenditures'!$B$2='School Tables'!L10,'School Tables'!S10,"")</f>
        <v>7</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f>IF('School Level Expenditures'!$B$2=A32,'School Tables'!H32,"")</f>
        <v>29</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2023-08-31T12:42:48Z</cp:lastPrinted>
  <dcterms:created xsi:type="dcterms:W3CDTF">1997-12-04T19:04:30Z</dcterms:created>
  <dcterms:modified xsi:type="dcterms:W3CDTF">2023-12-28T16:16:25Z</dcterms:modified>
</cp:coreProperties>
</file>