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037B5745-DC62-49CB-8EB6-45CFBEC7656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C13" i="10"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25" i="2" l="1"/>
  <c r="H23" i="2"/>
  <c r="H11" i="2"/>
  <c r="E112" i="2"/>
  <c r="H89" i="2"/>
  <c r="H72" i="2"/>
  <c r="H59" i="2"/>
  <c r="H34" i="2"/>
  <c r="M2" i="14"/>
  <c r="M3" i="14" s="1"/>
  <c r="H100" i="2"/>
  <c r="H77" i="2"/>
  <c r="H112" i="2"/>
  <c r="H94" i="2"/>
  <c r="H29" i="2"/>
  <c r="H27" i="2"/>
  <c r="H24" i="2"/>
  <c r="H12" i="2"/>
  <c r="J140" i="1"/>
  <c r="D18" i="13"/>
  <c r="C18" i="13" s="1"/>
  <c r="C121" i="2"/>
  <c r="H121" i="2" s="1"/>
  <c r="C12" i="10"/>
  <c r="H85" i="2"/>
  <c r="H98" i="2"/>
  <c r="H15" i="2"/>
  <c r="H135" i="2"/>
  <c r="H80" i="2"/>
  <c r="H477" i="1"/>
  <c r="H625" i="1" s="1"/>
  <c r="H101" i="2"/>
  <c r="H99" i="2"/>
  <c r="H58" i="2"/>
  <c r="H132" i="2"/>
  <c r="C110" i="2"/>
  <c r="H36" i="2"/>
  <c r="H44" i="2"/>
  <c r="H48" i="2"/>
  <c r="H102" i="2"/>
  <c r="I409" i="1"/>
  <c r="H97" i="2"/>
  <c r="H93" i="2"/>
  <c r="H87" i="2"/>
  <c r="H61" i="2"/>
  <c r="H26" i="2"/>
  <c r="H22" i="2"/>
  <c r="J112" i="1"/>
  <c r="J194" i="1" s="1"/>
  <c r="G647" i="1" s="1"/>
  <c r="E121" i="2"/>
  <c r="N2" i="14"/>
  <c r="N3" i="14" s="1"/>
  <c r="H73" i="2"/>
  <c r="D144" i="2"/>
  <c r="H134" i="2"/>
  <c r="H96" i="2"/>
  <c r="H35" i="2"/>
  <c r="H13" i="2"/>
  <c r="H9" i="2"/>
  <c r="D6" i="13"/>
  <c r="C6" i="13" s="1"/>
  <c r="L2" i="14"/>
  <c r="L3" i="14" s="1"/>
  <c r="J652" i="1"/>
  <c r="G62" i="2"/>
  <c r="G63" i="2" s="1"/>
  <c r="H8" i="2"/>
  <c r="D15" i="13"/>
  <c r="C15" i="13" s="1"/>
  <c r="C120" i="2"/>
  <c r="H120" i="2" s="1"/>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H103" i="2" l="1"/>
  <c r="E128" i="2"/>
  <c r="H18" i="2"/>
  <c r="H42" i="2"/>
  <c r="I663" i="1"/>
  <c r="H31" i="2"/>
  <c r="H62" i="2"/>
  <c r="H91" i="2"/>
  <c r="H122" i="2"/>
  <c r="H123" i="2"/>
  <c r="H114" i="2"/>
  <c r="H21" i="2"/>
  <c r="D128" i="2"/>
  <c r="D145" i="2" s="1"/>
  <c r="H127" i="2"/>
  <c r="H78" i="2"/>
  <c r="H57" i="2"/>
  <c r="H16" i="2"/>
  <c r="H50"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<sst xmlns="http://schemas.openxmlformats.org/spreadsheetml/2006/main" count="6557" uniqueCount="1813">
  <si>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</si>
  <si>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</si>
  <si>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</si>
  <si>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</si>
  <si>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</si>
  <si>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</si>
  <si>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</si>
  <si>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</si>
  <si>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</si>
  <si>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</si>
  <si>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</si>
  <si>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</si>
  <si>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</si>
  <si>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</si>
  <si>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</si>
  <si>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</si>
  <si>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</si>
  <si>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</si>
  <si>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</si>
  <si>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</si>
  <si>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</si>
  <si>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</si>
  <si>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</si>
  <si>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</si>
  <si>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</si>
  <si>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</si>
  <si>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</si>
  <si>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</si>
  <si>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</si>
  <si>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</si>
  <si>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</si>
  <si>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</si>
  <si>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</si>
  <si>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</si>
  <si>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</si>
  <si>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</si>
  <si>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</si>
  <si>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</si>
  <si>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</si>
  <si>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</si>
  <si>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</si>
  <si>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</si>
  <si>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</si>
  <si>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</si>
  <si>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</si>
  <si>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</si>
  <si>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</si>
  <si>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</si>
  <si>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</si>
  <si>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</si>
  <si>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</si>
  <si>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</si>
  <si>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</si>
  <si>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</si>
  <si>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</si>
  <si>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</si>
  <si>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</si>
  <si>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</si>
  <si>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</si>
  <si>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</si>
  <si>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</si>
  <si>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</si>
  <si>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</si>
  <si>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</si>
  <si>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</si>
  <si>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</si>
  <si>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</si>
  <si>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</si>
  <si>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</si>
  <si>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</si>
  <si>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</si>
  <si>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</si>
  <si>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</si>
  <si>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</si>
  <si>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</si>
  <si>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</si>
  <si>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</si>
  <si>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</si>
  <si>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</si>
  <si>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</si>
  <si>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</si>
  <si>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</si>
  <si>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</si>
  <si>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</si>
  <si>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</si>
  <si>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</si>
  <si>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</si>
  <si>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</si>
  <si>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</si>
  <si>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</si>
  <si>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</si>
  <si>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</si>
  <si>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</si>
  <si>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</si>
  <si>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</si>
  <si>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</si>
  <si>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</si>
  <si>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</si>
  <si>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</si>
  <si>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</si>
  <si>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</si>
  <si>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</si>
  <si>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</si>
  <si>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</si>
  <si>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</si>
  <si>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</si>
  <si>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</si>
  <si>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</si>
  <si>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</si>
  <si>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</si>
  <si>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</si>
  <si>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</si>
  <si>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</si>
  <si>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</si>
  <si>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</si>
  <si>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</si>
  <si>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</si>
  <si>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</si>
  <si>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</si>
  <si>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</si>
  <si>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</si>
  <si>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</si>
  <si>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</si>
  <si>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</si>
  <si>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</si>
  <si>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</si>
  <si>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</si>
  <si>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</si>
  <si>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</si>
  <si>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</si>
  <si>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</si>
  <si>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</si>
  <si>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</si>
  <si>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</si>
  <si>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</si>
  <si>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</si>
  <si>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</si>
  <si>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</si>
  <si>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</si>
  <si>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</si>
  <si>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</si>
  <si>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</si>
  <si>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</si>
  <si>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</si>
  <si>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</si>
  <si>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</si>
  <si>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</si>
  <si>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</si>
  <si>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</si>
  <si>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</si>
  <si>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</si>
  <si>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</si>
  <si>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</si>
  <si>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</si>
  <si>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</si>
  <si>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</si>
  <si>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</si>
  <si>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</si>
  <si>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</si>
  <si>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</si>
  <si>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</si>
  <si>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</si>
  <si>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</si>
  <si>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</si>
  <si>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</si>
  <si>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</si>
  <si>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</si>
  <si>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</si>
  <si>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</si>
  <si>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</si>
  <si>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</si>
  <si>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</si>
  <si>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</si>
  <si>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</si>
  <si>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</si>
  <si>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</si>
  <si>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</si>
  <si>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</si>
  <si>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</si>
  <si>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</si>
  <si>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</si>
  <si>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</si>
  <si>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</si>
  <si>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</si>
  <si>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</si>
  <si>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</si>
  <si>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</si>
  <si>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</si>
  <si>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</si>
  <si>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</si>
  <si>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</si>
  <si>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</si>
  <si>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</si>
  <si>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</si>
  <si>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</si>
  <si>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</si>
  <si>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</si>
  <si>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</si>
  <si>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</si>
  <si>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</si>
  <si>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</si>
  <si>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</si>
  <si>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</si>
  <si>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</si>
  <si>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</si>
  <si>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</si>
  <si>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</si>
  <si>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</si>
  <si>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</si>
  <si>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</si>
  <si>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</si>
  <si>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</si>
  <si>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</si>
  <si>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</si>
  <si>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</si>
  <si>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</si>
  <si>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</si>
  <si>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</si>
  <si>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</si>
  <si>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</si>
  <si>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</si>
  <si>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</si>
  <si>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</si>
  <si>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</si>
  <si>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</si>
  <si>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</si>
  <si>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</si>
  <si>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</si>
  <si>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</si>
  <si>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</si>
  <si>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</si>
  <si>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</si>
  <si>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</si>
  <si>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</si>
  <si>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</si>
  <si>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</si>
  <si>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</si>
  <si>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</si>
  <si>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</si>
  <si>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</si>
  <si>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</si>
  <si>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</si>
  <si>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</si>
  <si>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</si>
  <si>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</si>
  <si>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</si>
  <si>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</si>
  <si>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</si>
  <si>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</si>
  <si>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</si>
  <si>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</si>
  <si>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</si>
  <si>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</si>
  <si>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</si>
  <si>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</si>
  <si>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</si>
  <si>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</si>
  <si>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</si>
  <si>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</si>
  <si>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</si>
  <si>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</si>
  <si>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</si>
  <si>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</si>
  <si>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</si>
  <si>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</si>
  <si>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</si>
  <si>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</si>
  <si>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</si>
  <si>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</si>
  <si>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</si>
  <si>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</si>
  <si>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</si>
  <si>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</si>
  <si>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</si>
  <si>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</si>
  <si>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</si>
  <si>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</si>
  <si>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</si>
  <si>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</si>
  <si>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</si>
  <si>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</si>
  <si>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</si>
  <si>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</si>
  <si>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</si>
  <si>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</si>
  <si>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</si>
  <si>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</si>
  <si>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</si>
  <si>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</si>
  <si>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</si>
  <si>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</si>
  <si>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</si>
  <si>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</si>
  <si>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</si>
  <si>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</si>
  <si>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</si>
  <si>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</si>
  <si>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</si>
  <si>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</si>
  <si>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</si>
  <si>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</si>
  <si>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</si>
  <si>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</si>
  <si>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</si>
  <si>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</si>
  <si>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</si>
  <si>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</si>
  <si>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</si>
  <si>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</si>
  <si>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</si>
  <si>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</si>
  <si>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</si>
  <si>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</si>
  <si>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</si>
  <si>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</si>
  <si>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</si>
  <si>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</si>
  <si>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</si>
  <si>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</si>
  <si>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</si>
  <si>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</si>
  <si>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</si>
  <si>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</si>
  <si>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</si>
  <si>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</si>
  <si>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</si>
  <si>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</si>
  <si>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</si>
  <si>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</si>
  <si>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</si>
  <si>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</si>
  <si>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</si>
  <si>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</si>
  <si>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</si>
  <si>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</si>
  <si>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</si>
  <si>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</si>
  <si>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</si>
  <si>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</si>
  <si>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</si>
  <si>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</si>
  <si>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</si>
  <si>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</si>
  <si>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</si>
  <si>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</si>
  <si>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</si>
  <si>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</si>
  <si>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</si>
  <si>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</si>
  <si>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</si>
  <si>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</si>
  <si>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</si>
  <si>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</si>
  <si>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</si>
  <si>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</si>
  <si>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</si>
  <si>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</si>
  <si>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</si>
  <si>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</si>
  <si>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</si>
  <si>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</si>
  <si>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</si>
  <si>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</si>
  <si>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</si>
  <si>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</si>
  <si>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</si>
  <si>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</si>
  <si>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</si>
  <si>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</si>
  <si>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</si>
  <si>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</si>
  <si>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</si>
  <si>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</si>
  <si>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</si>
  <si>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</si>
  <si>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</si>
  <si>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</si>
  <si>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</si>
  <si>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</si>
  <si>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</si>
  <si>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</si>
  <si>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</si>
  <si>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</si>
  <si>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</si>
  <si>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</si>
  <si>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</si>
  <si>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</si>
  <si>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</si>
  <si>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</si>
  <si>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</si>
  <si>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</si>
  <si>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</si>
  <si>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</si>
  <si>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</si>
  <si>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</si>
  <si>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</si>
  <si>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</si>
  <si>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</si>
  <si>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</si>
  <si>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</si>
  <si>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</si>
  <si>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</si>
  <si>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</si>
  <si>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</si>
  <si>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</si>
  <si>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</si>
  <si>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</si>
  <si>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</si>
  <si>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</si>
  <si>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</si>
  <si>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</si>
  <si>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</si>
  <si>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</si>
  <si>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</si>
  <si>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</si>
  <si>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</si>
  <si>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</si>
  <si>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</si>
  <si>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</si>
  <si>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</si>
  <si>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</si>
  <si>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</si>
  <si>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</si>
  <si>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</si>
  <si>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</si>
  <si>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</si>
  <si>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</si>
  <si>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</si>
  <si>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</si>
  <si>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</si>
  <si>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</si>
  <si>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</si>
  <si>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</si>
  <si>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</si>
  <si>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</si>
  <si>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</si>
  <si>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</si>
  <si>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</si>
  <si>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</si>
  <si>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</si>
  <si>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</si>
  <si>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</si>
  <si>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</si>
  <si>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</si>
  <si>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</si>
  <si>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</si>
  <si>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</si>
  <si>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</si>
  <si>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</si>
  <si>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</si>
  <si>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</si>
  <si>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</si>
  <si>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</si>
  <si>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</si>
  <si>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</si>
  <si>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</si>
  <si>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</si>
  <si>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</si>
  <si>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</si>
  <si>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</si>
  <si>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</si>
  <si>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</si>
  <si>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</si>
  <si>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</si>
  <si>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</si>
  <si>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</si>
  <si>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</si>
  <si>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</si>
  <si>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</si>
  <si>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</si>
  <si>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</si>
  <si>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</si>
  <si>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</si>
  <si>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</si>
  <si>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</si>
  <si>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</si>
  <si>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</si>
  <si>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</si>
  <si>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</si>
  <si>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</si>
  <si>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</si>
  <si>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</si>
  <si>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</si>
  <si>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</si>
  <si>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</si>
  <si>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</si>
  <si>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</si>
  <si>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</si>
  <si>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</si>
  <si>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</si>
  <si>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</si>
  <si>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</si>
  <si>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</si>
  <si>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</si>
  <si>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</si>
  <si>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</si>
  <si>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</si>
  <si>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</si>
  <si>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</si>
  <si>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</si>
  <si>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</si>
  <si>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</si>
  <si>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</si>
  <si>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</si>
  <si>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</si>
  <si>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</si>
  <si>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</si>
  <si>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</si>
  <si>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</si>
  <si>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</si>
  <si>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</si>
  <si>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</si>
  <si>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</si>
  <si>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</si>
  <si>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</si>
  <si>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</si>
  <si>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</si>
  <si>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</si>
  <si>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</si>
  <si>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</si>
  <si>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</si>
  <si>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</si>
  <si>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</si>
  <si>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</si>
  <si>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</si>
  <si>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</si>
  <si>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</si>
  <si>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</si>
  <si>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</si>
  <si>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</si>
  <si>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</si>
  <si>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</si>
  <si>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</si>
  <si>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</si>
  <si>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</si>
  <si>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</si>
  <si>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</si>
  <si>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</si>
  <si>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</si>
  <si>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</si>
  <si>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</si>
  <si>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</si>
  <si>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</si>
  <si>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</si>
  <si>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</si>
  <si>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</si>
  <si>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</si>
  <si>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</si>
  <si>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</si>
  <si>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</si>
  <si>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</si>
  <si>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</si>
  <si>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</si>
  <si>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</si>
  <si>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</si>
  <si>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</si>
  <si>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</si>
  <si>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</si>
  <si>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</si>
  <si>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</si>
  <si>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</si>
  <si>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</si>
  <si>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</si>
  <si>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</si>
  <si>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</si>
  <si>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</si>
  <si>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</si>
  <si>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</si>
  <si>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</si>
  <si>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</si>
  <si>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</si>
  <si>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</si>
  <si>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</si>
  <si>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</si>
  <si>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</si>
  <si>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</si>
  <si>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</si>
  <si>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</si>
  <si>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</si>
  <si>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</si>
  <si>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</si>
  <si>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</si>
  <si>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</si>
  <si>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</si>
  <si>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</si>
  <si>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</si>
  <si>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</si>
  <si>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</si>
  <si>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</si>
  <si>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</si>
  <si>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</si>
  <si>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</si>
  <si>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</si>
  <si>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</si>
  <si>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</si>
  <si>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</si>
  <si>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</si>
  <si>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</si>
  <si>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</si>
  <si>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</si>
  <si>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</si>
  <si>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</si>
  <si>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</si>
  <si>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</si>
  <si>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</si>
  <si>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</si>
  <si>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</si>
  <si>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</si>
  <si>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</si>
  <si>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</si>
  <si>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</si>
  <si>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</si>
  <si>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</si>
  <si>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</si>
  <si>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</si>
  <si>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</si>
  <si>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</si>
  <si>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</si>
  <si>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</si>
  <si>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</si>
  <si>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</si>
  <si>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</si>
  <si>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</si>
  <si>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</si>
  <si>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</si>
  <si>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</si>
  <si>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</si>
  <si>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</si>
  <si>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</si>
  <si>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</si>
  <si>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</si>
  <si>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</si>
  <si>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</si>
  <si>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</si>
  <si>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</si>
  <si>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</si>
  <si>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</si>
  <si>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</si>
  <si>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</si>
  <si>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</si>
  <si>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</si>
  <si>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</si>
  <si>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</si>
  <si>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</si>
  <si>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</si>
  <si>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</si>
  <si>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</si>
  <si>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</si>
  <si>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</si>
  <si>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</si>
  <si>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</si>
  <si>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</si>
  <si>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</si>
  <si>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</si>
  <si>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</si>
  <si>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</si>
  <si>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</si>
  <si>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</si>
  <si>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</si>
  <si>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</si>
  <si>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</si>
  <si>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</si>
  <si>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</si>
  <si>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</si>
  <si>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</si>
  <si>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</si>
  <si>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</si>
  <si>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</si>
  <si>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</si>
  <si>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</si>
  <si>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</si>
  <si>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</si>
  <si>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</si>
  <si>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</si>
  <si>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</si>
  <si>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</si>
  <si>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</si>
  <si>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</si>
  <si>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</si>
  <si>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</si>
  <si>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</si>
  <si>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</si>
  <si>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</si>
  <si>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</si>
  <si>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</si>
  <si>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</si>
  <si>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</si>
  <si>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</si>
  <si>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</si>
  <si>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</si>
  <si>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</si>
  <si>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</si>
  <si>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</si>
  <si>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</si>
  <si>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</si>
  <si>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</si>
  <si>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</si>
  <si>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</si>
  <si>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</si>
  <si>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</si>
  <si>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</si>
  <si>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</si>
  <si>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</si>
  <si>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</si>
  <si>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</si>
  <si>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</si>
  <si>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</si>
  <si>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</si>
  <si>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</si>
  <si>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</si>
  <si>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</si>
  <si>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</si>
  <si>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</si>
  <si>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</si>
  <si>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</si>
  <si>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</si>
  <si>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</si>
  <si>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</si>
  <si>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</si>
  <si>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</si>
  <si>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</si>
  <si>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</si>
  <si>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</si>
  <si>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</si>
  <si>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</si>
  <si>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</si>
  <si>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</si>
  <si>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</si>
  <si>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</si>
  <si>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</si>
  <si>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</si>
  <si>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</si>
  <si>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</si>
  <si>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</si>
  <si>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</si>
  <si>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</si>
  <si>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</si>
  <si>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</si>
  <si>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</si>
  <si>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</si>
  <si>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</si>
  <si>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</si>
  <si>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</si>
  <si>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</si>
  <si>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</si>
  <si>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</si>
  <si>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</si>
  <si>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</si>
  <si>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</si>
  <si>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</si>
  <si>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</si>
  <si>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</si>
  <si>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</si>
  <si>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</si>
  <si>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</si>
  <si>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</si>
  <si>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</si>
  <si>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</si>
  <si>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</si>
  <si>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</si>
  <si>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</si>
  <si>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</si>
  <si>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</si>
  <si>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</si>
  <si>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</si>
  <si>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</si>
  <si>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</si>
  <si>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</si>
  <si>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</si>
  <si>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</si>
  <si>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</si>
  <si>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</si>
  <si>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</si>
  <si>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</si>
  <si>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</si>
  <si>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</si>
  <si>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</si>
  <si>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</si>
  <si>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</si>
  <si>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</si>
  <si>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</si>
  <si>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</si>
  <si>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</si>
  <si>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</si>
  <si>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</si>
  <si>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</si>
  <si>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</si>
  <si>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</si>
  <si>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</si>
  <si>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</si>
  <si>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</si>
  <si>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</si>
  <si>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</si>
  <si>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</si>
  <si>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</si>
  <si>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</si>
  <si>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</si>
  <si>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</si>
  <si>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</si>
  <si>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</si>
  <si>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</si>
  <si>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</si>
  <si>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</si>
  <si>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</si>
  <si>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</si>
  <si>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</si>
  <si>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</si>
  <si>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</si>
  <si>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</si>
  <si>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</si>
  <si>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</si>
  <si>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</si>
  <si>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</si>
  <si>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</si>
  <si>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</si>
  <si>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</si>
  <si>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</si>
  <si>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</si>
  <si>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</si>
  <si>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</si>
  <si>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</si>
  <si>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</si>
  <si>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</si>
  <si>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</si>
  <si>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</si>
  <si>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</si>
  <si>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</si>
  <si>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</si>
  <si>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</si>
  <si>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</si>
  <si>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</si>
  <si>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</si>
  <si>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</si>
  <si>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</si>
  <si>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</si>
  <si>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</si>
  <si>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</si>
  <si>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</si>
  <si>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</si>
  <si>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</si>
  <si>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</si>
  <si>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</si>
  <si>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</si>
  <si>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</si>
  <si>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</si>
  <si>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</si>
  <si>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</si>
  <si>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</si>
  <si>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</si>
  <si>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</si>
  <si>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</si>
  <si>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</si>
  <si>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</si>
  <si>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</si>
  <si>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</si>
  <si>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</si>
  <si>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</si>
  <si>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</si>
  <si>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</si>
  <si>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</si>
  <si>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</si>
  <si>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</si>
  <si>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</si>
  <si>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</si>
  <si>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</si>
  <si>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</si>
  <si>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</si>
  <si>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</si>
  <si>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</si>
  <si>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</si>
  <si>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</si>
  <si>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</si>
  <si>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</si>
  <si>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</si>
  <si>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</si>
  <si>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</si>
  <si>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</si>
  <si>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</si>
  <si>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</si>
  <si>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</si>
  <si>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</si>
  <si>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</si>
  <si>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</si>
  <si>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</si>
  <si>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</si>
  <si>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</si>
  <si>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</si>
  <si>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</si>
  <si>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</si>
  <si>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</si>
  <si>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</si>
  <si>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</si>
  <si>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</si>
  <si>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</si>
  <si>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</si>
  <si>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</si>
  <si>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</si>
  <si>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</si>
  <si>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</si>
  <si>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</si>
  <si>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</si>
  <si>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</si>
  <si>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</si>
  <si>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</si>
  <si>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</si>
  <si>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</si>
  <si>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</si>
  <si>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</si>
  <si>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</si>
  <si>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</si>
  <si>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</si>
  <si>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</si>
  <si>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</si>
  <si>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</si>
  <si>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</si>
  <si>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</si>
  <si>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</si>
  <si>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</si>
  <si>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</si>
  <si>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</si>
  <si>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</si>
  <si>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</si>
  <si>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</si>
  <si>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</si>
  <si>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</si>
  <si>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</si>
  <si>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</si>
  <si>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</si>
  <si>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</si>
  <si>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</si>
  <si>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</si>
  <si>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</si>
  <si>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</si>
  <si>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</si>
  <si>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</si>
  <si>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</si>
  <si>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</si>
  <si>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</si>
  <si>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</si>
  <si>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</si>
  <si>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</si>
  <si>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</si>
  <si>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</si>
  <si>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</si>
  <si>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</si>
  <si>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</si>
  <si>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</si>
  <si>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</si>
  <si>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</si>
  <si>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</si>
  <si>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</si>
  <si>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</si>
  <si>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</si>
  <si>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</si>
  <si>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</si>
  <si>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</si>
  <si>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</si>
  <si>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</si>
  <si>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</si>
  <si>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</si>
  <si>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</si>
  <si>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</si>
  <si>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</si>
  <si>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</si>
  <si>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</si>
  <si>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</si>
  <si>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</si>
  <si>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</si>
  <si>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</si>
  <si>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</si>
  <si>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</si>
  <si>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</si>
  <si>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</si>
  <si>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</si>
  <si>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</si>
  <si>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</si>
  <si>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</si>
  <si>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</si>
  <si>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</si>
  <si>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</si>
  <si>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</si>
  <si>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</si>
  <si>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</si>
  <si>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</si>
  <si>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</si>
  <si>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</si>
  <si>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</si>
  <si>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</si>
  <si>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</si>
  <si>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</si>
  <si>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</si>
  <si>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</si>
  <si>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</si>
  <si>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</si>
  <si>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</si>
  <si>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</si>
  <si>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</si>
  <si>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</si>
  <si>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</si>
  <si>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</si>
  <si>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</si>
  <si>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</si>
  <si>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</si>
  <si>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</si>
  <si>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</si>
  <si>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</si>
  <si>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</si>
  <si>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</si>
  <si>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</si>
  <si>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</si>
  <si>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</si>
  <si>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</si>
  <si>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</si>
  <si>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</si>
  <si>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</si>
  <si>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</si>
  <si>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</si>
  <si>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</si>
  <si>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</si>
  <si>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</si>
  <si>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</si>
  <si>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</si>
  <si>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</si>
  <si>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</si>
  <si>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</si>
  <si>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</si>
  <si>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</si>
  <si>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</si>
  <si>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</si>
  <si>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</si>
  <si>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</si>
  <si>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</si>
  <si>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</si>
  <si>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</si>
  <si>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</si>
  <si>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</si>
  <si>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</si>
  <si>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</si>
  <si>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</si>
  <si>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</si>
  <si>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</si>
  <si>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</si>
  <si>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</si>
  <si>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</si>
  <si>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</si>
  <si>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</si>
  <si>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</si>
  <si>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</si>
  <si>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</si>
  <si>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</si>
  <si>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</si>
  <si>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</si>
  <si>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</si>
  <si>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</si>
  <si>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</si>
  <si>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</si>
  <si>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</si>
  <si>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</si>
  <si>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</si>
  <si>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</si>
  <si>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</si>
  <si>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</si>
  <si>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</si>
  <si>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</si>
  <si>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</si>
  <si>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</si>
  <si>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</si>
  <si>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</si>
  <si>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</si>
  <si>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</si>
  <si>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</si>
  <si>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</si>
  <si>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</si>
  <si>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</si>
  <si>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</si>
  <si>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</si>
  <si>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</si>
  <si>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</si>
  <si>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</si>
  <si>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</si>
  <si>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</si>
  <si>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</si>
  <si>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</si>
  <si>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</si>
  <si>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</si>
  <si>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</si>
  <si>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</si>
  <si>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</si>
  <si>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</si>
  <si>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</si>
  <si>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</si>
  <si>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</si>
  <si>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</si>
  <si>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</si>
  <si>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</si>
  <si>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</si>
  <si>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</si>
  <si>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</si>
  <si>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</si>
  <si>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</si>
  <si>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</si>
  <si>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</si>
  <si>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</si>
  <si>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</si>
  <si>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</si>
  <si>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</si>
  <si>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</si>
  <si>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</si>
  <si>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</si>
  <si>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</si>
  <si>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</si>
  <si>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</si>
  <si>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</si>
  <si>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</si>
  <si>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</si>
  <si>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</si>
  <si>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</si>
  <si>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</si>
  <si>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</si>
  <si>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</si>
  <si>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</si>
  <si>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</si>
  <si>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</si>
  <si>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</si>
  <si>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</si>
  <si>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</si>
  <si>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</si>
  <si>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</si>
  <si>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</si>
  <si>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</si>
  <si>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</si>
  <si>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</si>
  <si>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</si>
  <si>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</si>
  <si>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</si>
  <si>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</si>
  <si>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</si>
  <si>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</si>
  <si>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</si>
  <si>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</si>
  <si>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</si>
  <si>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</si>
  <si>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</si>
  <si>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</si>
  <si>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</si>
  <si>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</si>
  <si>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</si>
  <si>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</si>
  <si>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</si>
  <si>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</si>
  <si>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</si>
  <si>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</si>
  <si>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</si>
  <si>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</si>
  <si>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</si>
  <si>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</si>
  <si>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</si>
  <si>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</si>
  <si>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</si>
  <si>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</si>
  <si>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</si>
  <si>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</si>
  <si>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</si>
  <si>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</si>
  <si>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</si>
  <si>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</si>
  <si>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</si>
  <si>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</si>
  <si>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</si>
  <si>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</si>
  <si>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</si>
  <si>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</si>
  <si>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</si>
  <si>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</si>
  <si>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</si>
  <si>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</si>
  <si>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</si>
  <si>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</si>
  <si>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</si>
  <si>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</si>
  <si>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</si>
  <si>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</si>
  <si>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</si>
  <si>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</si>
  <si>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</si>
  <si>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</si>
  <si>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</si>
  <si>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</si>
  <si>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</si>
  <si>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</si>
  <si>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</si>
  <si>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</si>
  <si>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</si>
  <si>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</si>
  <si>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</si>
  <si>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</si>
  <si>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</si>
  <si>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</si>
  <si>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</si>
  <si>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</si>
  <si>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</si>
  <si>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</si>
  <si>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</si>
  <si>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</si>
  <si>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</si>
  <si>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</si>
  <si>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</si>
  <si>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</si>
  <si>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</si>
  <si>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</si>
  <si>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</si>
  <si>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</si>
  <si>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</si>
  <si>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</si>
  <si>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</si>
  <si>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</si>
  <si>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</si>
  <si>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</si>
  <si>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</si>
  <si>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</si>
  <si>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</si>
  <si>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</si>
  <si>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</si>
  <si>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</si>
  <si>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</si>
  <si>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</si>
  <si>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</si>
  <si>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</si>
  <si>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</si>
  <si>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</si>
  <si>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</si>
  <si>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</si>
  <si>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</si>
  <si>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</si>
  <si>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</si>
  <si>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</si>
  <si>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</si>
  <si>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</si>
  <si>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</si>
  <si>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</si>
  <si>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</si>
  <si>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</si>
  <si>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</si>
  <si>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</si>
  <si>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</si>
  <si>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</si>
  <si>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</si>
  <si>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</si>
  <si>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</si>
  <si>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</si>
  <si>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</si>
  <si>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</si>
  <si>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</si>
  <si>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</si>
  <si>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</si>
  <si>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</si>
  <si>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</si>
  <si>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</si>
  <si>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</si>
  <si>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</si>
  <si>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</si>
  <si>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</si>
  <si>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</si>
  <si>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</si>
  <si>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</si>
  <si>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</si>
  <si>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</si>
  <si>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</si>
  <si>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</si>
  <si>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</si>
  <si>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</si>
  <si>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</si>
  <si>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</si>
  <si>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</si>
  <si>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</si>
  <si>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</si>
  <si>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</si>
  <si>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</si>
  <si>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</si>
  <si>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</si>
  <si>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</si>
  <si>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</si>
  <si>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</si>
  <si>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</si>
  <si>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</si>
  <si>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</si>
  <si>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</si>
  <si>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</si>
  <si>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</si>
  <si>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</si>
  <si>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</si>
  <si>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</si>
  <si>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</si>
  <si>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</si>
  <si>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</si>
  <si>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</si>
  <si>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</si>
  <si>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</si>
  <si>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</si>
  <si>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</si>
  <si>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</si>
  <si>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</si>
  <si>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</si>
  <si>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</si>
  <si>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</si>
  <si>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</si>
  <si>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</si>
  <si>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</si>
  <si>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</si>
  <si>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</si>
  <si>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</si>
  <si>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</si>
  <si>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</si>
  <si>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</si>
  <si>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</si>
  <si>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</si>
  <si>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</si>
  <si>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</si>
  <si>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</si>
  <si>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</si>
  <si>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</si>
  <si>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</si>
  <si>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</si>
  <si>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</si>
  <si>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</si>
  <si>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</si>
  <si>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</si>
  <si>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</si>
  <si>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</si>
  <si>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</si>
  <si>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</si>
  <si>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</si>
  <si>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</si>
  <si>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</si>
  <si>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</si>
  <si>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</si>
  <si>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</si>
  <si>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</si>
  <si>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</si>
  <si>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</si>
  <si>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</si>
  <si>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</si>
  <si>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</si>
  <si>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</si>
  <si>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</si>
  <si>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</si>
  <si>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</si>
  <si>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</si>
  <si>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</si>
  <si>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</si>
  <si>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</si>
  <si>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</si>
  <si>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</si>
  <si>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</si>
  <si>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</si>
  <si>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</si>
  <si>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</si>
  <si>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</si>
  <si>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</si>
  <si>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</si>
  <si>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</si>
  <si>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</si>
  <si>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</si>
  <si>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</si>
  <si>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</si>
  <si>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</si>
  <si>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</si>
  <si>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</si>
  <si>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</si>
  <si>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</si>
  <si>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</si>
  <si>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</si>
  <si>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</si>
  <si>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</si>
  <si>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</si>
  <si>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</si>
  <si>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</si>
  <si>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</si>
  <si>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</si>
  <si>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</si>
  <si>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</si>
  <si>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</si>
  <si>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</si>
  <si>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</si>
  <si>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</si>
  <si>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</si>
  <si>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</si>
  <si>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</si>
  <si>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</si>
  <si>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</si>
  <si>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</si>
  <si>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</si>
  <si>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</si>
  <si>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</si>
  <si>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</si>
  <si>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</si>
  <si>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</si>
  <si>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</si>
  <si>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</si>
  <si>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</si>
  <si>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</si>
  <si>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</si>
  <si>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</si>
  <si>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</si>
  <si>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</si>
  <si>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</si>
  <si>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</si>
  <si>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</si>
  <si>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</si>
  <si>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</si>
  <si>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</si>
  <si>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</si>
  <si>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</si>
  <si>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</si>
  <si>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</si>
  <si>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</si>
  <si>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</si>
  <si>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</si>
  <si>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</si>
  <si>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</si>
  <si>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</si>
  <si>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</si>
  <si>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</si>
  <si>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</si>
  <si>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</si>
  <si>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</si>
  <si>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</si>
  <si>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</si>
  <si>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</si>
  <si>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</si>
  <si>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</si>
  <si>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</si>
  <si>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</si>
  <si>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</si>
  <si>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</si>
  <si>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</si>
  <si>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</si>
  <si>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</si>
  <si>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</si>
  <si>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</si>
  <si>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</si>
  <si>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</si>
  <si>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</si>
  <si>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</si>
  <si>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</si>
  <si>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</si>
  <si>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</si>
  <si>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</si>
  <si>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</si>
  <si>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</si>
  <si>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</si>
  <si>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</si>
  <si>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</si>
  <si>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</si>
  <si>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</si>
  <si>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</si>
  <si>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</si>
  <si>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</si>
  <si>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</si>
  <si>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</si>
  <si>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</si>
  <si>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</si>
  <si>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</si>
  <si>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</si>
  <si>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</si>
  <si>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</si>
  <si>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</si>
  <si>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</si>
  <si>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</si>
  <si>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</si>
  <si>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</si>
  <si>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</si>
  <si>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</si>
  <si>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</si>
  <si>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</si>
  <si>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</si>
  <si>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</si>
  <si>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</si>
  <si>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</si>
  <si>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</si>
  <si>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</si>
  <si>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</si>
  <si>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</si>
  <si>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</si>
  <si>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</si>
  <si>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</si>
  <si>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</si>
  <si>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</si>
  <si>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</si>
  <si>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</si>
  <si>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</si>
  <si>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</si>
  <si>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</si>
  <si>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</si>
  <si>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</si>
  <si>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</si>
  <si>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</si>
  <si>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</si>
  <si>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</si>
  <si>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</si>
  <si>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</si>
  <si>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</si>
  <si>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</si>
  <si>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</si>
  <si>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</si>
  <si>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</si>
  <si>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</si>
  <si>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</si>
  <si>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</si>
  <si>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</si>
  <si>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</si>
  <si>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</si>
  <si>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</si>
  <si>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</si>
  <si>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</si>
  <si>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</si>
  <si>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</si>
  <si>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</si>
  <si>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</si>
  <si>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</si>
  <si>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</si>
  <si>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</si>
  <si>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</si>
  <si>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</si>
  <si>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</si>
  <si>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</si>
  <si>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</si>
  <si>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</si>
  <si>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</si>
  <si>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</si>
  <si>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</si>
  <si>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</si>
  <si>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</si>
  <si>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</si>
  <si>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</si>
  <si>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</si>
  <si>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</si>
  <si>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</si>
  <si>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</si>
  <si>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</si>
  <si>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</si>
  <si>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</si>
  <si>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</si>
  <si>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</si>
  <si>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</si>
  <si>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</si>
  <si>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</si>
  <si>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</si>
  <si>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</si>
  <si>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</si>
  <si>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</si>
  <si>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</si>
  <si>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</si>
  <si>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</si>
  <si>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</si>
  <si>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</si>
  <si>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</si>
  <si>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</si>
  <si>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</si>
  <si>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</si>
  <si>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</si>
  <si>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</si>
  <si>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</si>
  <si>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</si>
  <si>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</si>
  <si>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</si>
  <si>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</si>
  <si>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</si>
  <si>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</si>
  <si>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</si>
  <si>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</si>
  <si>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</si>
  <si>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</si>
  <si>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</si>
  <si>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</si>
  <si>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</si>
  <si>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</si>
  <si>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</si>
  <si>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</si>
  <si>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</si>
  <si>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</si>
  <si>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</si>
  <si>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</si>
  <si>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</si>
  <si>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</si>
  <si>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</si>
  <si>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</si>
  <si>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</si>
  <si>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</si>
  <si>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</si>
  <si>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</si>
  <si>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</si>
  <si>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</si>
  <si>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</si>
  <si>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</si>
  <si>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</si>
  <si>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</si>
  <si>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</si>
  <si>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</si>
  <si>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</si>
  <si>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</si>
  <si>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</si>
  <si>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</si>
  <si>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</si>
  <si>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</si>
  <si>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</si>
  <si>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</si>
  <si>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</si>
  <si>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</si>
  <si>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</si>
  <si>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</si>
  <si>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</si>
  <si>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</si>
  <si>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</si>
  <si>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</si>
  <si>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</si>
  <si>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</si>
  <si>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</si>
  <si>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</si>
  <si>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</si>
  <si>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</si>
  <si>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</si>
  <si>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</si>
  <si>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</si>
  <si>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</si>
  <si>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</si>
  <si>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</si>
  <si>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</si>
  <si>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</si>
  <si>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</si>
  <si>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</si>
  <si>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</si>
  <si>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</si>
  <si>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</si>
  <si>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</si>
  <si>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</si>
  <si>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</si>
  <si>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</si>
  <si>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</si>
  <si>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</si>
  <si>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</si>
  <si>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</si>
  <si>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</si>
  <si>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</si>
  <si>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</si>
  <si>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</si>
  <si>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</si>
  <si>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</si>
  <si>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</si>
  <si>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</si>
  <si>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</si>
  <si>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</si>
  <si>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</si>
  <si>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</si>
  <si>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</si>
  <si>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</si>
  <si>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</si>
  <si>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</si>
  <si>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</si>
  <si>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</si>
  <si>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</si>
  <si>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</si>
  <si>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</si>
  <si>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</si>
  <si>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</si>
  <si>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</si>
  <si>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</si>
  <si>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</si>
  <si>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</si>
  <si>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</si>
  <si>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</si>
  <si>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</si>
  <si>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</si>
  <si>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</si>
  <si>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</si>
  <si>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</si>
  <si>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</si>
  <si>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</si>
  <si>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</si>
  <si>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</si>
  <si>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</si>
  <si>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</si>
  <si>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</si>
  <si>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</si>
  <si>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</si>
  <si>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</si>
  <si>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</si>
  <si>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</si>
  <si>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</si>
  <si>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</si>
  <si>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</si>
  <si>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</si>
  <si>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</si>
  <si>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</si>
  <si>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</si>
  <si>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</si>
  <si>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</si>
  <si>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</si>
  <si>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</si>
  <si>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</si>
  <si>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</si>
  <si>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</si>
  <si>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</si>
  <si>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</si>
  <si>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</si>
  <si>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</si>
  <si>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</si>
  <si>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</si>
  <si>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</si>
  <si>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</si>
  <si>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</si>
  <si>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</si>
  <si>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</si>
  <si>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</si>
  <si>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</si>
  <si>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</si>
  <si>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</si>
  <si>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</si>
  <si>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</si>
  <si>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</si>
  <si>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</si>
  <si>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</si>
  <si>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</si>
  <si>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</si>
  <si>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</si>
  <si>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</si>
  <si>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</si>
  <si>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</si>
  <si>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</si>
  <si>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</si>
  <si>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</si>
  <si>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</si>
  <si>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</si>
  <si>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</si>
  <si>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</si>
  <si>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</si>
  <si>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</si>
  <si>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</si>
  <si>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</si>
  <si>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</si>
  <si>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</si>
  <si>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</si>
  <si>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</si>
  <si>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</si>
  <si>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</si>
  <si>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</si>
  <si>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</si>
  <si>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</si>
  <si>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</si>
  <si>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</si>
  <si>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</si>
  <si>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</si>
  <si>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</si>
  <si>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</si>
  <si>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</si>
  <si>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</si>
  <si>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</si>
  <si>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</si>
  <si>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</si>
  <si>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</si>
  <si>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</si>
  <si>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</si>
  <si>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</si>
  <si>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</si>
  <si>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</si>
  <si>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</si>
  <si>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</si>
  <si>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</si>
  <si>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</si>
  <si>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</si>
  <si>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</si>
  <si>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</si>
  <si>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</si>
  <si>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</si>
  <si>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</si>
  <si>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</si>
  <si>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</si>
  <si>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</si>
  <si>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</si>
  <si>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</si>
  <si>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</si>
  <si>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</si>
  <si>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</si>
  <si>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</si>
  <si>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</si>
  <si>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</si>
  <si>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</si>
  <si>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</si>
  <si>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</si>
  <si>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</si>
  <si>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</si>
  <si>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</si>
  <si>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</si>
  <si>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</si>
  <si>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</si>
  <si>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</si>
  <si>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</si>
  <si>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</si>
  <si>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</si>
  <si>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</si>
  <si>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</si>
  <si>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</si>
  <si>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</si>
  <si>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</si>
  <si>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</si>
  <si>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</si>
  <si>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</si>
  <si>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</si>
  <si>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</si>
  <si>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</si>
  <si>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</si>
  <si>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</si>
  <si>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Voided AP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</si>
</sst>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O468" sqref="O46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1757</v>
      </c>
      <c r="B2">
        <f>INDEX('School Tables'!$AH$3:$AH$209,MATCH('DOE25'!A2,'School Tables'!$AJ$3:$AJ$209,0))</f>
        <v>91</v>
      </c>
      <c r="C2">
        <f>INDEX('School Tables'!$AI$3:$AI$209,MATCH('DOE25'!A2,'School Tables'!$AJ$3:$AJ$209,0))</f>
        <v>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114555.48</v>
      </c>
      <c r="G9" s="18"/>
      <c r="H9" s="18"/>
      <c r="I9" s="18"/>
      <c r="J9" s="13">
        <f>SUM(I440)</f>
        <v>191451.45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4368.18</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118923.66</v>
      </c>
      <c r="G19" s="38">
        <f>SUM(G9:G18)</f>
        <v>0</v>
      </c>
      <c r="H19" s="38">
        <f>SUM(H9:H18)</f>
        <v>0</v>
      </c>
      <c r="I19" s="38">
        <f>SUM(I9:I18)</f>
        <v>0</v>
      </c>
      <c r="J19" s="38">
        <f>SUM(J9:J18)</f>
        <v>191451.45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4368.18</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66700.47</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13653.17</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84721.819999999992</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17976</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191451.45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16225.84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34201.839999999997</v>
      </c>
      <c r="G51" s="38">
        <f>SUM(G35:G50)</f>
        <v>0</v>
      </c>
      <c r="H51" s="38">
        <f>SUM(H35:H50)</f>
        <v>0</v>
      </c>
      <c r="I51" s="38">
        <f>SUM(I35:I50)</f>
        <v>0</v>
      </c>
      <c r="J51" s="38">
        <f>SUM(J35:J50)</f>
        <v>191451.45</v>
      </c>
      <c r="K51" s="42" t="s">
        <v>288</v>
      </c>
      <c r="L51" s="42" t="s">
        <v>288</v>
      </c>
      <c r="N51" s="131"/>
    </row>
    <row r="52" spans="1:14" s="3" customFormat="1" ht="12.2" customHeight="1" thickTop="1" x14ac:dyDescent="0.15">
      <c r="A52" s="35" t="s">
        <v>455</v>
      </c>
      <c r="B52" s="36" t="s">
        <v>289</v>
      </c>
      <c r="C52" s="6">
        <v>37</v>
      </c>
      <c r="D52" s="36" t="s">
        <v>653</v>
      </c>
      <c r="E52" s="36"/>
      <c r="F52" s="38">
        <f>F51+F32</f>
        <v>118923.65999999999</v>
      </c>
      <c r="G52" s="38">
        <f>G51+G32</f>
        <v>0</v>
      </c>
      <c r="H52" s="38">
        <f>H51+H32</f>
        <v>0</v>
      </c>
      <c r="I52" s="38">
        <f>I51+I32</f>
        <v>0</v>
      </c>
      <c r="J52" s="38">
        <f>J51+J32</f>
        <v>191451.45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642908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642908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12.11</v>
      </c>
      <c r="G96" s="18"/>
      <c r="H96" s="18"/>
      <c r="I96" s="18"/>
      <c r="J96" s="18">
        <v>18.14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12.11</v>
      </c>
      <c r="G111" s="38">
        <f>SUM(G96:G110)</f>
        <v>0</v>
      </c>
      <c r="H111" s="38">
        <f>SUM(H96:H110)</f>
        <v>0</v>
      </c>
      <c r="I111" s="38">
        <f>SUM(I96:I110)</f>
        <v>0</v>
      </c>
      <c r="J111" s="38">
        <f>SUM(J96:J110)</f>
        <v>18.14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642920.11</v>
      </c>
      <c r="G112" s="38">
        <f>G60+G111</f>
        <v>0</v>
      </c>
      <c r="H112" s="38">
        <f>H60+H79+H94+H111</f>
        <v>0</v>
      </c>
      <c r="I112" s="38">
        <f>I60+I111</f>
        <v>0</v>
      </c>
      <c r="J112" s="38">
        <f>J60+J111</f>
        <v>18.14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140415.46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76179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216594.46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216594.46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4368.18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4368.18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13887.58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13887.58</v>
      </c>
      <c r="G170" s="38">
        <f>G147+G163+SUM(G164:G169)</f>
        <v>0</v>
      </c>
      <c r="H170" s="38">
        <f>H147+H163+SUM(H164:H169)</f>
        <v>4368.18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873402.14999999991</v>
      </c>
      <c r="G194" s="38">
        <f>G112+G140+G170+G193</f>
        <v>0</v>
      </c>
      <c r="H194" s="38">
        <f>H112+H140+H170+H193</f>
        <v>4368.18</v>
      </c>
      <c r="I194" s="38">
        <f>I112+I140+I170+I193</f>
        <v>0</v>
      </c>
      <c r="J194" s="38">
        <f>J112+J140+J193</f>
        <v>20018.14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325470.08000000002</v>
      </c>
      <c r="I198" s="18"/>
      <c r="J198" s="18"/>
      <c r="K198" s="18"/>
      <c r="L198" s="13">
        <f>SUM(F198:K198)</f>
        <v>325470.08000000002</v>
      </c>
      <c r="M198" s="8"/>
      <c r="N198" s="165"/>
    </row>
    <row r="199" spans="1:14" s="3" customFormat="1" ht="12.2" customHeight="1" x14ac:dyDescent="0.15">
      <c r="A199" s="1" t="s">
        <v>439</v>
      </c>
      <c r="B199" s="2" t="s">
        <v>341</v>
      </c>
      <c r="C199" s="2" t="s">
        <v>291</v>
      </c>
      <c r="D199" s="2" t="s">
        <v>431</v>
      </c>
      <c r="E199" s="6">
        <v>1200</v>
      </c>
      <c r="F199" s="18"/>
      <c r="G199" s="18"/>
      <c r="H199" s="18">
        <v>181785.26</v>
      </c>
      <c r="I199" s="18"/>
      <c r="J199" s="18"/>
      <c r="K199" s="18"/>
      <c r="L199" s="13">
        <f>SUM(F199:K199)</f>
        <v>181785.26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28255.040000000001</v>
      </c>
      <c r="I203" s="18"/>
      <c r="J203" s="18"/>
      <c r="K203" s="18"/>
      <c r="L203" s="13">
        <f t="shared" ref="L203:L209" si="0">SUM(F203:K203)</f>
        <v>28255.040000000001</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430.32</v>
      </c>
      <c r="G205" s="18">
        <v>261.83999999999997</v>
      </c>
      <c r="H205" s="18">
        <v>10710.12</v>
      </c>
      <c r="I205" s="18"/>
      <c r="J205" s="18"/>
      <c r="K205" s="18"/>
      <c r="L205" s="13">
        <f t="shared" si="0"/>
        <v>11402.28</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50613.68</v>
      </c>
      <c r="I209" s="18">
        <v>8320.7199999999993</v>
      </c>
      <c r="J209" s="18"/>
      <c r="K209" s="18"/>
      <c r="L209" s="13">
        <f t="shared" si="0"/>
        <v>58934.400000000001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430.32</v>
      </c>
      <c r="G212" s="38">
        <f t="shared" si="1"/>
        <v>261.83999999999997</v>
      </c>
      <c r="H212" s="38">
        <f t="shared" si="1"/>
        <v>596834.18000000005</v>
      </c>
      <c r="I212" s="38">
        <f t="shared" si="1"/>
        <v>8320.7199999999993</v>
      </c>
      <c r="J212" s="38">
        <f t="shared" si="1"/>
        <v>0</v>
      </c>
      <c r="K212" s="38">
        <f t="shared" si="1"/>
        <v>0</v>
      </c>
      <c r="L212" s="38">
        <f t="shared" si="1"/>
        <v>605847.06000000006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199020.88</v>
      </c>
      <c r="I234" s="18"/>
      <c r="J234" s="18"/>
      <c r="K234" s="18"/>
      <c r="L234" s="13">
        <f>SUM(F234:K234)</f>
        <v>199020.88</v>
      </c>
      <c r="M234" s="8"/>
      <c r="N234" s="165"/>
    </row>
    <row r="235" spans="1:14" s="3" customFormat="1" ht="12.2" customHeight="1" x14ac:dyDescent="0.15">
      <c r="A235" s="1" t="s">
        <v>439</v>
      </c>
      <c r="B235" s="2" t="s">
        <v>350</v>
      </c>
      <c r="C235" s="2" t="s">
        <v>291</v>
      </c>
      <c r="D235" s="2" t="s">
        <v>431</v>
      </c>
      <c r="E235" s="6">
        <v>1200</v>
      </c>
      <c r="F235" s="18"/>
      <c r="G235" s="18"/>
      <c r="H235" s="18">
        <v>74869</v>
      </c>
      <c r="I235" s="18"/>
      <c r="J235" s="18"/>
      <c r="K235" s="18"/>
      <c r="L235" s="13">
        <f>SUM(F235:K235)</f>
        <v>74869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437.5</v>
      </c>
      <c r="I239" s="18"/>
      <c r="J239" s="18"/>
      <c r="K239" s="18"/>
      <c r="L239" s="13">
        <f t="shared" ref="L239:L245" si="4">SUM(F239:K239)</f>
        <v>437.5</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184.68</v>
      </c>
      <c r="G241" s="18">
        <v>112.38</v>
      </c>
      <c r="H241" s="18">
        <v>4596.62</v>
      </c>
      <c r="I241" s="18"/>
      <c r="J241" s="18"/>
      <c r="K241" s="18"/>
      <c r="L241" s="13">
        <f t="shared" si="4"/>
        <v>4893.68</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16968.43</v>
      </c>
      <c r="I245" s="18">
        <v>3571.12</v>
      </c>
      <c r="J245" s="18"/>
      <c r="K245" s="18"/>
      <c r="L245" s="13">
        <f t="shared" si="4"/>
        <v>20539.55</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184.68</v>
      </c>
      <c r="G248" s="38">
        <f t="shared" si="5"/>
        <v>112.38</v>
      </c>
      <c r="H248" s="38">
        <f t="shared" si="5"/>
        <v>295892.43</v>
      </c>
      <c r="I248" s="38">
        <f t="shared" si="5"/>
        <v>3571.12</v>
      </c>
      <c r="J248" s="38">
        <f t="shared" si="5"/>
        <v>0</v>
      </c>
      <c r="K248" s="38">
        <f t="shared" si="5"/>
        <v>0</v>
      </c>
      <c r="L248" s="38">
        <f t="shared" si="5"/>
        <v>299760.61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615</v>
      </c>
      <c r="G258" s="38">
        <f t="shared" si="8"/>
        <v>374.21999999999997</v>
      </c>
      <c r="H258" s="38">
        <f t="shared" si="8"/>
        <v>892726.6100000001</v>
      </c>
      <c r="I258" s="38">
        <f t="shared" si="8"/>
        <v>11891.84</v>
      </c>
      <c r="J258" s="38">
        <f t="shared" si="8"/>
        <v>0</v>
      </c>
      <c r="K258" s="38">
        <f t="shared" si="8"/>
        <v>0</v>
      </c>
      <c r="L258" s="38">
        <f t="shared" si="8"/>
        <v>905607.67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5"/>
    </row>
    <row r="272" spans="1:14" s="33" customFormat="1" ht="12.2" customHeight="1" thickTop="1" x14ac:dyDescent="0.2">
      <c r="A272" s="40" t="s">
        <v>464</v>
      </c>
      <c r="B272" s="37">
        <v>10</v>
      </c>
      <c r="C272" s="37">
        <v>18</v>
      </c>
      <c r="D272" s="36" t="s">
        <v>431</v>
      </c>
      <c r="E272" s="37"/>
      <c r="F272" s="39">
        <f t="shared" ref="F272:L272" si="11">F258+F271</f>
        <v>615</v>
      </c>
      <c r="G272" s="39">
        <f t="shared" si="11"/>
        <v>374.21999999999997</v>
      </c>
      <c r="H272" s="39">
        <f t="shared" si="11"/>
        <v>892726.6100000001</v>
      </c>
      <c r="I272" s="39">
        <f t="shared" si="11"/>
        <v>11891.84</v>
      </c>
      <c r="J272" s="39">
        <f t="shared" si="11"/>
        <v>0</v>
      </c>
      <c r="K272" s="39">
        <f t="shared" si="11"/>
        <v>20000</v>
      </c>
      <c r="L272" s="39">
        <f t="shared" si="11"/>
        <v>925607.67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4368.18</v>
      </c>
      <c r="I278" s="18"/>
      <c r="J278" s="18"/>
      <c r="K278" s="18"/>
      <c r="L278" s="13">
        <f>SUM(F278:K278)</f>
        <v>4368.18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4368.18</v>
      </c>
      <c r="I291" s="39">
        <f t="shared" si="13"/>
        <v>0</v>
      </c>
      <c r="J291" s="39">
        <f t="shared" si="13"/>
        <v>0</v>
      </c>
      <c r="K291" s="39">
        <f t="shared" si="13"/>
        <v>0</v>
      </c>
      <c r="L291" s="38">
        <f t="shared" si="13"/>
        <v>4368.18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4368.18</v>
      </c>
      <c r="I339" s="38">
        <f t="shared" si="20"/>
        <v>0</v>
      </c>
      <c r="J339" s="38">
        <f t="shared" si="20"/>
        <v>0</v>
      </c>
      <c r="K339" s="38">
        <f t="shared" si="20"/>
        <v>0</v>
      </c>
      <c r="L339" s="38">
        <f t="shared" si="20"/>
        <v>4368.18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4368.18</v>
      </c>
      <c r="I353" s="38">
        <f>I339</f>
        <v>0</v>
      </c>
      <c r="J353" s="38">
        <f>J339</f>
        <v>0</v>
      </c>
      <c r="K353" s="38">
        <f>K339+K352</f>
        <v>0</v>
      </c>
      <c r="L353" s="38">
        <f>L339+L352</f>
        <v>4368.18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20000</v>
      </c>
      <c r="H398" s="18">
        <v>14.17</v>
      </c>
      <c r="I398" s="18"/>
      <c r="J398" s="23" t="s">
        <v>288</v>
      </c>
      <c r="K398" s="23" t="s">
        <v>288</v>
      </c>
      <c r="L398" s="13">
        <f t="shared" si="26"/>
        <v>20014.169999999998</v>
      </c>
      <c r="M398" s="8"/>
      <c r="N398" s="165"/>
    </row>
    <row r="399" spans="1:14" s="3" customFormat="1" ht="12.2" customHeight="1" x14ac:dyDescent="0.15">
      <c r="A399" s="62" t="s">
        <v>558</v>
      </c>
      <c r="B399" s="2" t="s">
        <v>381</v>
      </c>
      <c r="C399" s="6">
        <v>11</v>
      </c>
      <c r="D399" s="2" t="s">
        <v>432</v>
      </c>
      <c r="E399" s="6"/>
      <c r="F399" s="18"/>
      <c r="G399" s="18"/>
      <c r="H399" s="18">
        <v>3.97</v>
      </c>
      <c r="I399" s="18"/>
      <c r="J399" s="23" t="s">
        <v>288</v>
      </c>
      <c r="K399" s="23" t="s">
        <v>288</v>
      </c>
      <c r="L399" s="13">
        <f t="shared" si="26"/>
        <v>3.97</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18.14</v>
      </c>
      <c r="I402" s="38">
        <f>SUM(I396:I401)</f>
        <v>0</v>
      </c>
      <c r="J402" s="42" t="s">
        <v>288</v>
      </c>
      <c r="K402" s="42" t="s">
        <v>288</v>
      </c>
      <c r="L402" s="38">
        <f>SUM(L396:L401)</f>
        <v>20018.14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18.14</v>
      </c>
      <c r="I409" s="38">
        <f>I394+I402+I408</f>
        <v>0</v>
      </c>
      <c r="J409" s="23" t="s">
        <v>288</v>
      </c>
      <c r="K409" s="23" t="s">
        <v>288</v>
      </c>
      <c r="L409" s="38">
        <f>L394+L402+L408</f>
        <v>20018.14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191451.45</v>
      </c>
      <c r="H440" s="18"/>
      <c r="I440" s="13">
        <f t="shared" ref="I440:I446" si="33">SUM(F440:H440)</f>
        <v>191451.45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191451.45</v>
      </c>
      <c r="H447" s="13">
        <f>SUM(H440:H446)</f>
        <v>0</v>
      </c>
      <c r="I447" s="13">
        <f>SUM(I440:I446)</f>
        <v>191451.45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191451.45</v>
      </c>
      <c r="H460" s="18"/>
      <c r="I460" s="13">
        <f t="shared" si="34"/>
        <v>191451.45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191451.45</v>
      </c>
      <c r="H461" s="65">
        <f>SUM(H455:H460)</f>
        <v>0</v>
      </c>
      <c r="I461" s="65">
        <f>SUM(I455:I460)</f>
        <v>191451.45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191451.45</v>
      </c>
      <c r="H462" s="39">
        <f>H453+H461</f>
        <v>0</v>
      </c>
      <c r="I462" s="39">
        <f>I453+I461</f>
        <v>191451.45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86401.01</v>
      </c>
      <c r="G466" s="18"/>
      <c r="H466" s="18">
        <v>0</v>
      </c>
      <c r="I466" s="18"/>
      <c r="J466" s="18">
        <v>171433.31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873402.15</v>
      </c>
      <c r="G469" s="18"/>
      <c r="H469" s="18">
        <v>4368.18</v>
      </c>
      <c r="I469" s="18"/>
      <c r="J469" s="18">
        <v>20018.14</v>
      </c>
      <c r="K469" s="23" t="s">
        <v>288</v>
      </c>
      <c r="L469" s="23" t="s">
        <v>288</v>
      </c>
      <c r="N469" s="131"/>
    </row>
    <row r="470" spans="1:14" ht="12.2" customHeight="1" x14ac:dyDescent="0.2">
      <c r="A470" s="71" t="s">
        <v>611</v>
      </c>
      <c r="B470" s="22">
        <v>19</v>
      </c>
      <c r="C470" s="31">
        <v>3</v>
      </c>
      <c r="D470" s="2" t="s">
        <v>432</v>
      </c>
      <c r="E470" s="31"/>
      <c r="F470" s="18">
        <v>6.35</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873408.5</v>
      </c>
      <c r="G471" s="19">
        <f>SUM(G469:G470)</f>
        <v>0</v>
      </c>
      <c r="H471" s="19">
        <f>SUM(H469:H470)</f>
        <v>4368.18</v>
      </c>
      <c r="I471" s="19">
        <f>SUM(I469:I470)</f>
        <v>0</v>
      </c>
      <c r="J471" s="19">
        <f>SUM(J469:J470)</f>
        <v>20018.14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925607.67</v>
      </c>
      <c r="G473" s="18"/>
      <c r="H473" s="18">
        <v>4368.18</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925607.67</v>
      </c>
      <c r="G475" s="19">
        <f>SUM(G473:G474)</f>
        <v>0</v>
      </c>
      <c r="H475" s="19">
        <f>SUM(H473:H474)</f>
        <v>4368.18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34201.839999999967</v>
      </c>
      <c r="G477" s="19">
        <f>(G466+G471)- G475</f>
        <v>0</v>
      </c>
      <c r="H477" s="19">
        <f>(H466+H471)- H475</f>
        <v>0</v>
      </c>
      <c r="I477" s="19">
        <f>(I466+I471)- I475</f>
        <v>0</v>
      </c>
      <c r="J477" s="19">
        <f>(J466+J471)- J475</f>
        <v>191451.45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186153.44</v>
      </c>
      <c r="I522" s="18"/>
      <c r="J522" s="18"/>
      <c r="K522" s="18"/>
      <c r="L522" s="69">
        <f>SUM(F522:K522)</f>
        <v>186153.44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74869</v>
      </c>
      <c r="I524" s="18"/>
      <c r="J524" s="18"/>
      <c r="K524" s="18"/>
      <c r="L524" s="69">
        <f>SUM(F524:K524)</f>
        <v>74869</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261022.44</v>
      </c>
      <c r="I525" s="81">
        <f t="shared" si="36"/>
        <v>0</v>
      </c>
      <c r="J525" s="81">
        <f t="shared" si="36"/>
        <v>0</v>
      </c>
      <c r="K525" s="81">
        <f t="shared" si="36"/>
        <v>0</v>
      </c>
      <c r="L525" s="70">
        <f t="shared" si="36"/>
        <v>261022.44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28255.040000000001</v>
      </c>
      <c r="I527" s="18"/>
      <c r="J527" s="18"/>
      <c r="K527" s="18"/>
      <c r="L527" s="69">
        <f>SUM(F527:K527)</f>
        <v>28255.040000000001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437.5</v>
      </c>
      <c r="I529" s="18"/>
      <c r="J529" s="18"/>
      <c r="K529" s="18"/>
      <c r="L529" s="69">
        <f>SUM(F529:K529)</f>
        <v>437.5</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28692.54</v>
      </c>
      <c r="I530" s="70">
        <f t="shared" si="37"/>
        <v>0</v>
      </c>
      <c r="J530" s="70">
        <f t="shared" si="37"/>
        <v>0</v>
      </c>
      <c r="K530" s="70">
        <f t="shared" si="37"/>
        <v>0</v>
      </c>
      <c r="L530" s="70">
        <f t="shared" si="37"/>
        <v>28692.54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1542.39</v>
      </c>
      <c r="I532" s="18"/>
      <c r="J532" s="18"/>
      <c r="K532" s="18"/>
      <c r="L532" s="69">
        <f>SUM(F532:K532)</f>
        <v>1542.39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541.91999999999996</v>
      </c>
      <c r="I534" s="18"/>
      <c r="J534" s="18"/>
      <c r="K534" s="18"/>
      <c r="L534" s="69">
        <f>SUM(F534:K534)</f>
        <v>541.91999999999996</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2084.31</v>
      </c>
      <c r="I535" s="70">
        <f t="shared" si="38"/>
        <v>0</v>
      </c>
      <c r="J535" s="70">
        <f t="shared" si="38"/>
        <v>0</v>
      </c>
      <c r="K535" s="70">
        <f t="shared" si="38"/>
        <v>0</v>
      </c>
      <c r="L535" s="70">
        <f t="shared" si="38"/>
        <v>2084.31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11077.25</v>
      </c>
      <c r="I542" s="18"/>
      <c r="J542" s="18"/>
      <c r="K542" s="18"/>
      <c r="L542" s="69">
        <f>SUM(F542:K542)</f>
        <v>11077.25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11077.25</v>
      </c>
      <c r="I545" s="141">
        <f t="shared" si="40"/>
        <v>0</v>
      </c>
      <c r="J545" s="141">
        <f t="shared" si="40"/>
        <v>0</v>
      </c>
      <c r="K545" s="141">
        <f t="shared" si="40"/>
        <v>0</v>
      </c>
      <c r="L545" s="141">
        <f t="shared" si="40"/>
        <v>11077.25</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302876.53999999998</v>
      </c>
      <c r="I546" s="70">
        <f t="shared" si="41"/>
        <v>0</v>
      </c>
      <c r="J546" s="70">
        <f t="shared" si="41"/>
        <v>0</v>
      </c>
      <c r="K546" s="70">
        <f t="shared" si="41"/>
        <v>0</v>
      </c>
      <c r="L546" s="70">
        <f t="shared" si="41"/>
        <v>302876.53999999998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186153.44</v>
      </c>
      <c r="G550" s="69">
        <f>L527</f>
        <v>28255.040000000001</v>
      </c>
      <c r="H550" s="69">
        <f>L532</f>
        <v>1542.39</v>
      </c>
      <c r="I550" s="69">
        <f>L537</f>
        <v>0</v>
      </c>
      <c r="J550" s="69">
        <f>L542</f>
        <v>11077.25</v>
      </c>
      <c r="K550" s="69">
        <f>SUM(F550:J550)</f>
        <v>227028.12000000002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74869</v>
      </c>
      <c r="G552" s="69">
        <f>L529</f>
        <v>437.5</v>
      </c>
      <c r="H552" s="69">
        <f>L534</f>
        <v>541.91999999999996</v>
      </c>
      <c r="I552" s="69">
        <f>L539</f>
        <v>0</v>
      </c>
      <c r="J552" s="69">
        <f>L544</f>
        <v>0</v>
      </c>
      <c r="K552" s="69">
        <f>SUM(F552:J552)</f>
        <v>75848.42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261022.44</v>
      </c>
      <c r="G553" s="70">
        <f t="shared" si="42"/>
        <v>28692.54</v>
      </c>
      <c r="H553" s="70">
        <f t="shared" si="42"/>
        <v>2084.31</v>
      </c>
      <c r="I553" s="70">
        <f t="shared" si="42"/>
        <v>0</v>
      </c>
      <c r="J553" s="70">
        <f t="shared" si="42"/>
        <v>11077.25</v>
      </c>
      <c r="K553" s="70">
        <f t="shared" si="42"/>
        <v>302876.54000000004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325470.08000000002</v>
      </c>
      <c r="G577" s="18"/>
      <c r="H577" s="18">
        <v>199020.88</v>
      </c>
      <c r="I577" s="69">
        <f t="shared" ref="I577:I588" si="47">SUM(F577:H577)</f>
        <v>524490.96</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149541.24</v>
      </c>
      <c r="G581" s="18"/>
      <c r="H581" s="18">
        <v>5532.76</v>
      </c>
      <c r="I581" s="69">
        <f t="shared" si="47"/>
        <v>155074</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19761.52</v>
      </c>
      <c r="G583" s="18"/>
      <c r="H583" s="18">
        <v>69336.240000000005</v>
      </c>
      <c r="I583" s="69">
        <f t="shared" si="47"/>
        <v>89097.760000000009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47857.15</v>
      </c>
      <c r="I592" s="18"/>
      <c r="J592" s="18">
        <v>20539.55</v>
      </c>
      <c r="K592" s="80">
        <f t="shared" ref="K592:K598" si="48">SUM(H592:J592)</f>
        <v>68396.7</v>
      </c>
      <c r="L592" s="23" t="s">
        <v>288</v>
      </c>
      <c r="M592" s="8"/>
      <c r="N592" s="165"/>
    </row>
    <row r="593" spans="1:14" s="3" customFormat="1" ht="12.2" customHeight="1" x14ac:dyDescent="0.15">
      <c r="A593" s="3" t="s">
        <v>638</v>
      </c>
      <c r="B593" s="22">
        <v>23</v>
      </c>
      <c r="C593" s="22">
        <v>2</v>
      </c>
      <c r="D593" s="2" t="s">
        <v>432</v>
      </c>
      <c r="E593" s="22"/>
      <c r="F593" s="78">
        <v>2722</v>
      </c>
      <c r="G593" s="79" t="s">
        <v>97</v>
      </c>
      <c r="H593" s="18">
        <v>11077.25</v>
      </c>
      <c r="I593" s="18"/>
      <c r="J593" s="18"/>
      <c r="K593" s="80">
        <f t="shared" si="48"/>
        <v>11077.25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58934.400000000001</v>
      </c>
      <c r="I599" s="81">
        <f>SUM(I592:I598)</f>
        <v>0</v>
      </c>
      <c r="J599" s="81">
        <f>SUM(J592:J598)</f>
        <v>20539.55</v>
      </c>
      <c r="K599" s="81">
        <f>SUM(K592:K598)</f>
        <v>79473.95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118923.66</v>
      </c>
      <c r="H618" s="80">
        <f>SUM(F52)</f>
        <v>118923.65999999999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191451.45</v>
      </c>
      <c r="H622" s="80">
        <f>SUM(J52)</f>
        <v>191451.45</v>
      </c>
      <c r="I622" s="87" t="s">
        <v>878</v>
      </c>
      <c r="J622" s="80">
        <f>G622-H622</f>
        <v>0</v>
      </c>
      <c r="K622" s="80"/>
      <c r="L622" s="80"/>
      <c r="M622" s="8"/>
    </row>
    <row r="623" spans="1:14" s="3" customFormat="1" ht="12.2" customHeight="1" x14ac:dyDescent="0.15">
      <c r="A623" s="74"/>
      <c r="B623" s="22"/>
      <c r="C623" s="22"/>
      <c r="D623" s="22"/>
      <c r="E623" s="22"/>
      <c r="F623" s="87" t="s">
        <v>864</v>
      </c>
      <c r="G623" s="80">
        <f>F51</f>
        <v>34201.839999999997</v>
      </c>
      <c r="H623" s="80">
        <f>F477</f>
        <v>34201.839999999967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191451.45</v>
      </c>
      <c r="H627" s="80">
        <f>J477</f>
        <v>191451.45</v>
      </c>
      <c r="I627" s="87" t="s">
        <v>105</v>
      </c>
      <c r="J627" s="80">
        <f t="shared" si="50"/>
        <v>0</v>
      </c>
      <c r="K627" s="67"/>
      <c r="L627" s="69"/>
      <c r="M627" s="8"/>
    </row>
    <row r="628" spans="1:13" s="3" customFormat="1" ht="12.2" customHeight="1" x14ac:dyDescent="0.15">
      <c r="A628" s="21"/>
      <c r="B628" s="22"/>
      <c r="C628" s="22"/>
      <c r="D628" s="22"/>
      <c r="E628" s="22"/>
      <c r="F628" s="86" t="s">
        <v>658</v>
      </c>
      <c r="G628" s="80">
        <f>F194</f>
        <v>873402.14999999991</v>
      </c>
      <c r="H628" s="80">
        <f>SUM(F469)</f>
        <v>873402.15</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4368.18</v>
      </c>
      <c r="H630" s="80">
        <f>SUM(H469)</f>
        <v>4368.18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20018.14</v>
      </c>
      <c r="H632" s="80">
        <f>SUM(J469)</f>
        <v>20018.14</v>
      </c>
      <c r="I632" s="87" t="s">
        <v>110</v>
      </c>
      <c r="J632" s="80">
        <f>G632-H632</f>
        <v>0</v>
      </c>
      <c r="K632" s="67"/>
      <c r="L632" s="69"/>
      <c r="M632" s="8"/>
    </row>
    <row r="633" spans="1:13" s="3" customFormat="1" ht="12.2" customHeight="1" x14ac:dyDescent="0.15">
      <c r="A633" s="21"/>
      <c r="B633" s="22"/>
      <c r="C633" s="22"/>
      <c r="D633" s="22"/>
      <c r="E633" s="22"/>
      <c r="F633" s="86" t="s">
        <v>394</v>
      </c>
      <c r="G633" s="80">
        <f>SUM(L272)</f>
        <v>925607.67</v>
      </c>
      <c r="H633" s="80">
        <f>SUM(F473)</f>
        <v>925607.67</v>
      </c>
      <c r="I633" s="87" t="s">
        <v>111</v>
      </c>
      <c r="J633" s="80">
        <f t="shared" si="50"/>
        <v>0</v>
      </c>
      <c r="K633" s="67"/>
      <c r="L633" s="69"/>
      <c r="M633" s="8"/>
    </row>
    <row r="634" spans="1:13" s="3" customFormat="1" ht="12.2" customHeight="1" x14ac:dyDescent="0.15">
      <c r="A634" s="21"/>
      <c r="B634" s="22"/>
      <c r="C634" s="22"/>
      <c r="D634" s="22"/>
      <c r="E634" s="22"/>
      <c r="F634" s="86" t="s">
        <v>395</v>
      </c>
      <c r="G634" s="80">
        <f>SUM(L353)</f>
        <v>4368.18</v>
      </c>
      <c r="H634" s="80">
        <f>SUM(H473)</f>
        <v>4368.18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20018.14</v>
      </c>
      <c r="H638" s="108">
        <f>SUM(J469)</f>
        <v>20018.14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191451.45</v>
      </c>
      <c r="H641" s="80">
        <f>SUM(G462)</f>
        <v>191451.45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191451.45</v>
      </c>
      <c r="H643" s="80">
        <f>SUM(I462)</f>
        <v>191451.45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18.14</v>
      </c>
      <c r="H645" s="80">
        <f>H409</f>
        <v>18.14</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20018.14</v>
      </c>
      <c r="H647" s="80">
        <f>L409</f>
        <v>20018.14</v>
      </c>
      <c r="I647" s="87" t="s">
        <v>477</v>
      </c>
      <c r="J647" s="80">
        <f t="shared" si="50"/>
        <v>0</v>
      </c>
      <c r="K647" s="67"/>
      <c r="L647" s="69"/>
      <c r="M647" s="8"/>
    </row>
    <row r="648" spans="1:13" s="3" customFormat="1" ht="12.2" customHeight="1" x14ac:dyDescent="0.15">
      <c r="A648" s="21"/>
      <c r="B648" s="22"/>
      <c r="C648" s="22"/>
      <c r="D648" s="22"/>
      <c r="E648" s="22"/>
      <c r="F648" s="86" t="s">
        <v>51</v>
      </c>
      <c r="G648" s="80">
        <f>K599</f>
        <v>79473.95</v>
      </c>
      <c r="H648" s="80">
        <f>L209+L227+L245</f>
        <v>79473.95</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58934.400000000001</v>
      </c>
      <c r="H650" s="80">
        <f>H599</f>
        <v>58934.400000000001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20539.55</v>
      </c>
      <c r="H652" s="80">
        <f>J599</f>
        <v>20539.55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610215.24000000011</v>
      </c>
      <c r="G661" s="13">
        <f>(L230+L310+L360)</f>
        <v>0</v>
      </c>
      <c r="H661" s="13">
        <f>(L248+L329+L361)</f>
        <v>299760.61</v>
      </c>
      <c r="I661" s="13">
        <f>SUM(F661:H661)</f>
        <v>909975.85000000009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58934.400000000001</v>
      </c>
      <c r="G663" s="13">
        <f>(L227+L307)-(J227+J307)</f>
        <v>0</v>
      </c>
      <c r="H663" s="13">
        <f>(L245+L326)-(J245+J326)</f>
        <v>20539.55</v>
      </c>
      <c r="I663" s="13">
        <f>SUM(F663:H663)</f>
        <v>79473.95</v>
      </c>
      <c r="J663"/>
      <c r="K663" s="13"/>
      <c r="L663" s="13"/>
      <c r="M663" s="9"/>
    </row>
    <row r="664" spans="1:13" s="3" customFormat="1" ht="12.2" customHeight="1" x14ac:dyDescent="0.15">
      <c r="A664" s="142" t="s">
        <v>129</v>
      </c>
      <c r="B664" s="124"/>
      <c r="C664" s="124"/>
      <c r="D664" s="124"/>
      <c r="E664" s="124"/>
      <c r="F664" s="143">
        <f>SUM(F576:F588)+SUM(H603:H605)+SUM(L612)</f>
        <v>494772.84</v>
      </c>
      <c r="G664" s="143">
        <f>SUM(G576:G588)+SUM(I603:I605)+L613</f>
        <v>0</v>
      </c>
      <c r="H664" s="143">
        <f>SUM(H576:H588)+SUM(J603:J605)+L614</f>
        <v>273889.88</v>
      </c>
      <c r="I664" s="13">
        <f>SUM(F664:H664)</f>
        <v>768662.72</v>
      </c>
      <c r="J664" s="13"/>
      <c r="K664" s="13"/>
      <c r="L664" s="13"/>
      <c r="M664" s="9"/>
    </row>
    <row r="665" spans="1:13" s="3" customFormat="1" ht="12.2" customHeight="1" x14ac:dyDescent="0.15">
      <c r="A665" s="1" t="s">
        <v>130</v>
      </c>
      <c r="F665" s="13">
        <f>F661-SUM(F662:F664)</f>
        <v>56508.000000000116</v>
      </c>
      <c r="G665" s="13">
        <f>G661-SUM(G662:G664)</f>
        <v>0</v>
      </c>
      <c r="H665" s="13">
        <f>H661-SUM(H662:H664)</f>
        <v>5331.179999999993</v>
      </c>
      <c r="I665" s="13">
        <f>I661-SUM(I662:I664)</f>
        <v>61839.180000000168</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-56508.000000000116</v>
      </c>
      <c r="G670" s="73" t="str">
        <f t="shared" si="51"/>
        <v/>
      </c>
      <c r="H670" s="73">
        <f t="shared" si="51"/>
        <v>-5331.179999999993</v>
      </c>
      <c r="I670" s="13">
        <f>SUM(F670:H670)</f>
        <v>-61839.180000000109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Chatham</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28" sqref="H2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Chatham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Chatham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781145.22</v>
      </c>
      <c r="D5" s="19">
        <f>SUM('DOE25'!L198:L201)+SUM('DOE25'!L216:L219)+SUM('DOE25'!L234:L237)-F5-G5-H5</f>
        <v>781145.22</v>
      </c>
      <c r="E5" s="180"/>
      <c r="F5" s="181"/>
      <c r="G5" s="19">
        <f>SUM('DOE25'!J198:J201)+SUM('DOE25'!J216:J219)+SUM('DOE25'!J234:J237)</f>
        <v>0</v>
      </c>
      <c r="H5" s="19">
        <f>SUM('DOE25'!K198:K201)+SUM('DOE25'!K216:K219)+SUM('DOE25'!K234:K237)</f>
        <v>0</v>
      </c>
      <c r="I5" s="192"/>
    </row>
    <row r="6" spans="1:9" x14ac:dyDescent="0.2">
      <c r="A6" s="31">
        <v>2100</v>
      </c>
      <c r="B6" t="s">
        <v>796</v>
      </c>
      <c r="C6" s="206">
        <f t="shared" si="0"/>
        <v>28692.54</v>
      </c>
      <c r="D6" s="19">
        <f>'DOE25'!L203+'DOE25'!L221+'DOE25'!L239-F6-G6-H6</f>
        <v>28692.54</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14048</v>
      </c>
      <c r="D8" s="180"/>
      <c r="E8" s="19">
        <f>'DOE25'!L205+'DOE25'!L223+'DOE25'!L241-F8-G8-H8-D9-D11</f>
        <v>14048</v>
      </c>
      <c r="F8" s="181"/>
      <c r="G8" s="19">
        <f>'DOE25'!J205+'DOE25'!J223+'DOE25'!J241</f>
        <v>0</v>
      </c>
      <c r="H8" s="19">
        <f>'DOE25'!K205+'DOE25'!K223+'DOE25'!K241</f>
        <v>0</v>
      </c>
      <c r="I8" s="192"/>
    </row>
    <row r="9" spans="1:9" ht="14.25" x14ac:dyDescent="0.2">
      <c r="A9" s="31">
        <v>2310</v>
      </c>
      <c r="B9" s="71" t="s">
        <v>887</v>
      </c>
      <c r="C9" s="206">
        <f t="shared" si="0"/>
        <v>2247.96</v>
      </c>
      <c r="D9" s="181">
        <v>2247.96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79473.95</v>
      </c>
      <c r="D15" s="19">
        <f>'DOE25'!L209+'DOE25'!L227+'DOE25'!L245-F15-G15-H15</f>
        <v>47969.09</v>
      </c>
      <c r="E15" s="180"/>
      <c r="F15" s="181">
        <v>31504.86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4368.18</v>
      </c>
      <c r="D31" s="19">
        <f>'DOE25'!L291+'DOE25'!L310+'DOE25'!L329+'DOE25'!L334+'DOE25'!L335+'DOE25'!L336-F31-G31-H31</f>
        <v>4368.18</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864422.99</v>
      </c>
      <c r="E33" s="182">
        <f t="shared" si="1"/>
        <v>14048</v>
      </c>
      <c r="F33" s="182">
        <f t="shared" si="1"/>
        <v>31504.86</v>
      </c>
      <c r="G33" s="182">
        <f t="shared" si="1"/>
        <v>0</v>
      </c>
      <c r="H33" s="182">
        <f t="shared" si="1"/>
        <v>0</v>
      </c>
      <c r="I33" s="182">
        <f t="shared" si="1"/>
        <v>0</v>
      </c>
    </row>
    <row r="34" spans="1:9" ht="12" thickBot="1" x14ac:dyDescent="0.25"/>
    <row r="35" spans="1:9" ht="12" thickBot="1" x14ac:dyDescent="0.25">
      <c r="B35" s="188" t="s">
        <v>830</v>
      </c>
      <c r="D35" s="189">
        <f>E33</f>
        <v>14048</v>
      </c>
      <c r="E35" s="185"/>
      <c r="F35" s="295" t="s">
        <v>1608</v>
      </c>
      <c r="G35" s="296"/>
      <c r="H35" s="296"/>
      <c r="I35" s="297"/>
    </row>
    <row r="36" spans="1:9" ht="12" thickTop="1" x14ac:dyDescent="0.2">
      <c r="B36" t="s">
        <v>810</v>
      </c>
      <c r="D36" s="19">
        <f>D33</f>
        <v>864422.99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Chatham</v>
      </c>
      <c r="B2">
        <f>'DOE25'!B2</f>
        <v>91</v>
      </c>
      <c r="J2" s="224" t="s">
        <v>1808</v>
      </c>
      <c r="K2" s="309">
        <f>SUM('DOE25'!L198:L201)+SUM('DOE25'!L216:L219)+SUM('DOE25'!L234:L237)+SUM('DOE25'!L277:L280)+SUM('DOE25'!L296:L299)+SUM('DOE25'!L315:L318)</f>
        <v>785513.4</v>
      </c>
      <c r="L2" s="309">
        <f>'DOE25'!L203+'DOE25'!L221+'DOE25'!L239+'DOE25'!L282+'DOE25'!L301+'DOE25'!L320</f>
        <v>28692.54</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-785513.4</v>
      </c>
      <c r="L3" s="311">
        <f t="shared" ref="L3:P3" si="0">L21+L33+L43-L2</f>
        <v>-28692.54</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610215.24000000011</v>
      </c>
      <c r="G4" s="229">
        <f>'DOE25'!L212+'DOE25'!L291</f>
        <v>610215.24000000011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605847.06000000006</v>
      </c>
      <c r="E5" s="220">
        <v>4368.18</v>
      </c>
      <c r="F5" s="232">
        <f>D5+E5</f>
        <v>610215.24000000011</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605847.06000000006</v>
      </c>
      <c r="E21" s="262">
        <f>SUM(E5:E20)</f>
        <v>4368.18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299760.61</v>
      </c>
      <c r="G36" s="229">
        <f>'DOE25'!L248+'DOE25'!L329</f>
        <v>299760.61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299760.61</v>
      </c>
      <c r="E37" s="220"/>
      <c r="F37" s="232">
        <f t="shared" ref="F37:F42" si="7">D37+E37</f>
        <v>299760.61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299760.61</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B1" zoomScaleNormal="80" workbookViewId="0">
      <selection activeCell="Q11" sqref="Q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Chatham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114555.48</v>
      </c>
      <c r="D8" s="73">
        <f>'DOE25'!G9</f>
        <v>0</v>
      </c>
      <c r="E8" s="73">
        <f>'DOE25'!H9</f>
        <v>0</v>
      </c>
      <c r="F8" s="73">
        <f>'DOE25'!I9</f>
        <v>0</v>
      </c>
      <c r="G8" s="73">
        <f>'DOE25'!J9</f>
        <v>191451.45</v>
      </c>
      <c r="H8" s="13">
        <f>SUM(C8:G8)</f>
        <v>306006.93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4368.18</v>
      </c>
      <c r="D11" s="73">
        <f>'DOE25'!G12</f>
        <v>0</v>
      </c>
      <c r="E11" s="73">
        <f>'DOE25'!H12</f>
        <v>0</v>
      </c>
      <c r="F11" s="73">
        <f>'DOE25'!I12</f>
        <v>0</v>
      </c>
      <c r="G11" s="73">
        <f>'DOE25'!J12</f>
        <v>0</v>
      </c>
      <c r="H11" s="13">
        <f t="shared" si="0"/>
        <v>4368.18</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118923.66</v>
      </c>
      <c r="D18" s="38">
        <f>SUM(D8:D17)</f>
        <v>0</v>
      </c>
      <c r="E18" s="38">
        <f>SUM(E8:E17)</f>
        <v>0</v>
      </c>
      <c r="F18" s="38">
        <f>SUM(F8:F17)</f>
        <v>0</v>
      </c>
      <c r="G18" s="38">
        <f>SUM(G8:G17)</f>
        <v>191451.45</v>
      </c>
      <c r="H18" s="38">
        <f t="shared" si="0"/>
        <v>310375.11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4368.18</v>
      </c>
      <c r="D21" s="73">
        <f>'DOE25'!G22</f>
        <v>0</v>
      </c>
      <c r="E21" s="73">
        <f>'DOE25'!H22</f>
        <v>0</v>
      </c>
      <c r="F21" s="73">
        <f>'DOE25'!I22</f>
        <v>0</v>
      </c>
      <c r="G21" s="73">
        <f>'DOE25'!J22</f>
        <v>0</v>
      </c>
      <c r="H21" s="13">
        <f t="shared" ref="H21:H31" si="1">SUM(C21:G21)</f>
        <v>4368.18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66700.47</v>
      </c>
      <c r="D23" s="73">
        <f>'DOE25'!G24</f>
        <v>0</v>
      </c>
      <c r="E23" s="73">
        <f>'DOE25'!H24</f>
        <v>0</v>
      </c>
      <c r="F23" s="73">
        <f>'DOE25'!I24</f>
        <v>0</v>
      </c>
      <c r="G23" s="73">
        <f>'DOE25'!J24</f>
        <v>0</v>
      </c>
      <c r="H23" s="13">
        <f t="shared" si="1"/>
        <v>66700.47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13653.17</v>
      </c>
      <c r="D29" s="73">
        <f>'DOE25'!G30</f>
        <v>0</v>
      </c>
      <c r="E29" s="73">
        <f>'DOE25'!H30</f>
        <v>0</v>
      </c>
      <c r="F29" s="73">
        <f>'DOE25'!I30</f>
        <v>0</v>
      </c>
      <c r="G29" s="23" t="s">
        <v>288</v>
      </c>
      <c r="H29" s="13">
        <f t="shared" si="1"/>
        <v>13653.17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84721.819999999992</v>
      </c>
      <c r="D31" s="38">
        <f>SUM(D21:D30)</f>
        <v>0</v>
      </c>
      <c r="E31" s="38">
        <f>SUM(E21:E30)</f>
        <v>0</v>
      </c>
      <c r="F31" s="38">
        <f>SUM(F21:F30)</f>
        <v>0</v>
      </c>
      <c r="G31" s="38">
        <f>SUM(G21:G30)</f>
        <v>0</v>
      </c>
      <c r="H31" s="38">
        <f t="shared" si="1"/>
        <v>84721.819999999992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17976</v>
      </c>
      <c r="D45" s="23" t="s">
        <v>288</v>
      </c>
      <c r="E45" s="23" t="s">
        <v>288</v>
      </c>
      <c r="F45" s="23" t="s">
        <v>288</v>
      </c>
      <c r="G45" s="23" t="s">
        <v>288</v>
      </c>
      <c r="H45" s="13">
        <f t="shared" si="2"/>
        <v>17976</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191451.45</v>
      </c>
      <c r="H47" s="13">
        <f t="shared" si="2"/>
        <v>191451.45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16225.84</v>
      </c>
      <c r="D49" s="23" t="s">
        <v>288</v>
      </c>
      <c r="E49" s="23" t="s">
        <v>288</v>
      </c>
      <c r="F49" s="23" t="s">
        <v>288</v>
      </c>
      <c r="G49" s="23" t="s">
        <v>288</v>
      </c>
      <c r="H49" s="13">
        <f t="shared" si="2"/>
        <v>16225.84</v>
      </c>
      <c r="I49" s="90"/>
    </row>
    <row r="50" spans="1:9" ht="12.75" thickTop="1" thickBot="1" x14ac:dyDescent="0.25">
      <c r="A50" s="35" t="s">
        <v>883</v>
      </c>
      <c r="B50" s="44"/>
      <c r="C50" s="38">
        <f>SUM(C34:C49)</f>
        <v>34201.839999999997</v>
      </c>
      <c r="D50" s="38">
        <f>SUM(D34:D49)</f>
        <v>0</v>
      </c>
      <c r="E50" s="38">
        <f>SUM(E34:E49)</f>
        <v>0</v>
      </c>
      <c r="F50" s="38">
        <f>SUM(F34:F49)</f>
        <v>0</v>
      </c>
      <c r="G50" s="38">
        <f>SUM(G34:G49)</f>
        <v>191451.45</v>
      </c>
      <c r="H50" s="38">
        <f t="shared" si="2"/>
        <v>225653.29</v>
      </c>
      <c r="I50" s="90"/>
    </row>
    <row r="51" spans="1:9" ht="12" thickTop="1" x14ac:dyDescent="0.2">
      <c r="A51" s="35" t="s">
        <v>884</v>
      </c>
      <c r="B51" s="2"/>
      <c r="C51" s="38">
        <f>C50+C31</f>
        <v>118923.65999999999</v>
      </c>
      <c r="D51" s="38">
        <f>D50+D31</f>
        <v>0</v>
      </c>
      <c r="E51" s="38">
        <f>E50+E31</f>
        <v>0</v>
      </c>
      <c r="F51" s="38">
        <f>F50+F31</f>
        <v>0</v>
      </c>
      <c r="G51" s="38">
        <f>G50+G31</f>
        <v>191451.45</v>
      </c>
      <c r="H51" s="38">
        <f t="shared" si="2"/>
        <v>310375.11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642908</v>
      </c>
      <c r="D56" s="73">
        <f>'DOE25'!G60</f>
        <v>0</v>
      </c>
      <c r="E56" s="73">
        <f>'DOE25'!H60</f>
        <v>0</v>
      </c>
      <c r="F56" s="73">
        <f>'DOE25'!I60</f>
        <v>0</v>
      </c>
      <c r="G56" s="73">
        <f>'DOE25'!J60</f>
        <v>0</v>
      </c>
      <c r="H56" s="13">
        <f t="shared" ref="H56:H63" si="3">SUM(C56:G56)</f>
        <v>642908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12.11</v>
      </c>
      <c r="D59" s="73">
        <f>'DOE25'!G96</f>
        <v>0</v>
      </c>
      <c r="E59" s="73">
        <f>'DOE25'!H96</f>
        <v>0</v>
      </c>
      <c r="F59" s="73">
        <f>'DOE25'!I96</f>
        <v>0</v>
      </c>
      <c r="G59" s="73">
        <f>'DOE25'!J96</f>
        <v>18.14</v>
      </c>
      <c r="H59" s="13">
        <f t="shared" si="3"/>
        <v>30.25</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12.11</v>
      </c>
      <c r="D62" s="93">
        <f>SUM(D57:D61)</f>
        <v>0</v>
      </c>
      <c r="E62" s="93">
        <f>SUM(E57:E61)</f>
        <v>0</v>
      </c>
      <c r="F62" s="93">
        <f>SUM(F57:F61)</f>
        <v>0</v>
      </c>
      <c r="G62" s="93">
        <f>SUM(G57:G61)</f>
        <v>18.14</v>
      </c>
      <c r="H62" s="13">
        <f t="shared" si="3"/>
        <v>30.25</v>
      </c>
      <c r="I62"/>
    </row>
    <row r="63" spans="1:9" ht="12" thickTop="1" x14ac:dyDescent="0.2">
      <c r="A63" s="28" t="s">
        <v>175</v>
      </c>
      <c r="B63" s="6"/>
      <c r="C63" s="21">
        <f>C56+C62</f>
        <v>642920.11</v>
      </c>
      <c r="D63" s="21">
        <f>D56+D62</f>
        <v>0</v>
      </c>
      <c r="E63" s="21">
        <f>E56+E62</f>
        <v>0</v>
      </c>
      <c r="F63" s="21">
        <f>F56+F62</f>
        <v>0</v>
      </c>
      <c r="G63" s="21">
        <f>G56+G62</f>
        <v>18.14</v>
      </c>
      <c r="H63" s="13">
        <f t="shared" si="3"/>
        <v>642938.25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140415.46</v>
      </c>
      <c r="D66" s="23" t="s">
        <v>288</v>
      </c>
      <c r="E66" s="23" t="s">
        <v>288</v>
      </c>
      <c r="F66" s="23" t="s">
        <v>288</v>
      </c>
      <c r="G66" s="23" t="s">
        <v>288</v>
      </c>
      <c r="H66" s="13">
        <f t="shared" ref="H66:H81" si="4">SUM(C66:G66)</f>
        <v>140415.46</v>
      </c>
      <c r="I66"/>
    </row>
    <row r="67" spans="1:9" x14ac:dyDescent="0.2">
      <c r="A67" s="1" t="s">
        <v>770</v>
      </c>
      <c r="B67" s="6">
        <v>3112</v>
      </c>
      <c r="C67" s="73">
        <f>'DOE25'!F118</f>
        <v>76179</v>
      </c>
      <c r="D67" s="23"/>
      <c r="E67" s="23"/>
      <c r="F67" s="23"/>
      <c r="G67" s="23"/>
      <c r="H67" s="13">
        <f t="shared" si="4"/>
        <v>76179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216594.46</v>
      </c>
      <c r="D70" s="97">
        <f>D69</f>
        <v>0</v>
      </c>
      <c r="E70" s="97">
        <f>E69</f>
        <v>0</v>
      </c>
      <c r="F70" s="97">
        <f>F69</f>
        <v>0</v>
      </c>
      <c r="G70" s="97">
        <f>G69</f>
        <v>0</v>
      </c>
      <c r="H70" s="13">
        <f t="shared" si="4"/>
        <v>216594.46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216594.46</v>
      </c>
      <c r="D81" s="93">
        <f>SUM(D79:D80)+D78+D70</f>
        <v>0</v>
      </c>
      <c r="E81" s="93">
        <f>SUM(E79:E80)+E78+E70</f>
        <v>0</v>
      </c>
      <c r="F81" s="93">
        <f>SUM(F79:F80)+F78+F70</f>
        <v>0</v>
      </c>
      <c r="G81" s="93">
        <f>SUM(G79:G80)+G78+G70</f>
        <v>0</v>
      </c>
      <c r="H81" s="93">
        <f t="shared" si="4"/>
        <v>216594.46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4368.18</v>
      </c>
      <c r="F88" s="253">
        <f>SUM('DOE25'!I153:I162)</f>
        <v>0</v>
      </c>
      <c r="G88" s="23" t="s">
        <v>288</v>
      </c>
      <c r="H88" s="13">
        <f t="shared" si="5"/>
        <v>4368.18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13887.58</v>
      </c>
      <c r="D90" s="23" t="s">
        <v>288</v>
      </c>
      <c r="E90" s="23" t="s">
        <v>288</v>
      </c>
      <c r="F90" s="23" t="s">
        <v>288</v>
      </c>
      <c r="G90" s="23" t="s">
        <v>288</v>
      </c>
      <c r="H90" s="13">
        <f t="shared" si="5"/>
        <v>13887.58</v>
      </c>
    </row>
    <row r="91" spans="1:9" ht="12.75" thickTop="1" thickBot="1" x14ac:dyDescent="0.25">
      <c r="A91" s="32" t="s">
        <v>750</v>
      </c>
      <c r="C91" s="94">
        <f>SUM(C85:C90)</f>
        <v>13887.58</v>
      </c>
      <c r="D91" s="94">
        <f>SUM(D85:D90)</f>
        <v>0</v>
      </c>
      <c r="E91" s="94">
        <f>SUM(E85:E90)</f>
        <v>4368.18</v>
      </c>
      <c r="F91" s="94">
        <f>SUM(F85:F90)</f>
        <v>0</v>
      </c>
      <c r="G91" s="23" t="s">
        <v>288</v>
      </c>
      <c r="H91" s="13">
        <f t="shared" si="5"/>
        <v>18255.760000000002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20000</v>
      </c>
      <c r="H96" s="13">
        <f t="shared" si="5"/>
        <v>20000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20000</v>
      </c>
      <c r="H103" s="68">
        <f t="shared" si="5"/>
        <v>20000</v>
      </c>
    </row>
    <row r="104" spans="1:8" ht="12.75" thickTop="1" thickBot="1" x14ac:dyDescent="0.25">
      <c r="A104" s="32" t="s">
        <v>761</v>
      </c>
      <c r="C104" s="68">
        <f>C63+C81+C91+C103</f>
        <v>873402.14999999991</v>
      </c>
      <c r="D104" s="68">
        <f>D63+D81+D91+D103</f>
        <v>0</v>
      </c>
      <c r="E104" s="68">
        <f>E63+E81+E91+E103</f>
        <v>4368.18</v>
      </c>
      <c r="F104" s="68">
        <f>F63+F81+F91+F103</f>
        <v>0</v>
      </c>
      <c r="G104" s="68">
        <f>G63+G81+G103</f>
        <v>20018.14</v>
      </c>
      <c r="H104" s="68">
        <f t="shared" si="5"/>
        <v>897788.47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524490.96</v>
      </c>
      <c r="D109" s="23" t="s">
        <v>288</v>
      </c>
      <c r="E109" s="73">
        <f>('DOE25'!L277)+('DOE25'!L296)+('DOE25'!L315)</f>
        <v>0</v>
      </c>
      <c r="F109" s="23" t="s">
        <v>288</v>
      </c>
      <c r="G109" s="23" t="s">
        <v>288</v>
      </c>
      <c r="H109" s="13">
        <f t="shared" ref="H109:H115" si="6">SUM(C109:G109)</f>
        <v>524490.96</v>
      </c>
    </row>
    <row r="110" spans="1:8" x14ac:dyDescent="0.2">
      <c r="A110" t="s">
        <v>198</v>
      </c>
      <c r="B110" s="31" t="s">
        <v>199</v>
      </c>
      <c r="C110" s="73">
        <f>('DOE25'!L199)+('DOE25'!L217)+('DOE25'!L235)</f>
        <v>256654.26</v>
      </c>
      <c r="D110" s="23" t="s">
        <v>288</v>
      </c>
      <c r="E110" s="73">
        <f>('DOE25'!L278)+('DOE25'!L297)+('DOE25'!L316)</f>
        <v>4368.18</v>
      </c>
      <c r="F110" s="23" t="s">
        <v>288</v>
      </c>
      <c r="G110" s="23" t="s">
        <v>288</v>
      </c>
      <c r="H110" s="13">
        <f t="shared" si="6"/>
        <v>261022.44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781145.22</v>
      </c>
      <c r="D115" s="68">
        <f>SUM(D109:D114)</f>
        <v>0</v>
      </c>
      <c r="E115" s="68">
        <f>SUM(E109:E114)</f>
        <v>4368.18</v>
      </c>
      <c r="F115" s="68">
        <f>SUM(F109:F114)</f>
        <v>0</v>
      </c>
      <c r="G115" s="68">
        <f>SUM(G109:G114)</f>
        <v>0</v>
      </c>
      <c r="H115" s="68">
        <f t="shared" si="6"/>
        <v>785513.4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28692.54</v>
      </c>
      <c r="D118" s="23" t="s">
        <v>288</v>
      </c>
      <c r="E118" s="73">
        <f>+('DOE25'!L282)+('DOE25'!L301)+('DOE25'!L320)</f>
        <v>0</v>
      </c>
      <c r="F118" s="23" t="s">
        <v>288</v>
      </c>
      <c r="G118" s="23" t="s">
        <v>288</v>
      </c>
      <c r="H118" s="13">
        <f t="shared" ref="H118:H145" si="7">SUM(C118:G118)</f>
        <v>28692.54</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16295.960000000001</v>
      </c>
      <c r="D120" s="23" t="s">
        <v>288</v>
      </c>
      <c r="E120" s="73">
        <f>+('DOE25'!L284)+('DOE25'!L303)+('DOE25'!L322)</f>
        <v>0</v>
      </c>
      <c r="F120" s="23" t="s">
        <v>288</v>
      </c>
      <c r="G120" s="23" t="s">
        <v>288</v>
      </c>
      <c r="H120" s="13">
        <f t="shared" si="7"/>
        <v>16295.960000000001</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79473.95</v>
      </c>
      <c r="D124" s="23" t="s">
        <v>288</v>
      </c>
      <c r="E124" s="73">
        <f>+('DOE25'!L288)+('DOE25'!L307)+('DOE25'!L326)</f>
        <v>0</v>
      </c>
      <c r="F124" s="23" t="s">
        <v>288</v>
      </c>
      <c r="G124" s="23" t="s">
        <v>288</v>
      </c>
      <c r="H124" s="13">
        <f t="shared" si="7"/>
        <v>79473.95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124462.45</v>
      </c>
      <c r="D128" s="68">
        <f>SUM(D118:D127)</f>
        <v>0</v>
      </c>
      <c r="E128" s="68">
        <f>SUM(E118:E127)</f>
        <v>0</v>
      </c>
      <c r="F128" s="68">
        <f>SUM(F118:F127)</f>
        <v>0</v>
      </c>
      <c r="G128" s="68">
        <f>SUM(G118:G127)</f>
        <v>0</v>
      </c>
      <c r="H128" s="68">
        <f t="shared" si="7"/>
        <v>124462.45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20018.14</v>
      </c>
      <c r="D139" s="23" t="s">
        <v>288</v>
      </c>
      <c r="E139" s="23" t="s">
        <v>288</v>
      </c>
      <c r="F139" s="23" t="s">
        <v>288</v>
      </c>
      <c r="G139" s="23" t="s">
        <v>288</v>
      </c>
      <c r="H139" s="13">
        <f t="shared" si="7"/>
        <v>20018.14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-18.139999999999418</v>
      </c>
      <c r="D141" s="23" t="s">
        <v>288</v>
      </c>
      <c r="E141" s="23" t="s">
        <v>288</v>
      </c>
      <c r="F141" s="23" t="s">
        <v>288</v>
      </c>
      <c r="G141" s="23" t="s">
        <v>288</v>
      </c>
      <c r="H141" s="13">
        <f t="shared" si="7"/>
        <v>-18.139999999999418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v>
      </c>
      <c r="D144" s="98">
        <f>SUM(D130:D143)</f>
        <v>0</v>
      </c>
      <c r="E144" s="98">
        <f>SUM(E130:E143)</f>
        <v>0</v>
      </c>
      <c r="F144" s="98">
        <f>SUM(F130:F143)</f>
        <v>0</v>
      </c>
      <c r="G144" s="98">
        <f>SUM(G130:G143)</f>
        <v>0</v>
      </c>
      <c r="H144" s="98">
        <f t="shared" si="7"/>
        <v>20000</v>
      </c>
    </row>
    <row r="145" spans="1:9" ht="12.75" thickTop="1" thickBot="1" x14ac:dyDescent="0.25">
      <c r="A145" s="32" t="s">
        <v>244</v>
      </c>
      <c r="C145" s="68">
        <f>(C115+C128+C144)</f>
        <v>925607.66999999993</v>
      </c>
      <c r="D145" s="68">
        <f>(D115+D128+D144)</f>
        <v>0</v>
      </c>
      <c r="E145" s="68">
        <f>(E115+E128+E144)</f>
        <v>4368.18</v>
      </c>
      <c r="F145" s="68">
        <f>(F115+F128+F144)</f>
        <v>0</v>
      </c>
      <c r="G145" s="68">
        <f>(G115+G128+G144)</f>
        <v>0</v>
      </c>
      <c r="H145" s="68">
        <f t="shared" si="7"/>
        <v>929975.85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Chatham</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524491</v>
      </c>
      <c r="D10" s="132">
        <f>ROUND((C10/$C$28)*100,1)</f>
        <v>57.6</v>
      </c>
    </row>
    <row r="11" spans="1:4" x14ac:dyDescent="0.2">
      <c r="A11">
        <v>1200</v>
      </c>
      <c r="B11" t="s">
        <v>703</v>
      </c>
      <c r="C11" s="129">
        <f>ROUND('DOE25'!L199+'DOE25'!L217+'DOE25'!L235+'DOE25'!L278+'DOE25'!L297+'DOE25'!L316,0)</f>
        <v>261022</v>
      </c>
      <c r="D11" s="132">
        <f>ROUND((C11/$C$28)*100,1)</f>
        <v>28.7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28693</v>
      </c>
      <c r="D15" s="132">
        <f t="shared" ref="D15:D27" si="0">ROUND((C15/$C$28)*100,1)</f>
        <v>3.2</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16296</v>
      </c>
      <c r="D17" s="132">
        <f t="shared" si="0"/>
        <v>1.8</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79474</v>
      </c>
      <c r="D21" s="132">
        <f t="shared" si="0"/>
        <v>8.6999999999999993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909976</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909976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642908</v>
      </c>
      <c r="D35" s="132">
        <f t="shared" ref="D35:D40" si="1">ROUND((C35/$C$41)*100,1)</f>
        <v>73.2</v>
      </c>
    </row>
    <row r="36" spans="1:4" x14ac:dyDescent="0.2">
      <c r="B36" s="71" t="s">
        <v>739</v>
      </c>
      <c r="C36" s="129">
        <f>SUM('DOE25'!F112:J112)-SUM('DOE25'!G97:G110)+('DOE25'!F175+'DOE25'!F176+'DOE25'!I175+'DOE25'!I176)-C35</f>
        <v>30.25</v>
      </c>
      <c r="D36" s="132">
        <f t="shared" si="1"/>
        <v>0</v>
      </c>
    </row>
    <row r="37" spans="1:4" x14ac:dyDescent="0.2">
      <c r="A37" s="133" t="s">
        <v>834</v>
      </c>
      <c r="B37" s="71" t="s">
        <v>728</v>
      </c>
      <c r="C37" s="129">
        <f>ROUND('DOE25'!F117+'DOE25'!F118,0)</f>
        <v>216594</v>
      </c>
      <c r="D37" s="132">
        <f t="shared" si="1"/>
        <v>24.7</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18256</v>
      </c>
      <c r="D39" s="132">
        <f t="shared" si="1"/>
        <v>2.1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877788.25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Chatham</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2023-09-07T19:17:38Z</cp:lastPrinted>
  <dcterms:created xsi:type="dcterms:W3CDTF">1997-12-04T19:04:30Z</dcterms:created>
  <dcterms:modified xsi:type="dcterms:W3CDTF">2023-09-14T13:23:37Z</dcterms:modified>
</cp:coreProperties>
</file>