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5D7AD28F-24D6-4CB4-956D-72430888E4AB}"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4" l="1"/>
  <c r="F50" i="1" l="1"/>
  <c r="H199" i="1" l="1"/>
  <c r="H203" i="1"/>
  <c r="F473" i="1"/>
  <c r="F199" i="1"/>
  <c r="P6" i="14" l="1"/>
  <c r="O6" i="14"/>
  <c r="H527" i="1" l="1"/>
  <c r="H522" i="1"/>
  <c r="H529" i="1"/>
  <c r="H524" i="1"/>
  <c r="G522" i="1"/>
  <c r="I522" i="1"/>
  <c r="J522" i="1"/>
  <c r="K522" i="1"/>
  <c r="F522" i="1"/>
  <c r="H155" i="1"/>
  <c r="H159" i="1"/>
  <c r="H288" i="1"/>
  <c r="I283" i="1"/>
  <c r="F278" i="1"/>
  <c r="G16" i="1" l="1"/>
  <c r="H593" i="1"/>
  <c r="H542" i="1"/>
  <c r="I359" i="1"/>
  <c r="F369" i="1"/>
  <c r="F368" i="1"/>
  <c r="H209" i="1"/>
  <c r="K206" i="1"/>
  <c r="H205" i="1" l="1"/>
  <c r="H473" i="1" l="1"/>
  <c r="H469" i="1"/>
  <c r="F469" i="1"/>
  <c r="J469" i="1"/>
  <c r="F102" i="1"/>
  <c r="F9" i="1"/>
  <c r="P2" i="14" l="1"/>
  <c r="O2" i="14"/>
  <c r="Q43" i="14"/>
  <c r="P43" i="14"/>
  <c r="O43" i="14"/>
  <c r="N43" i="14"/>
  <c r="M43" i="14"/>
  <c r="Q33" i="14"/>
  <c r="P33" i="14"/>
  <c r="O33" i="14"/>
  <c r="N33" i="14"/>
  <c r="M33" i="14"/>
  <c r="L33" i="14"/>
  <c r="K33" i="14"/>
  <c r="Q21" i="14"/>
  <c r="P21" i="14"/>
  <c r="O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6" i="14" s="1"/>
  <c r="L21" i="14" s="1"/>
  <c r="L221" i="1"/>
  <c r="L239" i="1"/>
  <c r="L38" i="14" s="1"/>
  <c r="L43" i="14" s="1"/>
  <c r="G7" i="13"/>
  <c r="H7" i="13"/>
  <c r="L204" i="1"/>
  <c r="L222" i="1"/>
  <c r="L240" i="1"/>
  <c r="C119" i="2" s="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D29" i="13" s="1"/>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I170" i="1"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H80" i="2" s="1"/>
  <c r="E80" i="2"/>
  <c r="C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D115" i="2"/>
  <c r="F115" i="2"/>
  <c r="G115" i="2"/>
  <c r="E124"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G652" i="1"/>
  <c r="H653" i="1"/>
  <c r="G654" i="1"/>
  <c r="H654" i="1"/>
  <c r="H655" i="1"/>
  <c r="H656" i="1"/>
  <c r="H76" i="2" l="1"/>
  <c r="H35" i="2"/>
  <c r="H9" i="2"/>
  <c r="E112" i="2"/>
  <c r="H101" i="2"/>
  <c r="H58" i="2"/>
  <c r="F85" i="2"/>
  <c r="F91" i="2" s="1"/>
  <c r="H28" i="2"/>
  <c r="H17" i="2"/>
  <c r="H15" i="2"/>
  <c r="M6" i="14"/>
  <c r="M21" i="14" s="1"/>
  <c r="C112" i="2"/>
  <c r="H79" i="2"/>
  <c r="H69" i="2"/>
  <c r="C32" i="10"/>
  <c r="H99" i="2"/>
  <c r="N6" i="14"/>
  <c r="N21" i="14" s="1"/>
  <c r="K38" i="14"/>
  <c r="K43" i="14" s="1"/>
  <c r="F409" i="1"/>
  <c r="H644" i="1" s="1"/>
  <c r="E120" i="2"/>
  <c r="A40" i="12"/>
  <c r="K6" i="14"/>
  <c r="K21" i="14" s="1"/>
  <c r="H30" i="2"/>
  <c r="G409" i="1"/>
  <c r="H646" i="1" s="1"/>
  <c r="J646" i="1" s="1"/>
  <c r="E13" i="13"/>
  <c r="C13" i="13" s="1"/>
  <c r="C13" i="10"/>
  <c r="H13" i="2"/>
  <c r="H27" i="2"/>
  <c r="H477" i="1"/>
  <c r="H625" i="1" s="1"/>
  <c r="H102" i="2"/>
  <c r="H100" i="2"/>
  <c r="H98" i="2"/>
  <c r="H73" i="2"/>
  <c r="H11" i="2"/>
  <c r="H143" i="2"/>
  <c r="H47" i="2"/>
  <c r="G477" i="1"/>
  <c r="B33" i="16" s="1"/>
  <c r="H96" i="2"/>
  <c r="H125" i="2"/>
  <c r="H112" i="2"/>
  <c r="H89" i="2"/>
  <c r="H72" i="2"/>
  <c r="H59" i="2"/>
  <c r="H34" i="2"/>
  <c r="H24" i="2"/>
  <c r="H8" i="2"/>
  <c r="J140" i="1"/>
  <c r="D18" i="13"/>
  <c r="C18" i="13" s="1"/>
  <c r="D15" i="13"/>
  <c r="C15" i="13" s="1"/>
  <c r="C121" i="2"/>
  <c r="C12" i="10"/>
  <c r="C120" i="2"/>
  <c r="H120" i="2" s="1"/>
  <c r="I409" i="1"/>
  <c r="H132" i="2"/>
  <c r="G662" i="1"/>
  <c r="H36" i="2"/>
  <c r="H44" i="2"/>
  <c r="H48" i="2"/>
  <c r="J652" i="1"/>
  <c r="D144" i="2"/>
  <c r="H97" i="2"/>
  <c r="H93" i="2"/>
  <c r="H87" i="2"/>
  <c r="H26" i="2"/>
  <c r="E121" i="2"/>
  <c r="N2" i="14"/>
  <c r="N3" i="14" s="1"/>
  <c r="H137" i="2"/>
  <c r="M2" i="14"/>
  <c r="M3" i="14" s="1"/>
  <c r="H23" i="2"/>
  <c r="H77" i="2"/>
  <c r="H61" i="2"/>
  <c r="H22" i="2"/>
  <c r="H12" i="2"/>
  <c r="D6" i="13"/>
  <c r="C6" i="13" s="1"/>
  <c r="L2" i="14"/>
  <c r="L3" i="14" s="1"/>
  <c r="K2" i="14"/>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H85" i="2" l="1"/>
  <c r="H57" i="2"/>
  <c r="J353" i="1"/>
  <c r="H605" i="1"/>
  <c r="K3" i="14"/>
  <c r="H50" i="2"/>
  <c r="I663" i="1"/>
  <c r="D51" i="2"/>
  <c r="H624" i="1"/>
  <c r="J624" i="1" s="1"/>
  <c r="E128" i="2"/>
  <c r="D128" i="2"/>
  <c r="D145" i="2" s="1"/>
  <c r="H127" i="2"/>
  <c r="H21" i="2"/>
  <c r="H121" i="2"/>
  <c r="H42" i="2"/>
  <c r="H103" i="2"/>
  <c r="L572" i="1"/>
  <c r="H16" i="2"/>
  <c r="H134" i="2"/>
  <c r="H118" i="2"/>
  <c r="E51" i="2"/>
  <c r="H91" i="2"/>
  <c r="I662" i="1"/>
  <c r="H62" i="2"/>
  <c r="H31" i="2"/>
  <c r="H18" i="2"/>
  <c r="F194" i="1"/>
  <c r="G628" i="1" s="1"/>
  <c r="J628" i="1" s="1"/>
  <c r="C81" i="2"/>
  <c r="H81" i="2" s="1"/>
  <c r="H78" i="2"/>
  <c r="M24" i="14"/>
  <c r="F661" i="1"/>
  <c r="E115" i="2"/>
  <c r="H109" i="2"/>
  <c r="F144" i="2"/>
  <c r="H130" i="2"/>
  <c r="H661" i="1"/>
  <c r="H665" i="1" s="1"/>
  <c r="H194" i="1"/>
  <c r="G630" i="1" s="1"/>
  <c r="J630" i="1" s="1"/>
  <c r="H649" i="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K605" i="1" l="1"/>
  <c r="K606" i="1" s="1"/>
  <c r="G649" i="1" s="1"/>
  <c r="J649" i="1" s="1"/>
  <c r="H606" i="1"/>
  <c r="F664" i="1"/>
  <c r="I664" i="1" s="1"/>
  <c r="H51" i="2"/>
  <c r="H128" i="2"/>
  <c r="C144" i="2"/>
  <c r="C145" i="2" s="1"/>
  <c r="H141" i="2"/>
  <c r="C104" i="2"/>
  <c r="H104" i="2" s="1"/>
  <c r="H63" i="2"/>
  <c r="M36" i="14"/>
  <c r="I36" i="14"/>
  <c r="H115" i="2"/>
  <c r="E145" i="2"/>
  <c r="H668" i="1"/>
  <c r="H670" i="1"/>
  <c r="H673" i="1" s="1"/>
  <c r="C6" i="10" s="1"/>
  <c r="G670" i="1"/>
  <c r="G673" i="1" s="1"/>
  <c r="C5" i="10" s="1"/>
  <c r="F145" i="2"/>
  <c r="H144" i="2"/>
  <c r="I661" i="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5" i="1" l="1"/>
  <c r="I668" i="1" s="1"/>
  <c r="F665" i="1"/>
  <c r="H145" i="2"/>
  <c r="D28" i="10"/>
  <c r="D37" i="10"/>
  <c r="D36" i="10"/>
  <c r="D35" i="10"/>
  <c r="D40" i="10"/>
  <c r="D39" i="10"/>
  <c r="F670" i="1" l="1"/>
  <c r="F668" i="1"/>
  <c r="D41" i="10"/>
  <c r="I670" i="1" l="1"/>
  <c r="I673" i="1" s="1"/>
  <c r="C7" i="10" s="1"/>
  <c r="F673" i="1"/>
  <c r="C4"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<sst xmlns="http://schemas.openxmlformats.org/spreadsheetml/2006/main" count="6559" uniqueCount="1814">
  <si>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</si>
  <si>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</si>
  <si>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</si>
  <si>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</si>
  <si>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</si>
  <si>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</si>
  <si>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</si>
  <si>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</si>
  <si>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</si>
  <si>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</si>
  <si>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</si>
  <si>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</si>
  <si>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</si>
  <si>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</si>
  <si>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</si>
  <si>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</si>
  <si>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</si>
  <si>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</si>
  <si>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</si>
  <si>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</si>
  <si>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</si>
  <si>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</si>
  <si>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</si>
  <si>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</si>
  <si>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</si>
  <si>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</si>
  <si>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</si>
  <si>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</si>
  <si>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</si>
  <si>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</si>
  <si>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</si>
  <si>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</si>
  <si>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</si>
  <si>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</si>
  <si>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</si>
  <si>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</si>
  <si>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</si>
  <si>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</si>
  <si>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</si>
  <si>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</si>
  <si>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</si>
  <si>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</si>
  <si>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</si>
  <si>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</si>
  <si>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</si>
  <si>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</si>
  <si>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</si>
  <si>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</si>
  <si>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</si>
  <si>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</si>
  <si>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</si>
  <si>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</si>
  <si>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</si>
  <si>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</si>
  <si>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</si>
  <si>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</si>
  <si>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</si>
  <si>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</si>
  <si>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</si>
  <si>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</si>
  <si>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</si>
  <si>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</si>
  <si>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</si>
  <si>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</si>
  <si>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</si>
  <si>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</si>
  <si>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</si>
  <si>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</si>
  <si>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</si>
  <si>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</si>
  <si>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</si>
  <si>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</si>
  <si>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</si>
  <si>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</si>
  <si>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</si>
  <si>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</si>
  <si>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</si>
  <si>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</si>
  <si>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</si>
  <si>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</si>
  <si>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</si>
  <si>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</si>
  <si>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</si>
  <si>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</si>
  <si>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</si>
  <si>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</si>
  <si>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</si>
  <si>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</si>
  <si>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</si>
  <si>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</si>
  <si>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</si>
  <si>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</si>
  <si>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</si>
  <si>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</si>
  <si>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</si>
  <si>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</si>
  <si>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</si>
  <si>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</si>
  <si>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</si>
  <si>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</si>
  <si>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</si>
  <si>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</si>
  <si>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</si>
  <si>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</si>
  <si>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</si>
  <si>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</si>
  <si>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</si>
  <si>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</si>
  <si>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</si>
  <si>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</si>
  <si>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</si>
  <si>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</si>
  <si>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</si>
  <si>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</si>
  <si>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</si>
  <si>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</si>
  <si>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</si>
  <si>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</si>
  <si>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</si>
  <si>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</si>
  <si>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</si>
  <si>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</si>
  <si>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</si>
  <si>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</si>
  <si>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</si>
  <si>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</si>
  <si>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</si>
  <si>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</si>
  <si>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</si>
  <si>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</si>
  <si>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</si>
  <si>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</si>
  <si>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</si>
  <si>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</si>
  <si>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</si>
  <si>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</si>
  <si>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</si>
  <si>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</si>
  <si>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</si>
  <si>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</si>
  <si>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</si>
  <si>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</si>
  <si>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</si>
  <si>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</si>
  <si>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</si>
  <si>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</si>
  <si>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</si>
  <si>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</si>
  <si>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</si>
  <si>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</si>
  <si>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</si>
  <si>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</si>
  <si>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</si>
  <si>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</si>
  <si>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</si>
  <si>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</si>
  <si>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</si>
  <si>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</si>
  <si>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</si>
  <si>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</si>
  <si>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</si>
  <si>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</si>
  <si>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</si>
  <si>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</si>
  <si>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</si>
  <si>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</si>
  <si>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</si>
  <si>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</si>
  <si>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</si>
  <si>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</si>
  <si>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</si>
  <si>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</si>
  <si>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</si>
  <si>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</si>
  <si>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</si>
  <si>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</si>
  <si>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</si>
  <si>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</si>
  <si>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</si>
  <si>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</si>
  <si>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</si>
  <si>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</si>
  <si>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</si>
  <si>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</si>
  <si>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</si>
  <si>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</si>
  <si>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</si>
  <si>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</si>
  <si>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</si>
  <si>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</si>
  <si>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</si>
  <si>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</si>
  <si>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</si>
  <si>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</si>
  <si>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</si>
  <si>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</si>
  <si>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</si>
  <si>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</si>
  <si>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</si>
  <si>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</si>
  <si>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</si>
  <si>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</si>
  <si>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</si>
  <si>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</si>
  <si>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</si>
  <si>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</si>
  <si>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</si>
  <si>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</si>
  <si>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</si>
  <si>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</si>
  <si>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</si>
  <si>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</si>
  <si>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</si>
  <si>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</si>
  <si>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</si>
  <si>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</si>
  <si>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</si>
  <si>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</si>
  <si>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</si>
  <si>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</si>
  <si>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</si>
  <si>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</si>
  <si>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</si>
  <si>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</si>
  <si>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</si>
  <si>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</si>
  <si>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</si>
  <si>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</si>
  <si>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</si>
  <si>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</si>
  <si>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</si>
  <si>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</si>
  <si>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</si>
  <si>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</si>
  <si>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</si>
  <si>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</si>
  <si>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</si>
  <si>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</si>
  <si>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</si>
  <si>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</si>
  <si>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</si>
  <si>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</si>
  <si>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</si>
  <si>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</si>
  <si>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</si>
  <si>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</si>
  <si>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</si>
  <si>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</si>
  <si>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</si>
  <si>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</si>
  <si>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</si>
  <si>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</si>
  <si>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</si>
  <si>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</si>
  <si>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</si>
  <si>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</si>
  <si>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</si>
  <si>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</si>
  <si>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</si>
  <si>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</si>
  <si>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</si>
  <si>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</si>
  <si>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</si>
  <si>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</si>
  <si>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</si>
  <si>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</si>
  <si>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</si>
  <si>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</si>
  <si>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</si>
  <si>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</si>
  <si>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</si>
  <si>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</si>
  <si>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</si>
  <si>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</si>
  <si>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</si>
  <si>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</si>
  <si>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</si>
  <si>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</si>
  <si>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</si>
  <si>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</si>
  <si>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</si>
  <si>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</si>
  <si>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</si>
  <si>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</si>
  <si>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</si>
  <si>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</si>
  <si>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</si>
  <si>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</si>
  <si>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</si>
  <si>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</si>
  <si>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</si>
  <si>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</si>
  <si>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</si>
  <si>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</si>
  <si>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</si>
  <si>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</si>
  <si>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</si>
  <si>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</si>
  <si>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</si>
  <si>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</si>
  <si>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</si>
  <si>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</si>
  <si>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</si>
  <si>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</si>
  <si>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</si>
  <si>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</si>
  <si>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</si>
  <si>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</si>
  <si>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</si>
  <si>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</si>
  <si>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</si>
  <si>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</si>
  <si>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</si>
  <si>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</si>
  <si>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</si>
  <si>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</si>
  <si>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</si>
  <si>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</si>
  <si>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</si>
  <si>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</si>
  <si>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</si>
  <si>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</si>
  <si>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</si>
  <si>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</si>
  <si>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</si>
  <si>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</si>
  <si>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</si>
  <si>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</si>
  <si>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</si>
  <si>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</si>
  <si>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</si>
  <si>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</si>
  <si>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</si>
  <si>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</si>
  <si>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</si>
  <si>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</si>
  <si>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</si>
  <si>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</si>
  <si>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</si>
  <si>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</si>
  <si>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</si>
  <si>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</si>
  <si>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</si>
  <si>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</si>
  <si>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</si>
  <si>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</si>
  <si>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</si>
  <si>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</si>
  <si>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</si>
  <si>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</si>
  <si>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</si>
  <si>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</si>
  <si>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</si>
  <si>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</si>
  <si>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</si>
  <si>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</si>
  <si>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</si>
  <si>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</si>
  <si>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</si>
  <si>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</si>
  <si>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</si>
  <si>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</si>
  <si>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</si>
  <si>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</si>
  <si>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</si>
  <si>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</si>
  <si>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</si>
  <si>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</si>
  <si>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</si>
  <si>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</si>
  <si>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</si>
  <si>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</si>
  <si>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</si>
  <si>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</si>
  <si>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</si>
  <si>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</si>
  <si>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</si>
  <si>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</si>
  <si>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</si>
  <si>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</si>
  <si>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</si>
  <si>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</si>
  <si>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</si>
  <si>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</si>
  <si>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</si>
  <si>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</si>
  <si>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</si>
  <si>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</si>
  <si>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</si>
  <si>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</si>
  <si>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</si>
  <si>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</si>
  <si>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</si>
  <si>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</si>
  <si>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</si>
  <si>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</si>
  <si>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</si>
  <si>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</si>
  <si>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</si>
  <si>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</si>
  <si>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</si>
  <si>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</si>
  <si>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</si>
  <si>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</si>
  <si>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</si>
  <si>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</si>
  <si>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</si>
  <si>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</si>
  <si>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</si>
  <si>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</si>
  <si>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</si>
  <si>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</si>
  <si>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</si>
  <si>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</si>
  <si>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</si>
  <si>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</si>
  <si>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</si>
  <si>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</si>
  <si>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</si>
  <si>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</si>
  <si>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</si>
  <si>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</si>
  <si>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</si>
  <si>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</si>
  <si>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</si>
  <si>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</si>
  <si>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</si>
  <si>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</si>
  <si>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</si>
  <si>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</si>
  <si>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</si>
  <si>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</si>
  <si>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</si>
  <si>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</si>
  <si>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</si>
  <si>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</si>
  <si>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</si>
  <si>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</si>
  <si>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</si>
  <si>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</si>
  <si>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</si>
  <si>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</si>
  <si>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</si>
  <si>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</si>
  <si>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</si>
  <si>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</si>
  <si>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</si>
  <si>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</si>
  <si>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</si>
  <si>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</si>
  <si>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</si>
  <si>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</si>
  <si>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</si>
  <si>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</si>
  <si>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</si>
  <si>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</si>
  <si>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</si>
  <si>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</si>
  <si>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</si>
  <si>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</si>
  <si>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</si>
  <si>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</si>
  <si>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</si>
  <si>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</si>
  <si>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</si>
  <si>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</si>
  <si>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</si>
  <si>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</si>
  <si>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</si>
  <si>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</si>
  <si>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</si>
  <si>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</si>
  <si>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</si>
  <si>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</si>
  <si>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</si>
  <si>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</si>
  <si>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</si>
  <si>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</si>
  <si>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</si>
  <si>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</si>
  <si>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</si>
  <si>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</si>
  <si>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</si>
  <si>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</si>
  <si>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</si>
  <si>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</si>
  <si>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</si>
  <si>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</si>
  <si>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</si>
  <si>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</si>
  <si>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</si>
  <si>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</si>
  <si>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</si>
  <si>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</si>
  <si>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</si>
  <si>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</si>
  <si>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</si>
  <si>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</si>
  <si>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</si>
  <si>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</si>
  <si>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</si>
  <si>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</si>
  <si>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</si>
  <si>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</si>
  <si>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</si>
  <si>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</si>
  <si>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</si>
  <si>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</si>
  <si>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</si>
  <si>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</si>
  <si>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</si>
  <si>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</si>
  <si>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</si>
  <si>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</si>
  <si>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</si>
  <si>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</si>
  <si>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</si>
  <si>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</si>
  <si>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</si>
  <si>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</si>
  <si>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</si>
  <si>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</si>
  <si>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</si>
  <si>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</si>
  <si>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</si>
  <si>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</si>
  <si>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</si>
  <si>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</si>
  <si>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</si>
  <si>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</si>
  <si>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</si>
  <si>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</si>
  <si>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</si>
  <si>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</si>
  <si>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</si>
  <si>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</si>
  <si>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</si>
  <si>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</si>
  <si>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</si>
  <si>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</si>
  <si>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</si>
  <si>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</si>
  <si>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</si>
  <si>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</si>
  <si>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</si>
  <si>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</si>
  <si>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</si>
  <si>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</si>
  <si>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</si>
  <si>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</si>
  <si>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</si>
  <si>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</si>
  <si>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</si>
  <si>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</si>
  <si>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</si>
  <si>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</si>
  <si>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</si>
  <si>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</si>
  <si>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</si>
  <si>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</si>
  <si>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</si>
  <si>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</si>
  <si>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</si>
  <si>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</si>
  <si>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</si>
  <si>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</si>
  <si>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</si>
  <si>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</si>
  <si>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</si>
  <si>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</si>
  <si>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</si>
  <si>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</si>
  <si>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</si>
  <si>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</si>
  <si>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</si>
  <si>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</si>
  <si>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</si>
  <si>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</si>
  <si>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</si>
  <si>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</si>
  <si>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</si>
  <si>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</si>
  <si>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</si>
  <si>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</si>
  <si>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</si>
  <si>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</si>
  <si>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</si>
  <si>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</si>
  <si>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</si>
  <si>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</si>
  <si>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</si>
  <si>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</si>
  <si>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</si>
  <si>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</si>
  <si>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</si>
  <si>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</si>
  <si>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</si>
  <si>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</si>
  <si>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</si>
  <si>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</si>
  <si>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</si>
  <si>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</si>
  <si>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</si>
  <si>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</si>
  <si>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</si>
  <si>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</si>
  <si>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</si>
  <si>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</si>
  <si>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</si>
  <si>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</si>
  <si>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</si>
  <si>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</si>
  <si>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</si>
  <si>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</si>
  <si>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</si>
  <si>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</si>
  <si>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</si>
  <si>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</si>
  <si>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</si>
  <si>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</si>
  <si>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</si>
  <si>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</si>
  <si>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</si>
  <si>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</si>
  <si>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</si>
  <si>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</si>
  <si>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</si>
  <si>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</si>
  <si>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</si>
  <si>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</si>
  <si>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</si>
  <si>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</si>
  <si>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</si>
  <si>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</si>
  <si>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</si>
  <si>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</si>
  <si>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</si>
  <si>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</si>
  <si>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</si>
  <si>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</si>
  <si>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</si>
  <si>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</si>
  <si>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</si>
  <si>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</si>
  <si>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</si>
  <si>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</si>
  <si>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</si>
  <si>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</si>
  <si>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</si>
  <si>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</si>
  <si>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</si>
  <si>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</si>
  <si>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</si>
  <si>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</si>
  <si>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</si>
  <si>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</si>
  <si>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</si>
  <si>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</si>
  <si>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</si>
  <si>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</si>
  <si>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</si>
  <si>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</si>
  <si>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</si>
  <si>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</si>
  <si>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</si>
  <si>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</si>
  <si>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</si>
  <si>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</si>
  <si>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</si>
  <si>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</si>
  <si>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</si>
  <si>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</si>
  <si>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</si>
  <si>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</si>
  <si>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</si>
  <si>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</si>
  <si>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</si>
  <si>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</si>
  <si>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</si>
  <si>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</si>
  <si>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</si>
  <si>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</si>
  <si>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</si>
  <si>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</si>
  <si>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</si>
  <si>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</si>
  <si>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</si>
  <si>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</si>
  <si>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</si>
  <si>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</si>
  <si>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</si>
  <si>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</si>
  <si>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</si>
  <si>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</si>
  <si>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</si>
  <si>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</si>
  <si>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</si>
  <si>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</si>
  <si>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</si>
  <si>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</si>
  <si>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</si>
  <si>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</si>
  <si>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</si>
  <si>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</si>
  <si>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</si>
  <si>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</si>
  <si>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</si>
  <si>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</si>
  <si>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</si>
  <si>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</si>
  <si>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</si>
  <si>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</si>
  <si>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</si>
  <si>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</si>
  <si>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</si>
  <si>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</si>
  <si>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</si>
  <si>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</si>
  <si>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</si>
  <si>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</si>
  <si>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</si>
  <si>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</si>
  <si>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</si>
  <si>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</si>
  <si>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</si>
  <si>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</si>
  <si>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</si>
  <si>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</si>
  <si>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</si>
  <si>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</si>
  <si>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</si>
  <si>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</si>
  <si>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</si>
  <si>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</si>
  <si>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</si>
  <si>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</si>
  <si>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</si>
  <si>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</si>
  <si>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</si>
  <si>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</si>
  <si>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</si>
  <si>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</si>
  <si>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</si>
  <si>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</si>
  <si>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</si>
  <si>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</si>
  <si>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</si>
  <si>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</si>
  <si>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</si>
  <si>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</si>
  <si>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</si>
  <si>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</si>
  <si>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</si>
  <si>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</si>
  <si>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</si>
  <si>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</si>
  <si>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</si>
  <si>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</si>
  <si>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</si>
  <si>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</si>
  <si>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</si>
  <si>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</si>
  <si>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</si>
  <si>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</si>
  <si>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</si>
  <si>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</si>
  <si>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</si>
  <si>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</si>
  <si>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</si>
  <si>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</si>
  <si>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</si>
  <si>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</si>
  <si>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</si>
  <si>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</si>
  <si>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</si>
  <si>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</si>
  <si>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</si>
  <si>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</si>
  <si>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</si>
  <si>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</si>
  <si>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</si>
  <si>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</si>
  <si>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</si>
  <si>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</si>
  <si>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</si>
  <si>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</si>
  <si>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</si>
  <si>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</si>
  <si>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</si>
  <si>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</si>
  <si>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</si>
  <si>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</si>
  <si>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</si>
  <si>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</si>
  <si>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</si>
  <si>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</si>
  <si>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</si>
  <si>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</si>
  <si>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</si>
  <si>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</si>
  <si>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</si>
  <si>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</si>
  <si>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</si>
  <si>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</si>
  <si>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</si>
  <si>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</si>
  <si>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</si>
  <si>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</si>
  <si>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</si>
  <si>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</si>
  <si>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</si>
  <si>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</si>
  <si>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</si>
  <si>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</si>
  <si>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</si>
  <si>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</si>
  <si>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</si>
  <si>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</si>
  <si>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</si>
  <si>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</si>
  <si>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</si>
  <si>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</si>
  <si>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</si>
  <si>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</si>
  <si>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</si>
  <si>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</si>
  <si>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</si>
  <si>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</si>
  <si>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</si>
  <si>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</si>
  <si>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</si>
  <si>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</si>
  <si>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</si>
  <si>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</si>
  <si>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</si>
  <si>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</si>
  <si>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</si>
  <si>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</si>
  <si>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</si>
  <si>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</si>
  <si>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</si>
  <si>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</si>
  <si>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</si>
  <si>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</si>
  <si>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</si>
  <si>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</si>
  <si>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</si>
  <si>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</si>
  <si>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</si>
  <si>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</si>
  <si>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</si>
  <si>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</si>
  <si>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</si>
  <si>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</si>
  <si>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</si>
  <si>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</si>
  <si>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</si>
  <si>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</si>
  <si>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</si>
  <si>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</si>
  <si>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</si>
  <si>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</si>
  <si>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</si>
  <si>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</si>
  <si>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</si>
  <si>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</si>
  <si>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</si>
  <si>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</si>
  <si>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</si>
  <si>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</si>
  <si>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</si>
  <si>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</si>
  <si>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</si>
  <si>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</si>
  <si>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</si>
  <si>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</si>
  <si>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</si>
  <si>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</si>
  <si>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</si>
  <si>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</si>
  <si>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</si>
  <si>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</si>
  <si>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</si>
  <si>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</si>
  <si>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</si>
  <si>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</si>
  <si>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</si>
  <si>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</si>
  <si>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</si>
  <si>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</si>
  <si>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</si>
  <si>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</si>
  <si>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</si>
  <si>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</si>
  <si>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</si>
  <si>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</si>
  <si>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</si>
  <si>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</si>
  <si>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</si>
  <si>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</si>
  <si>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</si>
  <si>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</si>
  <si>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</si>
  <si>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</si>
  <si>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</si>
  <si>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</si>
  <si>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</si>
  <si>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</si>
  <si>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</si>
  <si>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</si>
  <si>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</si>
  <si>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</si>
  <si>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</si>
  <si>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</si>
  <si>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</si>
  <si>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</si>
  <si>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</si>
  <si>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</si>
  <si>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</si>
  <si>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</si>
  <si>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</si>
  <si>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</si>
  <si>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</si>
  <si>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</si>
  <si>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</si>
  <si>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</si>
  <si>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</si>
  <si>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</si>
  <si>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</si>
  <si>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</si>
  <si>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</si>
  <si>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</si>
  <si>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</si>
  <si>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</si>
  <si>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</si>
  <si>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</si>
  <si>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</si>
  <si>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</si>
  <si>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</si>
  <si>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</si>
  <si>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</si>
  <si>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</si>
  <si>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</si>
  <si>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</si>
  <si>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</si>
  <si>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</si>
  <si>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</si>
  <si>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</si>
  <si>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</si>
  <si>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</si>
  <si>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</si>
  <si>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</si>
  <si>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</si>
  <si>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</si>
  <si>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</si>
  <si>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</si>
  <si>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</si>
  <si>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</si>
  <si>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</si>
  <si>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</si>
  <si>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</si>
  <si>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</si>
  <si>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</si>
  <si>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</si>
  <si>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</si>
  <si>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</si>
  <si>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</si>
  <si>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</si>
  <si>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</si>
  <si>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</si>
  <si>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</si>
  <si>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</si>
  <si>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</si>
  <si>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</si>
  <si>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</si>
  <si>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</si>
  <si>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</si>
  <si>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</si>
  <si>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</si>
  <si>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</si>
  <si>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</si>
  <si>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</si>
  <si>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</si>
  <si>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</si>
  <si>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</si>
  <si>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</si>
  <si>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</si>
  <si>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</si>
  <si>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</si>
  <si>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</si>
  <si>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</si>
  <si>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</si>
  <si>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</si>
  <si>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</si>
  <si>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</si>
  <si>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</si>
  <si>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</si>
  <si>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</si>
  <si>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</si>
  <si>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</si>
  <si>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</si>
  <si>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</si>
  <si>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</si>
  <si>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</si>
  <si>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</si>
  <si>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</si>
  <si>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</si>
  <si>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</si>
  <si>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</si>
  <si>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</si>
  <si>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</si>
  <si>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</si>
  <si>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</si>
  <si>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</si>
  <si>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</si>
  <si>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</si>
  <si>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</si>
  <si>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</si>
  <si>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</si>
  <si>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</si>
  <si>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</si>
  <si>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</si>
  <si>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</si>
  <si>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</si>
  <si>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</si>
  <si>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</si>
  <si>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</si>
  <si>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</si>
  <si>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</si>
  <si>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</si>
  <si>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</si>
  <si>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</si>
  <si>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</si>
  <si>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</si>
  <si>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</si>
  <si>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</si>
  <si>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</si>
  <si>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</si>
  <si>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</si>
  <si>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</si>
  <si>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</si>
  <si>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</si>
  <si>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</si>
  <si>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</si>
  <si>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</si>
  <si>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</si>
  <si>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</si>
  <si>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</si>
  <si>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</si>
  <si>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</si>
  <si>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</si>
  <si>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</si>
  <si>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</si>
  <si>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</si>
  <si>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</si>
  <si>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</si>
  <si>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</si>
  <si>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</si>
  <si>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</si>
  <si>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</si>
  <si>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</si>
  <si>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</si>
  <si>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</si>
  <si>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</si>
  <si>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</si>
  <si>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</si>
  <si>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</si>
  <si>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</si>
  <si>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</si>
  <si>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</si>
  <si>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</si>
  <si>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</si>
  <si>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</si>
  <si>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</si>
  <si>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</si>
  <si>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</si>
  <si>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</si>
  <si>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</si>
  <si>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</si>
  <si>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</si>
  <si>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</si>
  <si>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</si>
  <si>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</si>
  <si>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</si>
  <si>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</si>
  <si>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</si>
  <si>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</si>
  <si>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</si>
  <si>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</si>
  <si>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</si>
  <si>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</si>
  <si>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</si>
  <si>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</si>
  <si>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</si>
  <si>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</si>
  <si>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</si>
  <si>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</si>
  <si>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</si>
  <si>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</si>
  <si>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</si>
  <si>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</si>
  <si>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</si>
  <si>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</si>
  <si>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</si>
  <si>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</si>
  <si>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</si>
  <si>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</si>
  <si>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</si>
  <si>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</si>
  <si>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</si>
  <si>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</si>
  <si>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</si>
  <si>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</si>
  <si>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</si>
  <si>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</si>
  <si>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</si>
  <si>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</si>
  <si>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</si>
  <si>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</si>
  <si>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</si>
  <si>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</si>
  <si>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</si>
  <si>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</si>
  <si>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</si>
  <si>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</si>
  <si>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</si>
  <si>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</si>
  <si>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</si>
  <si>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</si>
  <si>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</si>
  <si>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</si>
  <si>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</si>
  <si>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</si>
  <si>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</si>
  <si>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</si>
  <si>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</si>
  <si>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</si>
  <si>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</si>
  <si>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</si>
  <si>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</si>
  <si>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</si>
  <si>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</si>
  <si>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</si>
  <si>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</si>
  <si>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</si>
  <si>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</si>
  <si>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</si>
  <si>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</si>
  <si>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</si>
  <si>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</si>
  <si>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</si>
  <si>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</si>
  <si>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</si>
  <si>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</si>
  <si>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</si>
  <si>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</si>
  <si>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</si>
  <si>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</si>
  <si>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</si>
  <si>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</si>
  <si>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</si>
  <si>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</si>
  <si>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</si>
  <si>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</si>
  <si>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</si>
  <si>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</si>
  <si>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</si>
  <si>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</si>
  <si>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</si>
  <si>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</si>
  <si>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</si>
  <si>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</si>
  <si>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</si>
  <si>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</si>
  <si>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</si>
  <si>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</si>
  <si>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</si>
  <si>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</si>
  <si>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</si>
  <si>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</si>
  <si>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</si>
  <si>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</si>
  <si>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</si>
  <si>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</si>
  <si>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</si>
  <si>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</si>
  <si>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</si>
  <si>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</si>
  <si>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</si>
  <si>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</si>
  <si>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</si>
  <si>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</si>
  <si>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</si>
  <si>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</si>
  <si>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</si>
  <si>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</si>
  <si>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</si>
  <si>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</si>
  <si>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</si>
  <si>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</si>
  <si>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</si>
  <si>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</si>
  <si>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</si>
  <si>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</si>
  <si>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</si>
  <si>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</si>
  <si>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</si>
  <si>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</si>
  <si>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</si>
  <si>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</si>
  <si>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</si>
  <si>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</si>
  <si>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</si>
  <si>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</si>
  <si>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</si>
  <si>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</si>
  <si>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</si>
  <si>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</si>
  <si>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</si>
  <si>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</si>
  <si>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</si>
  <si>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</si>
  <si>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</si>
  <si>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</si>
  <si>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</si>
  <si>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</si>
  <si>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</si>
  <si>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</si>
  <si>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</si>
  <si>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</si>
  <si>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</si>
  <si>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</si>
  <si>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</si>
  <si>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</si>
  <si>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</si>
  <si>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</si>
  <si>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</si>
  <si>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</si>
  <si>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</si>
  <si>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</si>
  <si>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</si>
  <si>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</si>
  <si>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</si>
  <si>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</si>
  <si>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</si>
  <si>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</si>
  <si>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</si>
  <si>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</si>
  <si>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</si>
  <si>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</si>
  <si>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</si>
  <si>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</si>
  <si>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</si>
  <si>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</si>
  <si>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</si>
  <si>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</si>
  <si>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</si>
  <si>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</si>
  <si>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</si>
  <si>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</si>
  <si>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</si>
  <si>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</si>
  <si>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</si>
  <si>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</si>
  <si>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</si>
  <si>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</si>
  <si>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</si>
  <si>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</si>
  <si>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</si>
  <si>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</si>
  <si>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</si>
  <si>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</si>
  <si>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</si>
  <si>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</si>
  <si>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</si>
  <si>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</si>
  <si>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</si>
  <si>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</si>
  <si>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</si>
  <si>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</si>
  <si>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</si>
  <si>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</si>
  <si>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</si>
  <si>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</si>
  <si>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</si>
  <si>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</si>
  <si>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</si>
  <si>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</si>
  <si>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</si>
  <si>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</si>
  <si>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</si>
  <si>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</si>
  <si>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</si>
  <si>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</si>
  <si>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</si>
  <si>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</si>
  <si>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</si>
  <si>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</si>
  <si>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</si>
  <si>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</si>
  <si>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</si>
  <si>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</si>
  <si>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</si>
  <si>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</si>
  <si>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</si>
  <si>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</si>
  <si>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</si>
  <si>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</si>
  <si>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</si>
  <si>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</si>
  <si>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</si>
  <si>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</si>
  <si>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</si>
  <si>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</si>
  <si>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</si>
  <si>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</si>
  <si>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</si>
  <si>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</si>
  <si>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</si>
  <si>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</si>
  <si>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</si>
  <si>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</si>
  <si>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</si>
  <si>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</si>
  <si>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</si>
  <si>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</si>
  <si>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</si>
  <si>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</si>
  <si>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</si>
  <si>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</si>
  <si>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</si>
  <si>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</si>
  <si>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</si>
  <si>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</si>
  <si>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</si>
  <si>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</si>
  <si>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</si>
  <si>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</si>
  <si>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</si>
  <si>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</si>
  <si>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</si>
  <si>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</si>
  <si>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</si>
  <si>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</si>
  <si>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</si>
  <si>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</si>
  <si>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</si>
  <si>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</si>
  <si>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</si>
  <si>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</si>
  <si>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</si>
  <si>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</si>
  <si>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</si>
  <si>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</si>
  <si>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</si>
  <si>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</si>
  <si>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</si>
  <si>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</si>
  <si>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</si>
  <si>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</si>
  <si>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</si>
  <si>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</si>
  <si>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</si>
  <si>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</si>
  <si>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</si>
  <si>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</si>
  <si>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</si>
  <si>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</si>
  <si>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</si>
  <si>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</si>
  <si>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</si>
  <si>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</si>
  <si>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</si>
  <si>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</si>
  <si>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</si>
  <si>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</si>
  <si>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</si>
  <si>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</si>
  <si>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</si>
  <si>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</si>
  <si>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</si>
  <si>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</si>
  <si>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</si>
  <si>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</si>
  <si>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</si>
  <si>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</si>
  <si>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</si>
  <si>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</si>
  <si>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</si>
  <si>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</si>
  <si>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</si>
  <si>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</si>
  <si>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</si>
  <si>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</si>
  <si>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</si>
  <si>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</si>
  <si>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</si>
  <si>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</si>
  <si>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</si>
  <si>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</si>
  <si>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</si>
  <si>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</si>
  <si>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</si>
  <si>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</si>
  <si>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</si>
  <si>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</si>
  <si>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</si>
  <si>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</si>
  <si>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</si>
  <si>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</si>
  <si>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</si>
  <si>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</si>
  <si>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</si>
  <si>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</si>
  <si>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</si>
  <si>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</si>
  <si>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</si>
  <si>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</si>
  <si>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</si>
  <si>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</si>
  <si>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</si>
  <si>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</si>
  <si>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</si>
  <si>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</si>
  <si>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</si>
  <si>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</si>
  <si>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</si>
  <si>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</si>
  <si>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</si>
  <si>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</si>
  <si>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</si>
  <si>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</si>
  <si>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</si>
  <si>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</si>
  <si>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</si>
  <si>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</si>
  <si>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</si>
  <si>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</si>
  <si>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</si>
  <si>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</si>
  <si>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</si>
  <si>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</si>
  <si>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</si>
  <si>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</si>
  <si>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</si>
  <si>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</si>
  <si>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</si>
  <si>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</si>
  <si>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</si>
  <si>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</si>
  <si>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</si>
  <si>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</si>
  <si>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</si>
  <si>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</si>
  <si>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</si>
  <si>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</si>
  <si>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</si>
  <si>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</si>
  <si>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</si>
  <si>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</si>
  <si>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</si>
  <si>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</si>
  <si>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</si>
  <si>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</si>
  <si>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</si>
  <si>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</si>
  <si>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</si>
  <si>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</si>
  <si>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</si>
  <si>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</si>
  <si>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</si>
  <si>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</si>
  <si>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</si>
  <si>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</si>
  <si>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</si>
  <si>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</si>
  <si>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</si>
  <si>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</si>
  <si>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</si>
  <si>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</si>
  <si>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</si>
  <si>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</si>
  <si>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</si>
  <si>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</si>
  <si>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</si>
  <si>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</si>
  <si>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</si>
  <si>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</si>
  <si>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</si>
  <si>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</si>
  <si>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</si>
  <si>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</si>
  <si>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</si>
  <si>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</si>
  <si>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</si>
  <si>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</si>
  <si>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</si>
  <si>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</si>
  <si>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</si>
  <si>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</si>
  <si>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</si>
  <si>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</si>
  <si>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</si>
  <si>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</si>
  <si>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</si>
  <si>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</si>
  <si>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</si>
  <si>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</si>
  <si>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</si>
  <si>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</si>
  <si>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</si>
  <si>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</si>
  <si>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</si>
  <si>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</si>
  <si>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</si>
  <si>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</si>
  <si>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</si>
  <si>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</si>
  <si>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</si>
  <si>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</si>
  <si>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</si>
  <si>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</si>
  <si>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</si>
  <si>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</si>
  <si>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</si>
  <si>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</si>
  <si>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</si>
  <si>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</si>
  <si>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</si>
  <si>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</si>
  <si>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</si>
  <si>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</si>
  <si>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</si>
  <si>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</si>
  <si>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</si>
  <si>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</si>
  <si>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</si>
  <si>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</si>
  <si>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</si>
  <si>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</si>
  <si>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</si>
  <si>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</si>
  <si>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</si>
  <si>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</si>
  <si>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</si>
  <si>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</si>
  <si>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</si>
  <si>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</si>
  <si>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</si>
  <si>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</si>
  <si>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</si>
  <si>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</si>
  <si>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</si>
  <si>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</si>
  <si>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</si>
  <si>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</si>
  <si>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</si>
  <si>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</si>
  <si>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</si>
  <si>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</si>
  <si>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</si>
  <si>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</si>
  <si>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</si>
  <si>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</si>
  <si>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</si>
  <si>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</si>
  <si>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</si>
  <si>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</si>
  <si>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</si>
  <si>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</si>
  <si>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</si>
  <si>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</si>
  <si>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</si>
  <si>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</si>
  <si>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</si>
  <si>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</si>
  <si>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</si>
  <si>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</si>
  <si>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</si>
  <si>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</si>
  <si>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</si>
  <si>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</si>
  <si>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</si>
  <si>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</si>
  <si>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</si>
  <si>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</si>
  <si>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</si>
  <si>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</si>
  <si>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</si>
  <si>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</si>
  <si>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</si>
  <si>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</si>
  <si>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</si>
  <si>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</si>
  <si>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</si>
  <si>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</si>
  <si>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</si>
  <si>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</si>
  <si>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</si>
  <si>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</si>
  <si>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</si>
  <si>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</si>
  <si>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</si>
  <si>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</si>
  <si>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</si>
  <si>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</si>
  <si>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</si>
  <si>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</si>
  <si>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</si>
  <si>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</si>
  <si>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</si>
  <si>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</si>
  <si>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</si>
  <si>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</si>
  <si>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</si>
  <si>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</si>
  <si>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</si>
  <si>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</si>
  <si>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</si>
  <si>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</si>
  <si>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</si>
  <si>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</si>
  <si>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</si>
  <si>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</si>
  <si>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</si>
  <si>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</si>
  <si>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</si>
  <si>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</si>
  <si>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</si>
  <si>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</si>
  <si>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</si>
  <si>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</si>
  <si>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</si>
  <si>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</si>
  <si>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</si>
  <si>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</si>
  <si>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</si>
  <si>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</si>
  <si>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</si>
  <si>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</si>
  <si>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</si>
  <si>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</si>
  <si>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</si>
  <si>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</si>
  <si>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</si>
  <si>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</si>
  <si>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</si>
  <si>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</si>
  <si>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</si>
  <si>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</si>
  <si>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</si>
  <si>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</si>
  <si>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</si>
  <si>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</si>
  <si>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</si>
  <si>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</si>
  <si>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</si>
  <si>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</si>
  <si>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</si>
  <si>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</si>
  <si>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</si>
  <si>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</si>
  <si>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</si>
  <si>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</si>
  <si>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</si>
  <si>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</si>
  <si>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</si>
  <si>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</si>
  <si>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</si>
  <si>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</si>
  <si>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</si>
  <si>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</si>
  <si>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</si>
  <si>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</si>
  <si>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</si>
  <si>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</si>
  <si>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</si>
  <si>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</si>
  <si>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</si>
  <si>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</si>
  <si>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</si>
  <si>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</si>
  <si>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</si>
  <si>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</si>
  <si>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</si>
  <si>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</si>
  <si>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</si>
  <si>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</si>
  <si>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</si>
  <si>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</si>
  <si>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</si>
  <si>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</si>
  <si>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</si>
  <si>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</si>
  <si>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</si>
  <si>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</si>
  <si>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</si>
  <si>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</si>
  <si>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</si>
  <si>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</si>
  <si>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</si>
  <si>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</si>
  <si>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</si>
  <si>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</si>
  <si>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</si>
  <si>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</si>
  <si>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</si>
  <si>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</si>
  <si>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</si>
  <si>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</si>
  <si>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</si>
  <si>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</si>
  <si>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</si>
  <si>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</si>
  <si>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</si>
  <si>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</si>
  <si>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</si>
  <si>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</si>
  <si>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</si>
  <si>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</si>
  <si>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</si>
  <si>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</si>
  <si>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</si>
  <si>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</si>
  <si>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</si>
  <si>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</si>
  <si>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</si>
  <si>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</si>
  <si>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</si>
  <si>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</si>
  <si>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</si>
  <si>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</si>
  <si>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</si>
  <si>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</si>
  <si>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</si>
  <si>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</si>
  <si>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</si>
  <si>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</si>
  <si>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</si>
  <si>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</si>
  <si>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</si>
  <si>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</si>
  <si>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</si>
  <si>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</si>
  <si>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</si>
  <si>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</si>
  <si>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</si>
  <si>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</si>
  <si>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</si>
  <si>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</si>
  <si>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</si>
  <si>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</si>
  <si>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</si>
  <si>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</si>
  <si>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</si>
  <si>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</si>
  <si>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</si>
  <si>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</si>
  <si>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</si>
  <si>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</si>
  <si>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</si>
  <si>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</si>
  <si>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</si>
  <si>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</si>
  <si>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</si>
  <si>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</si>
  <si>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</si>
  <si>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</si>
  <si>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</si>
  <si>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</si>
  <si>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</si>
  <si>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</si>
  <si>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</si>
  <si>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</si>
  <si>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</si>
  <si>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</si>
  <si>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</si>
  <si>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</si>
  <si>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</si>
  <si>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</si>
  <si>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</si>
  <si>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</si>
  <si>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</si>
  <si>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</si>
  <si>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</si>
  <si>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</si>
  <si>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</si>
  <si>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</si>
  <si>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</si>
  <si>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</si>
  <si>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</si>
  <si>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</si>
  <si>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</si>
  <si>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</si>
  <si>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</si>
  <si>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</si>
  <si>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</si>
  <si>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</si>
  <si>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</si>
  <si>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</si>
  <si>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</si>
  <si>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</si>
  <si>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</si>
  <si>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</si>
  <si>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</si>
  <si>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</si>
  <si>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</si>
  <si>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</si>
  <si>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</si>
  <si>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</si>
  <si>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</si>
  <si>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</si>
  <si>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Previous years IDEA was booked in our system under fund 1 and fund 10 on the Ms25</t>
  </si>
  <si>
    <t>An adjustment has been made for prior year 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</si>
</sst>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953</v>
      </c>
      <c r="B2">
        <f>INDEX('School Tables'!$AH$3:$AH$209,MATCH('DOE25'!A2,'School Tables'!$AJ$3:$AJ$209,0))</f>
        <v>99</v>
      </c>
      <c r="C2">
        <f>INDEX('School Tables'!$AI$3:$AI$209,MATCH('DOE25'!A2,'School Tables'!$AJ$3:$AJ$209,0))</f>
        <v>99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235614.15+150</f>
        <v>235764.15</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32892.5</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101883.17</v>
      </c>
      <c r="G13" s="18">
        <v>15615.12</v>
      </c>
      <c r="H13" s="18">
        <v>25642.81</v>
      </c>
      <c r="I13" s="18"/>
      <c r="J13" s="13">
        <f>SUM(I443)</f>
        <v>225500.11</v>
      </c>
      <c r="K13" s="23" t="s">
        <v>288</v>
      </c>
      <c r="L13" s="23" t="s">
        <v>288</v>
      </c>
      <c r="M13" s="8"/>
      <c r="N13" s="165"/>
    </row>
    <row r="14" spans="1:14" s="3" customFormat="1" ht="12.2" customHeight="1" x14ac:dyDescent="0.15">
      <c r="A14" s="1" t="s">
        <v>565</v>
      </c>
      <c r="B14" s="2" t="s">
        <v>289</v>
      </c>
      <c r="C14" s="6">
        <v>6</v>
      </c>
      <c r="D14" s="2" t="s">
        <v>428</v>
      </c>
      <c r="E14" s="6">
        <v>150</v>
      </c>
      <c r="F14" s="18">
        <v>0</v>
      </c>
      <c r="G14" s="18">
        <v>2320.92</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f>6435.21</f>
        <v>6435.21</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0</v>
      </c>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370539.82</v>
      </c>
      <c r="G19" s="38">
        <f>SUM(G9:G18)</f>
        <v>24371.25</v>
      </c>
      <c r="H19" s="38">
        <f>SUM(H9:H18)</f>
        <v>25642.81</v>
      </c>
      <c r="I19" s="38">
        <f>SUM(I9:I18)</f>
        <v>0</v>
      </c>
      <c r="J19" s="38">
        <f>SUM(J9:J18)</f>
        <v>225500.11</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0</v>
      </c>
      <c r="G22" s="18">
        <v>13639.64</v>
      </c>
      <c r="H22" s="18">
        <v>19315.46</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20778.830000000002</v>
      </c>
      <c r="G23" s="18">
        <v>0</v>
      </c>
      <c r="H23" s="18">
        <v>1122.17</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103297.39</v>
      </c>
      <c r="G24" s="18">
        <v>2765.68</v>
      </c>
      <c r="H24" s="18">
        <v>0</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0</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v>0</v>
      </c>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c r="H30" s="18">
        <v>0</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v>0</v>
      </c>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124076.22</v>
      </c>
      <c r="G32" s="38">
        <f>SUM(G22:G31)</f>
        <v>16405.32</v>
      </c>
      <c r="H32" s="38">
        <f>SUM(H22:H31)</f>
        <v>20437.629999999997</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75000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7965.93</v>
      </c>
      <c r="H48" s="18">
        <v>5205.18</v>
      </c>
      <c r="I48" s="18"/>
      <c r="J48" s="13">
        <f>SUM(I460)</f>
        <v>225500.11</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246463.6-75000</f>
        <v>171463.6</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246463.6</v>
      </c>
      <c r="G51" s="38">
        <f>SUM(G35:G50)</f>
        <v>7965.93</v>
      </c>
      <c r="H51" s="38">
        <f>SUM(H35:H50)</f>
        <v>5205.18</v>
      </c>
      <c r="I51" s="38">
        <f>SUM(I35:I50)</f>
        <v>0</v>
      </c>
      <c r="J51" s="38">
        <f>SUM(J35:J50)</f>
        <v>225500.11</v>
      </c>
      <c r="K51" s="42" t="s">
        <v>288</v>
      </c>
      <c r="L51" s="42" t="s">
        <v>288</v>
      </c>
      <c r="N51" s="131"/>
    </row>
    <row r="52" spans="1:14" s="3" customFormat="1" ht="12.2" customHeight="1" thickTop="1" x14ac:dyDescent="0.15">
      <c r="A52" s="35" t="s">
        <v>455</v>
      </c>
      <c r="B52" s="36" t="s">
        <v>289</v>
      </c>
      <c r="C52" s="6">
        <v>37</v>
      </c>
      <c r="D52" s="36" t="s">
        <v>653</v>
      </c>
      <c r="E52" s="36"/>
      <c r="F52" s="38">
        <f>F51+F32</f>
        <v>370539.82</v>
      </c>
      <c r="G52" s="38">
        <f>G51+G32</f>
        <v>24371.25</v>
      </c>
      <c r="H52" s="38">
        <f>H51+H32</f>
        <v>25642.809999999998</v>
      </c>
      <c r="I52" s="38">
        <f>I51+I32</f>
        <v>0</v>
      </c>
      <c r="J52" s="38">
        <f>J51+J32</f>
        <v>225500.11</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4772188</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4772188</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70695.12</v>
      </c>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70695.12</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10663.9</v>
      </c>
      <c r="G96" s="18"/>
      <c r="H96" s="18"/>
      <c r="I96" s="18"/>
      <c r="J96" s="18">
        <v>-2220.06</v>
      </c>
      <c r="K96" s="23" t="s">
        <v>288</v>
      </c>
      <c r="L96" s="23" t="s">
        <v>288</v>
      </c>
      <c r="M96" s="8"/>
      <c r="N96" s="165"/>
    </row>
    <row r="97" spans="1:14" s="3" customFormat="1" ht="12.2" customHeight="1" x14ac:dyDescent="0.15">
      <c r="A97" s="1" t="s">
        <v>503</v>
      </c>
      <c r="B97" s="2" t="s">
        <v>315</v>
      </c>
      <c r="C97" s="6">
        <v>12</v>
      </c>
      <c r="D97" s="2" t="s">
        <v>430</v>
      </c>
      <c r="E97" s="6">
        <v>1600</v>
      </c>
      <c r="F97" s="23" t="s">
        <v>288</v>
      </c>
      <c r="G97" s="18">
        <v>45885.55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f>21922.9+1226.8</f>
        <v>23149.7</v>
      </c>
      <c r="G102" s="18"/>
      <c r="H102" s="18">
        <v>3743.9</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0</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13617.51</v>
      </c>
      <c r="G110" s="18">
        <v>0</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47431.11</v>
      </c>
      <c r="G111" s="38">
        <f>SUM(G96:G110)</f>
        <v>45885.55</v>
      </c>
      <c r="H111" s="38">
        <f>SUM(H96:H110)</f>
        <v>3743.9</v>
      </c>
      <c r="I111" s="38">
        <f>SUM(I96:I110)</f>
        <v>0</v>
      </c>
      <c r="J111" s="38">
        <f>SUM(J96:J110)</f>
        <v>-2220.06</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4890314.2300000004</v>
      </c>
      <c r="G112" s="38">
        <f>G60+G111</f>
        <v>45885.55</v>
      </c>
      <c r="H112" s="38">
        <f>H60+H79+H94+H111</f>
        <v>3743.9</v>
      </c>
      <c r="I112" s="38">
        <f>I60+I111</f>
        <v>0</v>
      </c>
      <c r="J112" s="38">
        <f>J60+J111</f>
        <v>-2220.06</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980850.67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439998</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25661.84</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1446510.51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49354.19</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158.91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49354.19</v>
      </c>
      <c r="G136" s="38">
        <f>SUM(G123:G135)</f>
        <v>158.91</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1495864.7</v>
      </c>
      <c r="G140" s="38">
        <f>G121+SUM(G136:G137)</f>
        <v>158.91</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39121.360000000001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27658.88+12442.71+2511.42</f>
        <v>42613.009999999995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44371.14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69793.31+11146.85</f>
        <v>80940.160000000003</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34594.79</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191848.72</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v>2297.21</v>
      </c>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34594.79</v>
      </c>
      <c r="G163" s="38">
        <f>SUM(G150:G162)</f>
        <v>46668.35</v>
      </c>
      <c r="H163" s="38">
        <f>SUM(H150:H162)</f>
        <v>354523.25</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34594.79</v>
      </c>
      <c r="G170" s="38">
        <f>G147+G163+SUM(G164:G169)</f>
        <v>46668.35</v>
      </c>
      <c r="H170" s="38">
        <f>H147+H163+SUM(H164:H169)</f>
        <v>354523.25</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30914.54</v>
      </c>
      <c r="H180" s="18"/>
      <c r="I180" s="18"/>
      <c r="J180" s="18">
        <v>60000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30914.54</v>
      </c>
      <c r="H184" s="38">
        <f>SUM(H180:H183)</f>
        <v>0</v>
      </c>
      <c r="I184" s="38">
        <f>SUM(I180:I183)</f>
        <v>0</v>
      </c>
      <c r="J184" s="38">
        <f>SUM(J180:J183)</f>
        <v>60000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30914.54</v>
      </c>
      <c r="H193" s="38">
        <f>+H184+SUM(H189:H192)</f>
        <v>0</v>
      </c>
      <c r="I193" s="38">
        <f>I178+I184+SUM(I189:I192)</f>
        <v>0</v>
      </c>
      <c r="J193" s="38">
        <f>J184</f>
        <v>60000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6420773.7200000007</v>
      </c>
      <c r="G194" s="38">
        <f>G112+G140+G170+G193</f>
        <v>123627.35</v>
      </c>
      <c r="H194" s="38">
        <f>H112+H140+H170+H193</f>
        <v>358267.15</v>
      </c>
      <c r="I194" s="38">
        <f>I112+I140+I170+I193</f>
        <v>0</v>
      </c>
      <c r="J194" s="38">
        <f>J112+J140+J193</f>
        <v>57779.94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1291546.0900000001</v>
      </c>
      <c r="G198" s="18">
        <v>781014.43</v>
      </c>
      <c r="H198" s="18">
        <v>30711.8</v>
      </c>
      <c r="I198" s="18">
        <v>28557.71</v>
      </c>
      <c r="J198" s="18">
        <v>29881.58</v>
      </c>
      <c r="K198" s="18">
        <v>0</v>
      </c>
      <c r="L198" s="13">
        <f>SUM(F198:K198)</f>
        <v>2161711.61</v>
      </c>
      <c r="M198" s="8"/>
      <c r="N198" s="165"/>
    </row>
    <row r="199" spans="1:14" s="3" customFormat="1" ht="12.2" customHeight="1" x14ac:dyDescent="0.15">
      <c r="A199" s="1" t="s">
        <v>439</v>
      </c>
      <c r="B199" s="2" t="s">
        <v>341</v>
      </c>
      <c r="C199" s="2" t="s">
        <v>291</v>
      </c>
      <c r="D199" s="2" t="s">
        <v>431</v>
      </c>
      <c r="E199" s="6">
        <v>1200</v>
      </c>
      <c r="F199" s="18">
        <f>424847.17-69793.31</f>
        <v>355053.86</v>
      </c>
      <c r="G199" s="18">
        <v>256910.51</v>
      </c>
      <c r="H199" s="18">
        <f>549860.4-90982.88-49434.95-15750.47</f>
        <v>393692.10000000003</v>
      </c>
      <c r="I199" s="18">
        <v>1925.04</v>
      </c>
      <c r="J199" s="18">
        <v>121.5</v>
      </c>
      <c r="K199" s="18">
        <v>555</v>
      </c>
      <c r="L199" s="13">
        <f>SUM(F199:K199)</f>
        <v>1008258.01</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17567.3</v>
      </c>
      <c r="G201" s="18">
        <v>10623.17</v>
      </c>
      <c r="H201" s="18">
        <v>3330</v>
      </c>
      <c r="I201" s="18">
        <v>2600.5</v>
      </c>
      <c r="J201" s="18">
        <v>480</v>
      </c>
      <c r="K201" s="18">
        <v>1243.7</v>
      </c>
      <c r="L201" s="13">
        <f>SUM(F201:K201)</f>
        <v>35844.67</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113320</v>
      </c>
      <c r="G203" s="18">
        <v>68526.05</v>
      </c>
      <c r="H203" s="18">
        <f>168496.46+49434.95-33440.13</f>
        <v>184491.27999999997</v>
      </c>
      <c r="I203" s="18">
        <v>1838.97</v>
      </c>
      <c r="J203" s="18">
        <v>0</v>
      </c>
      <c r="K203" s="18">
        <v>182.5</v>
      </c>
      <c r="L203" s="13">
        <f t="shared" ref="L203:L209" si="0">SUM(F203:K203)</f>
        <v>368358.79999999993</v>
      </c>
      <c r="M203" s="8"/>
      <c r="N203" s="165"/>
    </row>
    <row r="204" spans="1:14" s="3" customFormat="1" ht="12.2" customHeight="1" x14ac:dyDescent="0.15">
      <c r="A204" s="1" t="s">
        <v>443</v>
      </c>
      <c r="B204" s="2" t="s">
        <v>341</v>
      </c>
      <c r="C204" s="2" t="s">
        <v>295</v>
      </c>
      <c r="D204" s="2" t="s">
        <v>431</v>
      </c>
      <c r="E204" s="6">
        <v>2200</v>
      </c>
      <c r="F204" s="18">
        <v>124483.47</v>
      </c>
      <c r="G204" s="18">
        <v>75276.75</v>
      </c>
      <c r="H204" s="18">
        <v>3611.36</v>
      </c>
      <c r="I204" s="18">
        <v>2102.9899999999998</v>
      </c>
      <c r="J204" s="18">
        <v>0</v>
      </c>
      <c r="K204" s="18">
        <v>0</v>
      </c>
      <c r="L204" s="13">
        <f t="shared" si="0"/>
        <v>205474.56999999998</v>
      </c>
      <c r="M204" s="8"/>
      <c r="N204" s="165"/>
    </row>
    <row r="205" spans="1:14" s="3" customFormat="1" ht="12.2" customHeight="1" x14ac:dyDescent="0.15">
      <c r="A205" s="1" t="s">
        <v>444</v>
      </c>
      <c r="B205" s="2" t="s">
        <v>341</v>
      </c>
      <c r="C205" s="2" t="s">
        <v>296</v>
      </c>
      <c r="D205" s="2" t="s">
        <v>431</v>
      </c>
      <c r="E205" s="6">
        <v>2300</v>
      </c>
      <c r="F205" s="18">
        <v>5861.2</v>
      </c>
      <c r="G205" s="18">
        <v>3544.34</v>
      </c>
      <c r="H205" s="18">
        <f>195436.82+12912.16</f>
        <v>208348.98</v>
      </c>
      <c r="I205" s="18">
        <v>91.98</v>
      </c>
      <c r="J205" s="18">
        <v>0</v>
      </c>
      <c r="K205" s="18">
        <v>3395.99</v>
      </c>
      <c r="L205" s="13">
        <f t="shared" si="0"/>
        <v>221242.49000000002</v>
      </c>
      <c r="M205" s="8"/>
      <c r="N205" s="165"/>
    </row>
    <row r="206" spans="1:14" s="3" customFormat="1" ht="12.2" customHeight="1" x14ac:dyDescent="0.15">
      <c r="A206" s="1" t="s">
        <v>445</v>
      </c>
      <c r="B206" s="2" t="s">
        <v>341</v>
      </c>
      <c r="C206" s="2" t="s">
        <v>297</v>
      </c>
      <c r="D206" s="2" t="s">
        <v>431</v>
      </c>
      <c r="E206" s="6">
        <v>2400</v>
      </c>
      <c r="F206" s="18">
        <v>144998.07999999999</v>
      </c>
      <c r="G206" s="18">
        <v>87682.19</v>
      </c>
      <c r="H206" s="18">
        <v>17066.18</v>
      </c>
      <c r="I206" s="18">
        <v>203.75</v>
      </c>
      <c r="J206" s="18">
        <v>0</v>
      </c>
      <c r="K206" s="18">
        <f>819+41.97</f>
        <v>860.97</v>
      </c>
      <c r="L206" s="13">
        <f t="shared" si="0"/>
        <v>250811.16999999998</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126617.79</v>
      </c>
      <c r="G208" s="18">
        <v>76567.399999999994</v>
      </c>
      <c r="H208" s="18">
        <v>39020.54</v>
      </c>
      <c r="I208" s="18">
        <v>83295.039999999994</v>
      </c>
      <c r="J208" s="18">
        <v>1172.51</v>
      </c>
      <c r="K208" s="18">
        <v>0</v>
      </c>
      <c r="L208" s="13">
        <f t="shared" si="0"/>
        <v>326673.28000000003</v>
      </c>
      <c r="M208" s="8"/>
      <c r="N208" s="165"/>
    </row>
    <row r="209" spans="1:14" s="3" customFormat="1" ht="12.2" customHeight="1" x14ac:dyDescent="0.15">
      <c r="A209" s="1" t="s">
        <v>448</v>
      </c>
      <c r="B209" s="2" t="s">
        <v>341</v>
      </c>
      <c r="C209" s="2" t="s">
        <v>300</v>
      </c>
      <c r="D209" s="2" t="s">
        <v>431</v>
      </c>
      <c r="E209" s="6">
        <v>2700</v>
      </c>
      <c r="F209" s="18"/>
      <c r="G209" s="18"/>
      <c r="H209" s="18">
        <f>284549.14+13639.51+126008.61</f>
        <v>424197.26</v>
      </c>
      <c r="I209" s="18"/>
      <c r="J209" s="18"/>
      <c r="K209" s="18"/>
      <c r="L209" s="13">
        <f t="shared" si="0"/>
        <v>424197.26</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2179447.79</v>
      </c>
      <c r="G212" s="38">
        <f t="shared" si="1"/>
        <v>1360144.84</v>
      </c>
      <c r="H212" s="38">
        <f t="shared" si="1"/>
        <v>1304469.5</v>
      </c>
      <c r="I212" s="38">
        <f t="shared" si="1"/>
        <v>120615.98</v>
      </c>
      <c r="J212" s="38">
        <f t="shared" si="1"/>
        <v>31655.59</v>
      </c>
      <c r="K212" s="38">
        <f t="shared" si="1"/>
        <v>6238.16</v>
      </c>
      <c r="L212" s="38">
        <f t="shared" si="1"/>
        <v>5002571.8600000003</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1373378.86</v>
      </c>
      <c r="I234" s="18"/>
      <c r="J234" s="18"/>
      <c r="K234" s="18"/>
      <c r="L234" s="13">
        <f>SUM(F234:K234)</f>
        <v>1373378.86</v>
      </c>
      <c r="M234" s="8"/>
      <c r="N234" s="165"/>
    </row>
    <row r="235" spans="1:14" s="3" customFormat="1" ht="12.2" customHeight="1" x14ac:dyDescent="0.15">
      <c r="A235" s="1" t="s">
        <v>439</v>
      </c>
      <c r="B235" s="2" t="s">
        <v>350</v>
      </c>
      <c r="C235" s="2" t="s">
        <v>291</v>
      </c>
      <c r="D235" s="2" t="s">
        <v>431</v>
      </c>
      <c r="E235" s="6">
        <v>1200</v>
      </c>
      <c r="F235" s="18"/>
      <c r="G235" s="18"/>
      <c r="H235" s="18">
        <v>90982.88</v>
      </c>
      <c r="I235" s="18"/>
      <c r="J235" s="18"/>
      <c r="K235" s="18"/>
      <c r="L235" s="13">
        <f>SUM(F235:K235)</f>
        <v>90982.88</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v>49190.6</v>
      </c>
      <c r="I239" s="18"/>
      <c r="J239" s="18"/>
      <c r="K239" s="18"/>
      <c r="L239" s="13">
        <f t="shared" ref="L239:L245" si="4">SUM(F239:K239)</f>
        <v>49190.6</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v>0</v>
      </c>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80974.070000000007</v>
      </c>
      <c r="I245" s="18"/>
      <c r="J245" s="18"/>
      <c r="K245" s="18"/>
      <c r="L245" s="13">
        <f t="shared" si="4"/>
        <v>80974.070000000007</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1594526.4100000004</v>
      </c>
      <c r="I248" s="38">
        <f t="shared" si="5"/>
        <v>0</v>
      </c>
      <c r="J248" s="38">
        <f t="shared" si="5"/>
        <v>0</v>
      </c>
      <c r="K248" s="38">
        <f t="shared" si="5"/>
        <v>0</v>
      </c>
      <c r="L248" s="38">
        <f t="shared" si="5"/>
        <v>1594526.4100000004</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v>0</v>
      </c>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2179447.79</v>
      </c>
      <c r="G258" s="38">
        <f t="shared" si="8"/>
        <v>1360144.84</v>
      </c>
      <c r="H258" s="38">
        <f t="shared" si="8"/>
        <v>2898995.91</v>
      </c>
      <c r="I258" s="38">
        <f t="shared" si="8"/>
        <v>120615.98</v>
      </c>
      <c r="J258" s="38">
        <f t="shared" si="8"/>
        <v>31655.59</v>
      </c>
      <c r="K258" s="38">
        <f t="shared" si="8"/>
        <v>6238.16</v>
      </c>
      <c r="L258" s="38">
        <f t="shared" si="8"/>
        <v>6597098.2700000005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30914.54</v>
      </c>
      <c r="L264" s="13">
        <f>SUM(F264:K264)</f>
        <v>30914.54</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60000</v>
      </c>
      <c r="L267" s="13">
        <f t="shared" si="9"/>
        <v>60000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90914.540000000008</v>
      </c>
      <c r="L271" s="38">
        <f t="shared" si="9"/>
        <v>90914.540000000008</v>
      </c>
      <c r="M271" s="8"/>
      <c r="N271" s="165"/>
    </row>
    <row r="272" spans="1:14" s="33" customFormat="1" ht="12.2" customHeight="1" thickTop="1" x14ac:dyDescent="0.2">
      <c r="A272" s="40" t="s">
        <v>464</v>
      </c>
      <c r="B272" s="37">
        <v>10</v>
      </c>
      <c r="C272" s="37">
        <v>18</v>
      </c>
      <c r="D272" s="36" t="s">
        <v>431</v>
      </c>
      <c r="E272" s="37"/>
      <c r="F272" s="39">
        <f t="shared" ref="F272:L272" si="11">F258+F271</f>
        <v>2179447.79</v>
      </c>
      <c r="G272" s="39">
        <f t="shared" si="11"/>
        <v>1360144.84</v>
      </c>
      <c r="H272" s="39">
        <f t="shared" si="11"/>
        <v>2898995.91</v>
      </c>
      <c r="I272" s="39">
        <f t="shared" si="11"/>
        <v>120615.98</v>
      </c>
      <c r="J272" s="39">
        <f t="shared" si="11"/>
        <v>31655.59</v>
      </c>
      <c r="K272" s="39">
        <f t="shared" si="11"/>
        <v>97152.700000000012</v>
      </c>
      <c r="L272" s="39">
        <f t="shared" si="11"/>
        <v>6688012.8100000005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33774.07</v>
      </c>
      <c r="G277" s="18">
        <v>2640.18</v>
      </c>
      <c r="H277" s="18">
        <v>14152</v>
      </c>
      <c r="I277" s="18">
        <v>33501.22</v>
      </c>
      <c r="J277" s="18">
        <v>3518.87</v>
      </c>
      <c r="K277" s="18">
        <v>0</v>
      </c>
      <c r="L277" s="13">
        <f>SUM(F277:K277)</f>
        <v>87586.34</v>
      </c>
      <c r="M277" s="8"/>
      <c r="N277" s="165"/>
    </row>
    <row r="278" spans="1:14" s="3" customFormat="1" ht="12.2" customHeight="1" x14ac:dyDescent="0.15">
      <c r="A278" s="1" t="s">
        <v>439</v>
      </c>
      <c r="B278" s="2" t="s">
        <v>357</v>
      </c>
      <c r="C278" s="2" t="s">
        <v>291</v>
      </c>
      <c r="D278" s="2" t="s">
        <v>431</v>
      </c>
      <c r="E278" s="6">
        <v>1200</v>
      </c>
      <c r="F278" s="18">
        <f>69793.31+1300</f>
        <v>71093.31</v>
      </c>
      <c r="G278" s="18">
        <v>0</v>
      </c>
      <c r="H278" s="18">
        <v>8326.0300000000007</v>
      </c>
      <c r="I278" s="18">
        <v>390.84</v>
      </c>
      <c r="J278" s="18">
        <v>1129.98</v>
      </c>
      <c r="K278" s="18">
        <v>0</v>
      </c>
      <c r="L278" s="13">
        <f>SUM(F278:K278)</f>
        <v>80940.159999999989</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1900</v>
      </c>
      <c r="G280" s="18">
        <v>153.52000000000001</v>
      </c>
      <c r="H280" s="18">
        <v>0</v>
      </c>
      <c r="I280" s="18">
        <v>398.42</v>
      </c>
      <c r="J280" s="18"/>
      <c r="K280" s="18">
        <v>0</v>
      </c>
      <c r="L280" s="13">
        <f>SUM(F280:K280)</f>
        <v>2451.94</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16750.5</v>
      </c>
      <c r="G282" s="18">
        <v>1300.8</v>
      </c>
      <c r="H282" s="18">
        <v>4748.7700000000004</v>
      </c>
      <c r="I282" s="18">
        <v>2600</v>
      </c>
      <c r="J282" s="18">
        <v>534.22</v>
      </c>
      <c r="K282" s="18">
        <v>0</v>
      </c>
      <c r="L282" s="13">
        <f t="shared" ref="L282:L288" si="12">SUM(F282:K282)</f>
        <v>25934.29</v>
      </c>
      <c r="M282" s="8"/>
      <c r="N282" s="165"/>
    </row>
    <row r="283" spans="1:14" s="3" customFormat="1" ht="12.2" customHeight="1" x14ac:dyDescent="0.15">
      <c r="A283" s="1" t="s">
        <v>443</v>
      </c>
      <c r="B283" s="2" t="s">
        <v>357</v>
      </c>
      <c r="C283" s="2" t="s">
        <v>295</v>
      </c>
      <c r="D283" s="2" t="s">
        <v>431</v>
      </c>
      <c r="E283" s="6">
        <v>2200</v>
      </c>
      <c r="F283" s="18">
        <v>1200</v>
      </c>
      <c r="G283" s="18">
        <v>0</v>
      </c>
      <c r="H283" s="18">
        <v>16200</v>
      </c>
      <c r="I283" s="18">
        <f>1136.92+2071.46</f>
        <v>3208.38</v>
      </c>
      <c r="J283" s="18">
        <v>0</v>
      </c>
      <c r="K283" s="18">
        <v>0</v>
      </c>
      <c r="L283" s="13">
        <f t="shared" si="12"/>
        <v>20608.38</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4251.96</v>
      </c>
      <c r="L284" s="13">
        <f t="shared" si="12"/>
        <v>4251.96</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5"/>
    </row>
    <row r="288" spans="1:14" s="3" customFormat="1" ht="12.2" customHeight="1" x14ac:dyDescent="0.15">
      <c r="A288" s="1" t="s">
        <v>448</v>
      </c>
      <c r="B288" s="2" t="s">
        <v>357</v>
      </c>
      <c r="C288" s="2" t="s">
        <v>300</v>
      </c>
      <c r="D288" s="2" t="s">
        <v>431</v>
      </c>
      <c r="E288" s="6">
        <v>2700</v>
      </c>
      <c r="F288" s="18">
        <v>0</v>
      </c>
      <c r="G288" s="18">
        <v>0</v>
      </c>
      <c r="H288" s="18">
        <f>134821.64+1141.63</f>
        <v>135963.27000000002</v>
      </c>
      <c r="I288" s="18">
        <v>0</v>
      </c>
      <c r="J288" s="18">
        <v>0</v>
      </c>
      <c r="K288" s="18">
        <v>0</v>
      </c>
      <c r="L288" s="13">
        <f t="shared" si="12"/>
        <v>135963.27000000002</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124717.88</v>
      </c>
      <c r="G291" s="39">
        <f t="shared" si="13"/>
        <v>4094.5</v>
      </c>
      <c r="H291" s="39">
        <f t="shared" si="13"/>
        <v>179390.07</v>
      </c>
      <c r="I291" s="39">
        <f t="shared" si="13"/>
        <v>40098.859999999993</v>
      </c>
      <c r="J291" s="39">
        <f t="shared" si="13"/>
        <v>5183.0700000000006</v>
      </c>
      <c r="K291" s="39">
        <f t="shared" si="13"/>
        <v>4251.96</v>
      </c>
      <c r="L291" s="38">
        <f t="shared" si="13"/>
        <v>357736.34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124717.88</v>
      </c>
      <c r="G339" s="38">
        <f t="shared" si="20"/>
        <v>4094.5</v>
      </c>
      <c r="H339" s="38">
        <f t="shared" si="20"/>
        <v>179390.07</v>
      </c>
      <c r="I339" s="38">
        <f t="shared" si="20"/>
        <v>40098.859999999993</v>
      </c>
      <c r="J339" s="38">
        <f t="shared" si="20"/>
        <v>5183.0700000000006</v>
      </c>
      <c r="K339" s="38">
        <f t="shared" si="20"/>
        <v>4251.96</v>
      </c>
      <c r="L339" s="38">
        <f t="shared" si="20"/>
        <v>357736.34</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124717.88</v>
      </c>
      <c r="G353" s="38">
        <f>G339</f>
        <v>4094.5</v>
      </c>
      <c r="H353" s="38">
        <f>H339</f>
        <v>179390.07</v>
      </c>
      <c r="I353" s="38">
        <f>I339</f>
        <v>40098.859999999993</v>
      </c>
      <c r="J353" s="38">
        <f>J339</f>
        <v>5183.0700000000006</v>
      </c>
      <c r="K353" s="38">
        <f>K339+K352</f>
        <v>4251.96</v>
      </c>
      <c r="L353" s="38">
        <f>L339+L352</f>
        <v>357736.34</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53556.62</v>
      </c>
      <c r="G359" s="18">
        <v>26181.33</v>
      </c>
      <c r="H359" s="18">
        <v>2655</v>
      </c>
      <c r="I359" s="18">
        <f>3400.12+28330.24+8168.17</f>
        <v>39898.53</v>
      </c>
      <c r="J359" s="18"/>
      <c r="K359" s="18"/>
      <c r="L359" s="13">
        <f>SUM(F359:K359)</f>
        <v>122291.48000000001</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53556.62</v>
      </c>
      <c r="G363" s="38">
        <f t="shared" si="22"/>
        <v>26181.33</v>
      </c>
      <c r="H363" s="38">
        <f t="shared" si="22"/>
        <v>2655</v>
      </c>
      <c r="I363" s="38">
        <f t="shared" si="22"/>
        <v>39898.53</v>
      </c>
      <c r="J363" s="38">
        <f t="shared" si="22"/>
        <v>0</v>
      </c>
      <c r="K363" s="38">
        <f t="shared" si="22"/>
        <v>0</v>
      </c>
      <c r="L363" s="38">
        <f t="shared" si="22"/>
        <v>122291.48000000001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28330.24+8168.17</f>
        <v>36498.410000000003</v>
      </c>
      <c r="G368" s="18"/>
      <c r="H368" s="18"/>
      <c r="I368" s="13">
        <f>SUM(F368:H368)</f>
        <v>36498.410000000003</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3400.12</f>
        <v>3400.12</v>
      </c>
      <c r="G369" s="53"/>
      <c r="H369" s="53"/>
      <c r="I369" s="13">
        <f>SUM(F369:H369)</f>
        <v>3400.12</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39898.530000000006</v>
      </c>
      <c r="G370" s="38">
        <f>SUM(G368:G369)</f>
        <v>0</v>
      </c>
      <c r="H370" s="38">
        <f>SUM(H368:H369)</f>
        <v>0</v>
      </c>
      <c r="I370" s="38">
        <f>SUM(I368:I369)</f>
        <v>39898.530000000006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25000</v>
      </c>
      <c r="H397" s="18">
        <v>-956.41</v>
      </c>
      <c r="I397" s="18"/>
      <c r="J397" s="23" t="s">
        <v>288</v>
      </c>
      <c r="K397" s="23" t="s">
        <v>288</v>
      </c>
      <c r="L397" s="13">
        <f t="shared" si="26"/>
        <v>24043.59</v>
      </c>
      <c r="M397" s="8"/>
      <c r="N397" s="165"/>
    </row>
    <row r="398" spans="1:14" s="3" customFormat="1" ht="12.2" customHeight="1" x14ac:dyDescent="0.15">
      <c r="A398" s="62" t="s">
        <v>515</v>
      </c>
      <c r="B398" s="2" t="s">
        <v>381</v>
      </c>
      <c r="C398" s="6">
        <v>10</v>
      </c>
      <c r="D398" s="2" t="s">
        <v>432</v>
      </c>
      <c r="E398" s="6"/>
      <c r="F398" s="18"/>
      <c r="G398" s="18">
        <v>15000</v>
      </c>
      <c r="H398" s="18">
        <v>-469.36</v>
      </c>
      <c r="I398" s="18"/>
      <c r="J398" s="23" t="s">
        <v>288</v>
      </c>
      <c r="K398" s="23" t="s">
        <v>288</v>
      </c>
      <c r="L398" s="13">
        <f t="shared" si="26"/>
        <v>14530.64</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v>0</v>
      </c>
      <c r="H400" s="18">
        <v>-113.64</v>
      </c>
      <c r="I400" s="18"/>
      <c r="J400" s="23" t="s">
        <v>288</v>
      </c>
      <c r="K400" s="23" t="s">
        <v>288</v>
      </c>
      <c r="L400" s="13">
        <f t="shared" si="26"/>
        <v>-113.64</v>
      </c>
      <c r="M400" s="8"/>
      <c r="N400" s="165"/>
    </row>
    <row r="401" spans="1:21" s="3" customFormat="1" ht="12.2" customHeight="1" thickBot="1" x14ac:dyDescent="0.2">
      <c r="A401" s="62" t="s">
        <v>510</v>
      </c>
      <c r="B401" s="2" t="s">
        <v>381</v>
      </c>
      <c r="C401" s="6">
        <v>13</v>
      </c>
      <c r="D401" s="2" t="s">
        <v>432</v>
      </c>
      <c r="E401" s="6"/>
      <c r="F401" s="18"/>
      <c r="G401" s="18">
        <v>20000</v>
      </c>
      <c r="H401" s="18">
        <v>-680.65</v>
      </c>
      <c r="I401" s="18"/>
      <c r="J401" s="23" t="s">
        <v>288</v>
      </c>
      <c r="K401" s="23" t="s">
        <v>288</v>
      </c>
      <c r="L401" s="13">
        <f t="shared" si="26"/>
        <v>19319.349999999999</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60000</v>
      </c>
      <c r="H402" s="38">
        <f>SUM(H396:H401)</f>
        <v>-2220.06</v>
      </c>
      <c r="I402" s="38">
        <f>SUM(I396:I401)</f>
        <v>0</v>
      </c>
      <c r="J402" s="42" t="s">
        <v>288</v>
      </c>
      <c r="K402" s="42" t="s">
        <v>288</v>
      </c>
      <c r="L402" s="38">
        <f>SUM(L396:L401)</f>
        <v>57779.939999999995</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60000</v>
      </c>
      <c r="H409" s="38">
        <f>H394+H402+H408</f>
        <v>-2220.06</v>
      </c>
      <c r="I409" s="38">
        <f>I394+I402+I408</f>
        <v>0</v>
      </c>
      <c r="J409" s="23" t="s">
        <v>288</v>
      </c>
      <c r="K409" s="23" t="s">
        <v>288</v>
      </c>
      <c r="L409" s="38">
        <f>L394+L402+L408</f>
        <v>57779.939999999995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v>225500.11</v>
      </c>
      <c r="H443" s="18"/>
      <c r="I443" s="13">
        <f t="shared" si="33"/>
        <v>225500.11</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225500.11</v>
      </c>
      <c r="H447" s="13">
        <f>SUM(H440:H446)</f>
        <v>0</v>
      </c>
      <c r="I447" s="13">
        <f>SUM(I440:I446)</f>
        <v>225500.11</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225500.11</v>
      </c>
      <c r="H460" s="18"/>
      <c r="I460" s="13">
        <f t="shared" si="34"/>
        <v>225500.11</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225500.11</v>
      </c>
      <c r="H461" s="65">
        <f>SUM(H455:H460)</f>
        <v>0</v>
      </c>
      <c r="I461" s="65">
        <f>SUM(I455:I460)</f>
        <v>225500.11</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225500.11</v>
      </c>
      <c r="H462" s="39">
        <f>H453+H461</f>
        <v>0</v>
      </c>
      <c r="I462" s="39">
        <f>I453+I461</f>
        <v>225500.11</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409332.6</v>
      </c>
      <c r="G466" s="18">
        <v>6630.06</v>
      </c>
      <c r="H466" s="18">
        <v>4674.37</v>
      </c>
      <c r="I466" s="18"/>
      <c r="J466" s="18">
        <v>167720.17000000001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6490567.03-69793.31</f>
        <v>6420773.7200000007</v>
      </c>
      <c r="G469" s="18">
        <v>123627.35</v>
      </c>
      <c r="H469" s="18">
        <f>69793.31+288473.84</f>
        <v>358267.15</v>
      </c>
      <c r="I469" s="18"/>
      <c r="J469" s="18">
        <f>60000-2220.06</f>
        <v>57779.94</v>
      </c>
      <c r="K469" s="23" t="s">
        <v>288</v>
      </c>
      <c r="L469" s="23" t="s">
        <v>288</v>
      </c>
      <c r="N469" s="131"/>
    </row>
    <row r="470" spans="1:14" ht="12.2" customHeight="1" x14ac:dyDescent="0.2">
      <c r="A470" s="71" t="s">
        <v>611</v>
      </c>
      <c r="B470" s="22">
        <v>19</v>
      </c>
      <c r="C470" s="31">
        <v>3</v>
      </c>
      <c r="D470" s="2" t="s">
        <v>432</v>
      </c>
      <c r="E470" s="31"/>
      <c r="F470" s="18">
        <v>104370.09</v>
      </c>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6525143.8100000005</v>
      </c>
      <c r="G471" s="19">
        <f>SUM(G469:G470)</f>
        <v>123627.35</v>
      </c>
      <c r="H471" s="19">
        <f>SUM(H469:H470)</f>
        <v>358267.15</v>
      </c>
      <c r="I471" s="19">
        <f>SUM(I469:I470)</f>
        <v>0</v>
      </c>
      <c r="J471" s="19">
        <f>SUM(J469:J470)</f>
        <v>57779.94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6757806.12-69793.31</f>
        <v>6688012.8100000005</v>
      </c>
      <c r="G473" s="18">
        <v>122291.48</v>
      </c>
      <c r="H473" s="18">
        <f>287943.03+69793.31</f>
        <v>357736.34</v>
      </c>
      <c r="I473" s="18"/>
      <c r="J473" s="18">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6688012.8100000005</v>
      </c>
      <c r="G475" s="19">
        <f>SUM(G473:G474)</f>
        <v>122291.48</v>
      </c>
      <c r="H475" s="19">
        <f>SUM(H473:H474)</f>
        <v>357736.34</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246463.59999999963</v>
      </c>
      <c r="G477" s="19">
        <f>(G466+G471)- G475</f>
        <v>7965.9300000000076</v>
      </c>
      <c r="H477" s="19">
        <f>(H466+H471)- H475</f>
        <v>5205.179999999993</v>
      </c>
      <c r="I477" s="19">
        <f>(I466+I471)- I475</f>
        <v>0</v>
      </c>
      <c r="J477" s="19">
        <f>(J466+J471)- J475</f>
        <v>225500.11000000002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
        <v>355053.86</v>
      </c>
      <c r="G522" s="18">
        <f t="shared" ref="G522:K522" si="36">G199</f>
        <v>256910.51</v>
      </c>
      <c r="H522" s="18">
        <f t="shared" si="36"/>
        <v>393692.10000000003</v>
      </c>
      <c r="I522" s="18">
        <f t="shared" si="36"/>
        <v>1925.04</v>
      </c>
      <c r="J522" s="18">
        <f t="shared" si="36"/>
        <v>121.5</v>
      </c>
      <c r="K522" s="18">
        <f t="shared" si="36"/>
        <v>555</v>
      </c>
      <c r="L522" s="69">
        <f>SUM(F522:K522)</f>
        <v>1008258.01</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f>H235</f>
        <v>90982.88</v>
      </c>
      <c r="I524" s="18"/>
      <c r="J524" s="18"/>
      <c r="K524" s="18"/>
      <c r="L524" s="69">
        <f>SUM(F524:K524)</f>
        <v>90982.88</v>
      </c>
      <c r="N524" s="131"/>
    </row>
    <row r="525" spans="1:14" ht="12.2" customHeight="1" thickTop="1" x14ac:dyDescent="0.2">
      <c r="A525" s="97" t="s">
        <v>63</v>
      </c>
      <c r="B525" s="41">
        <v>21</v>
      </c>
      <c r="C525" s="41">
        <v>4</v>
      </c>
      <c r="D525" s="115" t="s">
        <v>432</v>
      </c>
      <c r="E525" s="41"/>
      <c r="F525" s="81">
        <f>SUM(F522:F524)</f>
        <v>355053.86</v>
      </c>
      <c r="G525" s="81">
        <f t="shared" ref="G525:L525" si="37">SUM(G522:G524)</f>
        <v>256910.51</v>
      </c>
      <c r="H525" s="81">
        <f t="shared" si="37"/>
        <v>484674.98000000004</v>
      </c>
      <c r="I525" s="81">
        <f t="shared" si="37"/>
        <v>1925.04</v>
      </c>
      <c r="J525" s="81">
        <f t="shared" si="37"/>
        <v>121.5</v>
      </c>
      <c r="K525" s="81">
        <f t="shared" si="37"/>
        <v>555</v>
      </c>
      <c r="L525" s="70">
        <f t="shared" si="37"/>
        <v>1099240.8900000001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f>H203</f>
        <v>184491.27999999997</v>
      </c>
      <c r="I527" s="18"/>
      <c r="J527" s="18"/>
      <c r="K527" s="18"/>
      <c r="L527" s="69">
        <f>SUM(F527:K527)</f>
        <v>184491.27999999997</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f>H239</f>
        <v>49190.6</v>
      </c>
      <c r="I529" s="18"/>
      <c r="J529" s="18"/>
      <c r="K529" s="18"/>
      <c r="L529" s="69">
        <f>SUM(F529:K529)</f>
        <v>49190.6</v>
      </c>
      <c r="M529" s="8"/>
      <c r="N529" s="165"/>
    </row>
    <row r="530" spans="1:14" s="3" customFormat="1" ht="12.2" customHeight="1" thickTop="1" x14ac:dyDescent="0.15">
      <c r="A530" s="97" t="s">
        <v>65</v>
      </c>
      <c r="B530" s="41">
        <v>21</v>
      </c>
      <c r="C530" s="41">
        <v>8</v>
      </c>
      <c r="D530" s="115" t="s">
        <v>432</v>
      </c>
      <c r="E530" s="41"/>
      <c r="F530" s="70">
        <f>SUM(F527:F529)</f>
        <v>0</v>
      </c>
      <c r="G530" s="70">
        <f t="shared" ref="G530:L530" si="38">SUM(G527:G529)</f>
        <v>0</v>
      </c>
      <c r="H530" s="70">
        <f t="shared" si="38"/>
        <v>233681.87999999998</v>
      </c>
      <c r="I530" s="70">
        <f t="shared" si="38"/>
        <v>0</v>
      </c>
      <c r="J530" s="70">
        <f t="shared" si="38"/>
        <v>0</v>
      </c>
      <c r="K530" s="70">
        <f t="shared" si="38"/>
        <v>0</v>
      </c>
      <c r="L530" s="70">
        <f t="shared" si="38"/>
        <v>233681.87999999998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10105.790000000001</v>
      </c>
      <c r="G532" s="18">
        <v>4707.22</v>
      </c>
      <c r="H532" s="18"/>
      <c r="I532" s="18"/>
      <c r="J532" s="18"/>
      <c r="K532" s="18"/>
      <c r="L532" s="69">
        <f>SUM(F532:K532)</f>
        <v>14813.010000000002</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v>2526.4499999999998</v>
      </c>
      <c r="G534" s="18">
        <v>1176.8</v>
      </c>
      <c r="H534" s="18"/>
      <c r="I534" s="18"/>
      <c r="J534" s="18"/>
      <c r="K534" s="18"/>
      <c r="L534" s="69">
        <f>SUM(F534:K534)</f>
        <v>3703.25</v>
      </c>
      <c r="M534" s="8"/>
      <c r="N534" s="165"/>
    </row>
    <row r="535" spans="1:14" s="3" customFormat="1" ht="12.2" customHeight="1" thickTop="1" x14ac:dyDescent="0.15">
      <c r="A535" s="97" t="s">
        <v>67</v>
      </c>
      <c r="B535" s="41">
        <v>21</v>
      </c>
      <c r="C535" s="41">
        <v>12</v>
      </c>
      <c r="D535" s="115" t="s">
        <v>432</v>
      </c>
      <c r="E535" s="41"/>
      <c r="F535" s="70">
        <f>SUM(F532:F534)</f>
        <v>12632.240000000002</v>
      </c>
      <c r="G535" s="70">
        <f t="shared" ref="G535:L535" si="39">SUM(G532:G534)</f>
        <v>5884.02</v>
      </c>
      <c r="H535" s="70">
        <f t="shared" si="39"/>
        <v>0</v>
      </c>
      <c r="I535" s="70">
        <f t="shared" si="39"/>
        <v>0</v>
      </c>
      <c r="J535" s="70">
        <f t="shared" si="39"/>
        <v>0</v>
      </c>
      <c r="K535" s="70">
        <f t="shared" si="39"/>
        <v>0</v>
      </c>
      <c r="L535" s="70">
        <f t="shared" si="39"/>
        <v>18516.260000000002</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0</v>
      </c>
      <c r="I540" s="70">
        <f t="shared" si="40"/>
        <v>0</v>
      </c>
      <c r="J540" s="70">
        <f t="shared" si="40"/>
        <v>0</v>
      </c>
      <c r="K540" s="70">
        <f t="shared" si="40"/>
        <v>0</v>
      </c>
      <c r="L540" s="70">
        <f t="shared" si="40"/>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13639.51+126008.61</f>
        <v>139648.12</v>
      </c>
      <c r="I542" s="18"/>
      <c r="J542" s="18"/>
      <c r="K542" s="18"/>
      <c r="L542" s="69">
        <f>SUM(F542:K542)</f>
        <v>139648.12</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1">SUM(G542:G544)</f>
        <v>0</v>
      </c>
      <c r="H545" s="141">
        <f t="shared" si="41"/>
        <v>139648.12</v>
      </c>
      <c r="I545" s="141">
        <f t="shared" si="41"/>
        <v>0</v>
      </c>
      <c r="J545" s="141">
        <f t="shared" si="41"/>
        <v>0</v>
      </c>
      <c r="K545" s="141">
        <f t="shared" si="41"/>
        <v>0</v>
      </c>
      <c r="L545" s="141">
        <f t="shared" si="41"/>
        <v>139648.12</v>
      </c>
      <c r="M545" s="8"/>
      <c r="N545" s="165"/>
    </row>
    <row r="546" spans="1:14" s="3" customFormat="1" ht="12.2" customHeight="1" thickTop="1" x14ac:dyDescent="0.15">
      <c r="A546" s="75" t="s">
        <v>72</v>
      </c>
      <c r="B546" s="41">
        <v>21</v>
      </c>
      <c r="C546" s="41">
        <v>21</v>
      </c>
      <c r="D546" s="115" t="s">
        <v>432</v>
      </c>
      <c r="E546" s="41"/>
      <c r="F546" s="70">
        <f>F525+F530+F535+F540+F545</f>
        <v>367686.1</v>
      </c>
      <c r="G546" s="70">
        <f t="shared" ref="G546:L546" si="42">G525+G530+G535+G540+G545</f>
        <v>262794.53000000003</v>
      </c>
      <c r="H546" s="70">
        <f t="shared" si="42"/>
        <v>858004.98</v>
      </c>
      <c r="I546" s="70">
        <f t="shared" si="42"/>
        <v>1925.04</v>
      </c>
      <c r="J546" s="70">
        <f t="shared" si="42"/>
        <v>121.5</v>
      </c>
      <c r="K546" s="70">
        <f t="shared" si="42"/>
        <v>555</v>
      </c>
      <c r="L546" s="70">
        <f t="shared" si="42"/>
        <v>1491087.15</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1008258.01</v>
      </c>
      <c r="G550" s="69">
        <f>L527</f>
        <v>184491.27999999997</v>
      </c>
      <c r="H550" s="69">
        <f>L532</f>
        <v>14813.010000000002</v>
      </c>
      <c r="I550" s="69">
        <f>L537</f>
        <v>0</v>
      </c>
      <c r="J550" s="69">
        <f>L542</f>
        <v>139648.12</v>
      </c>
      <c r="K550" s="69">
        <f>SUM(F550:J550)</f>
        <v>1347210.42</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90982.88</v>
      </c>
      <c r="G552" s="69">
        <f>L529</f>
        <v>49190.6</v>
      </c>
      <c r="H552" s="69">
        <f>L534</f>
        <v>3703.25</v>
      </c>
      <c r="I552" s="69">
        <f>L539</f>
        <v>0</v>
      </c>
      <c r="J552" s="69">
        <f>L544</f>
        <v>0</v>
      </c>
      <c r="K552" s="69">
        <f>SUM(F552:J552)</f>
        <v>143876.73000000001</v>
      </c>
      <c r="L552" s="23" t="s">
        <v>288</v>
      </c>
      <c r="M552" s="8"/>
      <c r="N552" s="165"/>
    </row>
    <row r="553" spans="1:14" s="3" customFormat="1" ht="12.2" customHeight="1" thickTop="1" x14ac:dyDescent="0.15">
      <c r="A553" s="126" t="s">
        <v>340</v>
      </c>
      <c r="B553" s="41">
        <v>21</v>
      </c>
      <c r="C553" s="41">
        <v>25</v>
      </c>
      <c r="D553" s="36" t="s">
        <v>432</v>
      </c>
      <c r="E553" s="41"/>
      <c r="F553" s="70">
        <f t="shared" ref="F553:K553" si="43">SUM(F550:F552)</f>
        <v>1099240.8900000001</v>
      </c>
      <c r="G553" s="70">
        <f t="shared" si="43"/>
        <v>233681.87999999998</v>
      </c>
      <c r="H553" s="70">
        <f t="shared" si="43"/>
        <v>18516.260000000002</v>
      </c>
      <c r="I553" s="70">
        <f t="shared" si="43"/>
        <v>0</v>
      </c>
      <c r="J553" s="70">
        <f t="shared" si="43"/>
        <v>139648.12</v>
      </c>
      <c r="K553" s="70">
        <f t="shared" si="43"/>
        <v>1491087.15</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0</v>
      </c>
      <c r="I566" s="70">
        <f t="shared" si="45"/>
        <v>0</v>
      </c>
      <c r="J566" s="70">
        <f t="shared" si="45"/>
        <v>0</v>
      </c>
      <c r="K566" s="70">
        <f t="shared" si="45"/>
        <v>0</v>
      </c>
      <c r="L566" s="70">
        <f t="shared" si="45"/>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6">SUM(G568:G570)</f>
        <v>0</v>
      </c>
      <c r="H571" s="141">
        <f t="shared" si="46"/>
        <v>0</v>
      </c>
      <c r="I571" s="141">
        <f t="shared" si="46"/>
        <v>0</v>
      </c>
      <c r="J571" s="141">
        <f t="shared" si="46"/>
        <v>0</v>
      </c>
      <c r="K571" s="141">
        <f t="shared" si="46"/>
        <v>0</v>
      </c>
      <c r="L571" s="141">
        <f t="shared" si="46"/>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0</v>
      </c>
      <c r="I572" s="70">
        <f t="shared" si="47"/>
        <v>0</v>
      </c>
      <c r="J572" s="70">
        <f t="shared" si="47"/>
        <v>0</v>
      </c>
      <c r="K572" s="70">
        <f t="shared" si="47"/>
        <v>0</v>
      </c>
      <c r="L572" s="70">
        <f t="shared" si="47"/>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1288724.79</v>
      </c>
      <c r="I576" s="69">
        <f>SUM(F576:H576)</f>
        <v>1288724.79</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8"/>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128686.55</v>
      </c>
      <c r="G580" s="18"/>
      <c r="H580" s="18">
        <v>96656.89</v>
      </c>
      <c r="I580" s="69">
        <f t="shared" si="48"/>
        <v>225343.44</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8"/>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259082.48</v>
      </c>
      <c r="G583" s="18"/>
      <c r="H583" s="18"/>
      <c r="I583" s="69">
        <f t="shared" si="48"/>
        <v>259082.48</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8"/>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8"/>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8"/>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8"/>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278068.88</v>
      </c>
      <c r="I592" s="18"/>
      <c r="J592" s="18">
        <v>80974.070000000007</v>
      </c>
      <c r="K592" s="80">
        <f t="shared" ref="K592:K598" si="49">SUM(H592:J592)</f>
        <v>359042.95</v>
      </c>
      <c r="L592" s="23" t="s">
        <v>288</v>
      </c>
      <c r="M592" s="8"/>
      <c r="N592" s="165"/>
    </row>
    <row r="593" spans="1:14" s="3" customFormat="1" ht="12.2" customHeight="1" x14ac:dyDescent="0.15">
      <c r="A593" s="3" t="s">
        <v>638</v>
      </c>
      <c r="B593" s="22">
        <v>23</v>
      </c>
      <c r="C593" s="22">
        <v>2</v>
      </c>
      <c r="D593" s="2" t="s">
        <v>432</v>
      </c>
      <c r="E593" s="22"/>
      <c r="F593" s="78">
        <v>2722</v>
      </c>
      <c r="G593" s="79" t="s">
        <v>97</v>
      </c>
      <c r="H593" s="18">
        <f>13639.51+126008.61</f>
        <v>139648.12</v>
      </c>
      <c r="I593" s="18"/>
      <c r="J593" s="18">
        <v>0</v>
      </c>
      <c r="K593" s="80">
        <f t="shared" si="49"/>
        <v>139648.12</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2301.44</v>
      </c>
      <c r="I595" s="18"/>
      <c r="J595" s="18"/>
      <c r="K595" s="80">
        <f t="shared" si="49"/>
        <v>2301.44</v>
      </c>
      <c r="L595" s="23" t="s">
        <v>288</v>
      </c>
      <c r="M595" s="8"/>
      <c r="N595" s="165"/>
    </row>
    <row r="596" spans="1:14" s="3" customFormat="1" ht="12.2" customHeight="1" x14ac:dyDescent="0.15">
      <c r="A596" s="103" t="s">
        <v>652</v>
      </c>
      <c r="B596" s="22">
        <v>23</v>
      </c>
      <c r="C596" s="22">
        <v>5</v>
      </c>
      <c r="D596" s="2" t="s">
        <v>432</v>
      </c>
      <c r="E596" s="22"/>
      <c r="F596" s="78">
        <v>2725</v>
      </c>
      <c r="G596" s="79" t="s">
        <v>97</v>
      </c>
      <c r="H596" s="18">
        <v>4178.82</v>
      </c>
      <c r="I596" s="18"/>
      <c r="J596" s="18"/>
      <c r="K596" s="80">
        <f t="shared" si="49"/>
        <v>4178.82</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424197.26</v>
      </c>
      <c r="I599" s="81">
        <f>SUM(I592:I598)</f>
        <v>0</v>
      </c>
      <c r="J599" s="81">
        <f>SUM(J592:J598)</f>
        <v>80974.070000000007</v>
      </c>
      <c r="K599" s="81">
        <f>SUM(K592:K598)</f>
        <v>505171.33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J339+J272</f>
        <v>36838.660000000003</v>
      </c>
      <c r="I605" s="18"/>
      <c r="J605" s="18"/>
      <c r="K605" s="80">
        <f>SUM(H605:J605)</f>
        <v>36838.660000000003</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36838.660000000003</v>
      </c>
      <c r="I606" s="81">
        <f>SUM(I603:I605)</f>
        <v>0</v>
      </c>
      <c r="J606" s="81">
        <f>SUM(J603:J605)</f>
        <v>0</v>
      </c>
      <c r="K606" s="81">
        <f>SUM(K603:K605)</f>
        <v>36838.660000000003</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370539.82</v>
      </c>
      <c r="H618" s="80">
        <f>SUM(F52)</f>
        <v>370539.82</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24371.25</v>
      </c>
      <c r="H619" s="80">
        <f>SUM(G52)</f>
        <v>24371.25</v>
      </c>
      <c r="I619" s="87" t="s">
        <v>875</v>
      </c>
      <c r="J619" s="80">
        <f>G619-H619</f>
        <v>0</v>
      </c>
      <c r="K619" s="80"/>
      <c r="L619" s="80"/>
      <c r="M619" s="8"/>
    </row>
    <row r="620" spans="1:14" s="3" customFormat="1" ht="12.2" customHeight="1" x14ac:dyDescent="0.15">
      <c r="A620" s="74"/>
      <c r="B620" s="22"/>
      <c r="C620" s="22"/>
      <c r="D620" s="22"/>
      <c r="E620" s="22"/>
      <c r="F620" s="87" t="s">
        <v>685</v>
      </c>
      <c r="G620" s="80">
        <f>SUM(H19)</f>
        <v>25642.81</v>
      </c>
      <c r="H620" s="80">
        <f>SUM(H52)</f>
        <v>25642.809999999998</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225500.11</v>
      </c>
      <c r="H622" s="80">
        <f>SUM(J52)</f>
        <v>225500.11</v>
      </c>
      <c r="I622" s="87" t="s">
        <v>878</v>
      </c>
      <c r="J622" s="80">
        <f>G622-H622</f>
        <v>0</v>
      </c>
      <c r="K622" s="80"/>
      <c r="L622" s="80"/>
      <c r="M622" s="8"/>
    </row>
    <row r="623" spans="1:14" s="3" customFormat="1" ht="12.2" customHeight="1" x14ac:dyDescent="0.15">
      <c r="A623" s="74"/>
      <c r="B623" s="22"/>
      <c r="C623" s="22"/>
      <c r="D623" s="22"/>
      <c r="E623" s="22"/>
      <c r="F623" s="87" t="s">
        <v>864</v>
      </c>
      <c r="G623" s="80">
        <f>F51</f>
        <v>246463.6</v>
      </c>
      <c r="H623" s="80">
        <f>F477</f>
        <v>246463.59999999963</v>
      </c>
      <c r="I623" s="87" t="s">
        <v>101</v>
      </c>
      <c r="J623" s="80">
        <f t="shared" ref="J623:J656" si="51">G623-H623</f>
        <v>3.7834979593753815E-10</v>
      </c>
      <c r="K623" s="80"/>
      <c r="L623" s="80"/>
      <c r="M623" s="8"/>
    </row>
    <row r="624" spans="1:14" s="3" customFormat="1" ht="12.2" customHeight="1" x14ac:dyDescent="0.15">
      <c r="A624" s="74"/>
      <c r="B624" s="22"/>
      <c r="C624" s="85"/>
      <c r="D624" s="85"/>
      <c r="E624" s="85"/>
      <c r="F624" s="85" t="s">
        <v>865</v>
      </c>
      <c r="G624" s="80">
        <f>G51</f>
        <v>7965.93</v>
      </c>
      <c r="H624" s="80">
        <f>G477</f>
        <v>7965.9300000000076</v>
      </c>
      <c r="I624" s="87" t="s">
        <v>102</v>
      </c>
      <c r="J624" s="80">
        <f t="shared" si="51"/>
        <v>-7.2759576141834259E-12</v>
      </c>
      <c r="K624" s="80"/>
      <c r="L624" s="80"/>
      <c r="M624" s="8"/>
    </row>
    <row r="625" spans="1:13" s="3" customFormat="1" ht="12.2" customHeight="1" x14ac:dyDescent="0.15">
      <c r="A625" s="74"/>
      <c r="B625" s="22"/>
      <c r="C625" s="22"/>
      <c r="D625" s="22"/>
      <c r="E625" s="22"/>
      <c r="F625" s="86" t="s">
        <v>866</v>
      </c>
      <c r="G625" s="80">
        <f>H51</f>
        <v>5205.18</v>
      </c>
      <c r="H625" s="80">
        <f>H477</f>
        <v>5205.179999999993</v>
      </c>
      <c r="I625" s="87" t="s">
        <v>103</v>
      </c>
      <c r="J625" s="80">
        <f t="shared" si="51"/>
        <v>7.2759576141834259E-12</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868</v>
      </c>
      <c r="G627" s="80">
        <f>J51</f>
        <v>225500.11</v>
      </c>
      <c r="H627" s="80">
        <f>J477</f>
        <v>225500.11000000002</v>
      </c>
      <c r="I627" s="87" t="s">
        <v>105</v>
      </c>
      <c r="J627" s="80">
        <f t="shared" si="51"/>
        <v>0</v>
      </c>
      <c r="K627" s="67"/>
      <c r="L627" s="69"/>
      <c r="M627" s="8"/>
    </row>
    <row r="628" spans="1:13" s="3" customFormat="1" ht="12.2" customHeight="1" x14ac:dyDescent="0.15">
      <c r="A628" s="21"/>
      <c r="B628" s="22"/>
      <c r="C628" s="22"/>
      <c r="D628" s="22"/>
      <c r="E628" s="22"/>
      <c r="F628" s="86" t="s">
        <v>658</v>
      </c>
      <c r="G628" s="80">
        <f>F194</f>
        <v>6420773.7200000007</v>
      </c>
      <c r="H628" s="80">
        <f>SUM(F469)</f>
        <v>6420773.7200000007</v>
      </c>
      <c r="I628" s="87" t="s">
        <v>106</v>
      </c>
      <c r="J628" s="80">
        <f>G628-H628</f>
        <v>0</v>
      </c>
      <c r="K628" s="67"/>
      <c r="L628" s="69"/>
      <c r="M628" s="8"/>
    </row>
    <row r="629" spans="1:13" s="3" customFormat="1" ht="12.2" customHeight="1" x14ac:dyDescent="0.15">
      <c r="A629" s="21"/>
      <c r="B629" s="22"/>
      <c r="C629" s="22"/>
      <c r="D629" s="22"/>
      <c r="E629" s="22"/>
      <c r="F629" s="86" t="s">
        <v>659</v>
      </c>
      <c r="G629" s="80">
        <f>G194</f>
        <v>123627.35</v>
      </c>
      <c r="H629" s="80">
        <f>SUM(G469)</f>
        <v>123627.35</v>
      </c>
      <c r="I629" s="87" t="s">
        <v>107</v>
      </c>
      <c r="J629" s="80">
        <f>G629-H629</f>
        <v>0</v>
      </c>
      <c r="K629" s="67"/>
      <c r="L629" s="69"/>
      <c r="M629" s="8"/>
    </row>
    <row r="630" spans="1:13" s="3" customFormat="1" ht="12.2" customHeight="1" x14ac:dyDescent="0.15">
      <c r="A630" s="21"/>
      <c r="B630" s="22"/>
      <c r="C630" s="22"/>
      <c r="D630" s="22"/>
      <c r="E630" s="22"/>
      <c r="F630" s="86" t="s">
        <v>660</v>
      </c>
      <c r="G630" s="80">
        <f>H194</f>
        <v>358267.15</v>
      </c>
      <c r="H630" s="80">
        <f>SUM(H469)</f>
        <v>358267.15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57779.94</v>
      </c>
      <c r="H632" s="80">
        <f>SUM(J469)</f>
        <v>57779.94</v>
      </c>
      <c r="I632" s="87" t="s">
        <v>110</v>
      </c>
      <c r="J632" s="80">
        <f>G632-H632</f>
        <v>0</v>
      </c>
      <c r="K632" s="67"/>
      <c r="L632" s="69"/>
      <c r="M632" s="8"/>
    </row>
    <row r="633" spans="1:13" s="3" customFormat="1" ht="12.2" customHeight="1" x14ac:dyDescent="0.15">
      <c r="A633" s="21"/>
      <c r="B633" s="22"/>
      <c r="C633" s="22"/>
      <c r="D633" s="22"/>
      <c r="E633" s="22"/>
      <c r="F633" s="86" t="s">
        <v>394</v>
      </c>
      <c r="G633" s="80">
        <f>SUM(L272)</f>
        <v>6688012.8100000005</v>
      </c>
      <c r="H633" s="80">
        <f>SUM(F473)</f>
        <v>6688012.8100000005</v>
      </c>
      <c r="I633" s="87" t="s">
        <v>111</v>
      </c>
      <c r="J633" s="80">
        <f t="shared" si="51"/>
        <v>0</v>
      </c>
      <c r="K633" s="67"/>
      <c r="L633" s="69"/>
      <c r="M633" s="8"/>
    </row>
    <row r="634" spans="1:13" s="3" customFormat="1" ht="12.2" customHeight="1" x14ac:dyDescent="0.15">
      <c r="A634" s="21"/>
      <c r="B634" s="22"/>
      <c r="C634" s="22"/>
      <c r="D634" s="22"/>
      <c r="E634" s="22"/>
      <c r="F634" s="86" t="s">
        <v>395</v>
      </c>
      <c r="G634" s="80">
        <f>SUM(L353)</f>
        <v>357736.34</v>
      </c>
      <c r="H634" s="80">
        <f>SUM(H473)</f>
        <v>357736.34</v>
      </c>
      <c r="I634" s="87" t="s">
        <v>112</v>
      </c>
      <c r="J634" s="80">
        <f>G634-H634</f>
        <v>0</v>
      </c>
      <c r="K634" s="67"/>
      <c r="L634" s="69"/>
      <c r="M634" s="8"/>
    </row>
    <row r="635" spans="1:13" s="124" customFormat="1" ht="12.2" customHeight="1" x14ac:dyDescent="0.15">
      <c r="A635" s="21"/>
      <c r="B635" s="22"/>
      <c r="C635" s="22"/>
      <c r="D635" s="22"/>
      <c r="E635" s="22"/>
      <c r="F635" s="99" t="s">
        <v>247</v>
      </c>
      <c r="G635" s="80">
        <f>I363</f>
        <v>39898.53</v>
      </c>
      <c r="H635" s="80">
        <f>I370</f>
        <v>39898.530000000006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122291.48000000001</v>
      </c>
      <c r="H636" s="80">
        <f>SUM(G473)</f>
        <v>122291.48</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57779.939999999995</v>
      </c>
      <c r="H638" s="108">
        <f>SUM(J469)</f>
        <v>57779.94</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1"/>
        <v>0</v>
      </c>
      <c r="K640" s="67"/>
      <c r="L640" s="69"/>
      <c r="M640" s="8"/>
    </row>
    <row r="641" spans="1:13" s="3" customFormat="1" ht="12.2" customHeight="1" x14ac:dyDescent="0.15">
      <c r="A641" s="21"/>
      <c r="B641" s="22"/>
      <c r="C641" s="22"/>
      <c r="D641" s="22"/>
      <c r="E641" s="22"/>
      <c r="F641" s="86" t="s">
        <v>119</v>
      </c>
      <c r="G641" s="80">
        <f>SUM(G447)</f>
        <v>225500.11</v>
      </c>
      <c r="H641" s="80">
        <f>SUM(G462)</f>
        <v>225500.11</v>
      </c>
      <c r="I641" s="87" t="s">
        <v>841</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1"/>
        <v>0</v>
      </c>
      <c r="K642" s="67"/>
      <c r="L642" s="69"/>
      <c r="M642" s="8"/>
    </row>
    <row r="643" spans="1:13" s="3" customFormat="1" ht="12.2" customHeight="1" x14ac:dyDescent="0.15">
      <c r="A643" s="21"/>
      <c r="B643" s="22"/>
      <c r="C643" s="22"/>
      <c r="D643" s="22"/>
      <c r="E643" s="22"/>
      <c r="F643" s="86" t="s">
        <v>121</v>
      </c>
      <c r="G643" s="80">
        <f>SUM(I447)</f>
        <v>225500.11</v>
      </c>
      <c r="H643" s="80">
        <f>SUM(I462)</f>
        <v>225500.11</v>
      </c>
      <c r="I643" s="87" t="s">
        <v>843</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-2220.06</v>
      </c>
      <c r="H645" s="80">
        <f>H409</f>
        <v>-2220.06</v>
      </c>
      <c r="I645" s="87" t="s">
        <v>480</v>
      </c>
      <c r="J645" s="80">
        <f t="shared" si="51"/>
        <v>0</v>
      </c>
      <c r="K645" s="67"/>
      <c r="L645" s="69"/>
      <c r="M645" s="8"/>
    </row>
    <row r="646" spans="1:13" s="3" customFormat="1" ht="12.2" customHeight="1" x14ac:dyDescent="0.15">
      <c r="A646" s="21"/>
      <c r="B646" s="22"/>
      <c r="C646" s="22"/>
      <c r="D646" s="22"/>
      <c r="E646" s="22"/>
      <c r="F646" s="86" t="s">
        <v>664</v>
      </c>
      <c r="G646" s="80">
        <f>J184</f>
        <v>60000</v>
      </c>
      <c r="H646" s="80">
        <f>G409</f>
        <v>60000</v>
      </c>
      <c r="I646" s="87" t="s">
        <v>481</v>
      </c>
      <c r="J646" s="80">
        <f t="shared" si="51"/>
        <v>0</v>
      </c>
      <c r="K646" s="67"/>
      <c r="L646" s="69"/>
      <c r="M646" s="8"/>
    </row>
    <row r="647" spans="1:13" s="3" customFormat="1" ht="12.2" customHeight="1" x14ac:dyDescent="0.15">
      <c r="A647" s="21"/>
      <c r="B647" s="22"/>
      <c r="C647" s="22"/>
      <c r="D647" s="22"/>
      <c r="E647" s="22"/>
      <c r="F647" s="86" t="s">
        <v>662</v>
      </c>
      <c r="G647" s="80">
        <f>J194</f>
        <v>57779.94</v>
      </c>
      <c r="H647" s="80">
        <f>L409</f>
        <v>57779.939999999995</v>
      </c>
      <c r="I647" s="87" t="s">
        <v>477</v>
      </c>
      <c r="J647" s="80">
        <f t="shared" si="51"/>
        <v>0</v>
      </c>
      <c r="K647" s="67"/>
      <c r="L647" s="69"/>
      <c r="M647" s="8"/>
    </row>
    <row r="648" spans="1:13" s="3" customFormat="1" ht="12.2" customHeight="1" x14ac:dyDescent="0.15">
      <c r="A648" s="21"/>
      <c r="B648" s="22"/>
      <c r="C648" s="22"/>
      <c r="D648" s="22"/>
      <c r="E648" s="22"/>
      <c r="F648" s="86" t="s">
        <v>51</v>
      </c>
      <c r="G648" s="80">
        <f>K599</f>
        <v>505171.33</v>
      </c>
      <c r="H648" s="80">
        <f>L209+L227+L245</f>
        <v>505171.33</v>
      </c>
      <c r="I648" s="87" t="s">
        <v>396</v>
      </c>
      <c r="J648" s="80">
        <f t="shared" si="51"/>
        <v>0</v>
      </c>
      <c r="K648" s="67"/>
      <c r="L648" s="69"/>
      <c r="M648" s="8"/>
    </row>
    <row r="649" spans="1:13" s="3" customFormat="1" ht="12.2" customHeight="1" x14ac:dyDescent="0.15">
      <c r="A649" s="21"/>
      <c r="B649" s="22"/>
      <c r="C649" s="22"/>
      <c r="D649" s="22"/>
      <c r="E649" s="22"/>
      <c r="F649" s="86" t="s">
        <v>52</v>
      </c>
      <c r="G649" s="80">
        <f>K606</f>
        <v>36838.660000000003</v>
      </c>
      <c r="H649" s="80">
        <f>(J258+J339)-(J256+J337)</f>
        <v>36838.660000000003</v>
      </c>
      <c r="I649" s="87" t="s">
        <v>699</v>
      </c>
      <c r="J649" s="80">
        <f t="shared" si="51"/>
        <v>0</v>
      </c>
      <c r="K649" s="67"/>
      <c r="L649" s="69"/>
      <c r="M649" s="8"/>
    </row>
    <row r="650" spans="1:13" s="3" customFormat="1" ht="12.2" customHeight="1" x14ac:dyDescent="0.15">
      <c r="A650" s="21"/>
      <c r="B650" s="22"/>
      <c r="C650" s="22"/>
      <c r="D650" s="22"/>
      <c r="E650" s="22"/>
      <c r="F650" s="86" t="s">
        <v>387</v>
      </c>
      <c r="G650" s="80">
        <f>L209</f>
        <v>424197.26</v>
      </c>
      <c r="H650" s="80">
        <f>H599</f>
        <v>424197.26</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80974.070000000007</v>
      </c>
      <c r="H652" s="80">
        <f>J599</f>
        <v>80974.070000000007</v>
      </c>
      <c r="I652" s="87" t="s">
        <v>390</v>
      </c>
      <c r="J652" s="80">
        <f t="shared" si="51"/>
        <v>0</v>
      </c>
      <c r="K652" s="67"/>
      <c r="L652" s="69"/>
      <c r="M652" s="8"/>
    </row>
    <row r="653" spans="1:13" s="3" customFormat="1" ht="12.2" customHeight="1" x14ac:dyDescent="0.15">
      <c r="A653" s="21"/>
      <c r="B653" s="22"/>
      <c r="C653" s="22"/>
      <c r="D653" s="22"/>
      <c r="E653" s="22"/>
      <c r="F653" s="86" t="s">
        <v>665</v>
      </c>
      <c r="G653" s="80">
        <f>G180+G182</f>
        <v>30914.54</v>
      </c>
      <c r="H653" s="80">
        <f>K264+K346</f>
        <v>30914.54</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60000</v>
      </c>
      <c r="H656" s="80">
        <f>K267+K348</f>
        <v>60000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5482599.6800000006</v>
      </c>
      <c r="G661" s="13">
        <f>(L230+L310+L360)</f>
        <v>0</v>
      </c>
      <c r="H661" s="13">
        <f>(L248+L329+L361)</f>
        <v>1594526.4100000004</v>
      </c>
      <c r="I661" s="13">
        <f>SUM(F661:H661)</f>
        <v>7077126.0900000008</v>
      </c>
      <c r="J661" s="13"/>
      <c r="K661" s="13"/>
      <c r="L661" s="13"/>
      <c r="M661" s="9"/>
    </row>
    <row r="662" spans="1:13" s="3" customFormat="1" ht="12.2" customHeight="1" x14ac:dyDescent="0.2">
      <c r="A662" s="1" t="s">
        <v>127</v>
      </c>
      <c r="F662" s="13">
        <f>(L359/IF(SUM(L359:L361)=0,1,SUM(L359:L361))*(SUM(G97:G110)))</f>
        <v>45885.55</v>
      </c>
      <c r="G662" s="13">
        <f>(L360/IF(SUM(L359:L361)=0,1,SUM(L359:L361))*(SUM(G97:G110)))</f>
        <v>0</v>
      </c>
      <c r="H662" s="13">
        <f>(L361/IF(SUM(L359:L361)=0,1,SUM(L359:L361))*(SUM(G97:G110)))</f>
        <v>0</v>
      </c>
      <c r="I662" s="13">
        <f>SUM(F662:H662)</f>
        <v>45885.55</v>
      </c>
      <c r="J662"/>
      <c r="K662" s="13"/>
      <c r="L662" s="13"/>
      <c r="M662" s="8"/>
    </row>
    <row r="663" spans="1:13" s="3" customFormat="1" ht="12.2" customHeight="1" x14ac:dyDescent="0.2">
      <c r="A663" s="1" t="s">
        <v>128</v>
      </c>
      <c r="F663" s="13">
        <f>(L209+L288)-(J209+J288)</f>
        <v>560160.53</v>
      </c>
      <c r="G663" s="13">
        <f>(L227+L307)-(J227+J307)</f>
        <v>0</v>
      </c>
      <c r="H663" s="13">
        <f>(L245+L326)-(J245+J326)</f>
        <v>80974.070000000007</v>
      </c>
      <c r="I663" s="13">
        <f>SUM(F663:H663)</f>
        <v>641134.60000000009</v>
      </c>
      <c r="J663"/>
      <c r="K663" s="13"/>
      <c r="L663" s="13"/>
      <c r="M663" s="9"/>
    </row>
    <row r="664" spans="1:13" s="3" customFormat="1" ht="12.2" customHeight="1" x14ac:dyDescent="0.15">
      <c r="A664" s="142" t="s">
        <v>129</v>
      </c>
      <c r="B664" s="124"/>
      <c r="C664" s="124"/>
      <c r="D664" s="124"/>
      <c r="E664" s="124"/>
      <c r="F664" s="143">
        <f>SUM(F576:F588)+SUM(H603:H605)+SUM(L612)</f>
        <v>424607.69000000006</v>
      </c>
      <c r="G664" s="143">
        <f>SUM(G576:G588)+SUM(I603:I605)+L613</f>
        <v>0</v>
      </c>
      <c r="H664" s="143">
        <f>SUM(H576:H588)+SUM(J603:J605)+L614</f>
        <v>1385381.68</v>
      </c>
      <c r="I664" s="13">
        <f>SUM(F664:H664)</f>
        <v>1809989.37</v>
      </c>
      <c r="J664" s="13"/>
      <c r="K664" s="13"/>
      <c r="L664" s="13"/>
      <c r="M664" s="9"/>
    </row>
    <row r="665" spans="1:13" s="3" customFormat="1" ht="12.2" customHeight="1" x14ac:dyDescent="0.15">
      <c r="A665" s="1" t="s">
        <v>130</v>
      </c>
      <c r="F665" s="13">
        <f>F661-SUM(F662:F664)</f>
        <v>4451945.91</v>
      </c>
      <c r="G665" s="13">
        <f>G661-SUM(G662:G664)</f>
        <v>0</v>
      </c>
      <c r="H665" s="13">
        <f>H661-SUM(H662:H664)</f>
        <v>128170.66000000038</v>
      </c>
      <c r="I665" s="13">
        <f>I661-SUM(I662:I664)</f>
        <v>4580116.57</v>
      </c>
      <c r="J665" s="13"/>
      <c r="K665" s="13"/>
      <c r="L665" s="13"/>
      <c r="M665" s="8"/>
    </row>
    <row r="666" spans="1:13" s="3" customFormat="1" ht="12.2" customHeight="1" x14ac:dyDescent="0.2">
      <c r="A666" s="1" t="s">
        <v>131</v>
      </c>
      <c r="F666" s="183">
        <v>197.51</v>
      </c>
      <c r="G666" s="184"/>
      <c r="H666" s="184"/>
      <c r="I666" s="13">
        <f>SUM(F666:H666)</f>
        <v>197.51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22540.36</v>
      </c>
      <c r="G668" s="13" t="e">
        <f>ROUND(G665/G666,2)</f>
        <v>#DIV/0!</v>
      </c>
      <c r="H668" s="13" t="e">
        <f>ROUND(H665/H666,2)</f>
        <v>#DIV/0!</v>
      </c>
      <c r="I668" s="13">
        <f>ROUND(I665/I666,2)</f>
        <v>23189.29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-128170.66000000038</v>
      </c>
      <c r="I670" s="13">
        <f>SUM(F670:H670)</f>
        <v>-128170.66000000038</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22540.36</v>
      </c>
      <c r="G673" s="13" t="e">
        <f>ROUND((G665+G670)/(G666+G671),2)</f>
        <v>#DIV/0!</v>
      </c>
      <c r="H673" s="13" t="e">
        <f>ROUND((H665+H670)/(H666+H671),2)</f>
        <v>#DIV/0!</v>
      </c>
      <c r="I673" s="13">
        <f>ROUND((I665+I670)/(I666+I671),2)</f>
        <v>22540.36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11" zoomScaleNormal="100" workbookViewId="0">
      <selection activeCell="H44" sqref="H44"/>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42613.009999999995</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42613.01</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H44" sqref="H44"/>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Chichester</v>
      </c>
      <c r="C5" s="318"/>
      <c r="D5" s="318"/>
      <c r="E5" s="318"/>
      <c r="F5" s="318"/>
    </row>
    <row r="8" spans="1:9" ht="18" x14ac:dyDescent="0.25">
      <c r="A8" s="240" t="s">
        <v>1560</v>
      </c>
      <c r="F8" s="247" t="s">
        <v>1578</v>
      </c>
    </row>
    <row r="9" spans="1:9" ht="15" x14ac:dyDescent="0.2">
      <c r="A9" s="238" t="s">
        <v>1561</v>
      </c>
      <c r="B9" s="241">
        <f>'DOE25'!G97</f>
        <v>45885.55</v>
      </c>
      <c r="F9" s="238" t="s">
        <v>1574</v>
      </c>
    </row>
    <row r="10" spans="1:9" ht="15" x14ac:dyDescent="0.2">
      <c r="A10" s="238" t="s">
        <v>1562</v>
      </c>
      <c r="B10" s="241">
        <f>'DOE25'!G112-'DOE25'!G97</f>
        <v>0</v>
      </c>
      <c r="F10" s="238" t="s">
        <v>1575</v>
      </c>
    </row>
    <row r="11" spans="1:9" ht="15" x14ac:dyDescent="0.2">
      <c r="A11" s="238" t="s">
        <v>1563</v>
      </c>
      <c r="B11" s="241">
        <f>'DOE25'!G140</f>
        <v>158.91</v>
      </c>
      <c r="F11" s="238" t="s">
        <v>1576</v>
      </c>
    </row>
    <row r="12" spans="1:9" ht="15" x14ac:dyDescent="0.2">
      <c r="A12" s="238" t="s">
        <v>1564</v>
      </c>
      <c r="B12" s="241">
        <f>'DOE25'!G170</f>
        <v>46668.35</v>
      </c>
      <c r="F12" s="238" t="s">
        <v>1577</v>
      </c>
    </row>
    <row r="13" spans="1:9" ht="15" x14ac:dyDescent="0.2">
      <c r="A13" s="238" t="s">
        <v>1565</v>
      </c>
      <c r="B13" s="241">
        <f>'DOE25'!G193-'DOE25'!G180</f>
        <v>0</v>
      </c>
      <c r="F13" s="238" t="s">
        <v>1587</v>
      </c>
    </row>
    <row r="14" spans="1:9" ht="18" x14ac:dyDescent="0.25">
      <c r="A14" s="240" t="s">
        <v>732</v>
      </c>
      <c r="B14" s="242">
        <f>SUM(B9:B13)</f>
        <v>92712.81</v>
      </c>
    </row>
    <row r="16" spans="1:9" ht="18" x14ac:dyDescent="0.25">
      <c r="A16" s="240" t="s">
        <v>786</v>
      </c>
      <c r="F16" s="247" t="s">
        <v>1579</v>
      </c>
    </row>
    <row r="17" spans="1:6" ht="15" x14ac:dyDescent="0.2">
      <c r="A17" s="238" t="s">
        <v>1566</v>
      </c>
      <c r="B17" s="241">
        <f>'DOE25'!L363-'DOE25'!L362</f>
        <v>122291.48000000001</v>
      </c>
      <c r="F17" s="238" t="s">
        <v>1580</v>
      </c>
    </row>
    <row r="18" spans="1:6" ht="15" x14ac:dyDescent="0.2">
      <c r="A18" s="238" t="s">
        <v>1567</v>
      </c>
      <c r="B18" s="251"/>
      <c r="F18" s="247" t="s">
        <v>1604</v>
      </c>
    </row>
    <row r="19" spans="1:6" ht="18" x14ac:dyDescent="0.25">
      <c r="A19" s="240" t="s">
        <v>725</v>
      </c>
      <c r="B19" s="242">
        <f>SUM(B17:B18)</f>
        <v>122291.48000000001</v>
      </c>
    </row>
    <row r="21" spans="1:6" ht="18.75" thickBot="1" x14ac:dyDescent="0.3">
      <c r="A21" s="240" t="s">
        <v>1568</v>
      </c>
    </row>
    <row r="22" spans="1:6" ht="18.75" thickTop="1" x14ac:dyDescent="0.25">
      <c r="A22" s="240" t="s">
        <v>1569</v>
      </c>
      <c r="B22" s="246">
        <f>B14-B19</f>
        <v>-29578.670000000013</v>
      </c>
      <c r="F22" s="238" t="s">
        <v>1581</v>
      </c>
    </row>
    <row r="26" spans="1:6" ht="18" x14ac:dyDescent="0.25">
      <c r="A26" s="240" t="s">
        <v>186</v>
      </c>
    </row>
    <row r="27" spans="1:6" ht="15" x14ac:dyDescent="0.2">
      <c r="A27" s="238" t="s">
        <v>1570</v>
      </c>
      <c r="B27" s="241">
        <f>'DOE25'!G180</f>
        <v>30914.54</v>
      </c>
      <c r="F27" s="238" t="s">
        <v>1582</v>
      </c>
    </row>
    <row r="28" spans="1:6" ht="15" x14ac:dyDescent="0.2">
      <c r="A28" s="238" t="s">
        <v>1572</v>
      </c>
      <c r="B28" s="241">
        <f>'DOE25'!L362</f>
        <v>0</v>
      </c>
      <c r="F28" s="238" t="s">
        <v>1583</v>
      </c>
    </row>
    <row r="31" spans="1:6" ht="15" x14ac:dyDescent="0.2">
      <c r="A31" s="238" t="s">
        <v>1797</v>
      </c>
      <c r="B31" s="241">
        <f>'DOE25'!G466</f>
        <v>6630.06</v>
      </c>
      <c r="F31" s="238" t="s">
        <v>1584</v>
      </c>
    </row>
    <row r="33" spans="1:6" ht="15" x14ac:dyDescent="0.2">
      <c r="A33" s="238" t="s">
        <v>1798</v>
      </c>
      <c r="B33" s="241">
        <f>'DOE25'!G477</f>
        <v>7965.9300000000076</v>
      </c>
      <c r="F33" s="238" t="s">
        <v>1585</v>
      </c>
    </row>
    <row r="36" spans="1:6" ht="15" x14ac:dyDescent="0.2">
      <c r="A36" s="238" t="s">
        <v>1571</v>
      </c>
      <c r="B36" s="252">
        <v>2786.31</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H44" sqref="H44"/>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Chichester</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1325320.1600000001</v>
      </c>
      <c r="C9" s="167">
        <f>'DOE25'!G198+'DOE25'!G216+'DOE25'!G234+'DOE25'!G277+'DOE25'!G296+'DOE25'!G315</f>
        <v>783654.6100000001</v>
      </c>
    </row>
    <row r="10" spans="1:3" x14ac:dyDescent="0.2">
      <c r="A10" t="s">
        <v>775</v>
      </c>
      <c r="B10" s="177">
        <v>1227296.33</v>
      </c>
      <c r="C10" s="177">
        <v>725693.65</v>
      </c>
    </row>
    <row r="11" spans="1:3" x14ac:dyDescent="0.2">
      <c r="A11" t="s">
        <v>776</v>
      </c>
      <c r="B11" s="177">
        <v>30623.07</v>
      </c>
      <c r="C11" s="177">
        <v>18107.25</v>
      </c>
    </row>
    <row r="12" spans="1:3" x14ac:dyDescent="0.2">
      <c r="A12" t="s">
        <v>777</v>
      </c>
      <c r="B12" s="177">
        <v>67400.759999999995</v>
      </c>
      <c r="C12" s="177">
        <v>39853.71</v>
      </c>
    </row>
    <row r="13" spans="1:3" x14ac:dyDescent="0.2">
      <c r="A13" t="str">
        <f>IF(B9=B13,IF(C9=C13,"Check Total OK","Check Total Error"),"Check Total Error")</f>
        <v>Check Total OK</v>
      </c>
      <c r="B13" s="169">
        <f>SUM(B10:B12)</f>
        <v>1325320.1600000001</v>
      </c>
      <c r="C13" s="169">
        <f>SUM(C10:C12)</f>
        <v>783654.61</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426147.17</v>
      </c>
      <c r="C18" s="167">
        <f>'DOE25'!G199+'DOE25'!G217+'DOE25'!G235+'DOE25'!G278+'DOE25'!G297+'DOE25'!G316</f>
        <v>256910.51</v>
      </c>
    </row>
    <row r="19" spans="1:3" x14ac:dyDescent="0.2">
      <c r="A19" t="s">
        <v>775</v>
      </c>
      <c r="B19" s="177">
        <v>274262</v>
      </c>
      <c r="C19" s="177">
        <v>165343.79</v>
      </c>
    </row>
    <row r="20" spans="1:3" x14ac:dyDescent="0.2">
      <c r="A20" t="s">
        <v>776</v>
      </c>
      <c r="B20" s="177">
        <v>143314.17000000001</v>
      </c>
      <c r="C20" s="177">
        <v>86399.53</v>
      </c>
    </row>
    <row r="21" spans="1:3" x14ac:dyDescent="0.2">
      <c r="A21" t="s">
        <v>777</v>
      </c>
      <c r="B21" s="177">
        <v>8571</v>
      </c>
      <c r="C21" s="177">
        <v>5167.1899999999996</v>
      </c>
    </row>
    <row r="22" spans="1:3" x14ac:dyDescent="0.2">
      <c r="A22" t="str">
        <f>IF(B18=B22,IF(C18=C22,"Check Total OK","Check Total Error"),"Check Total Error")</f>
        <v>Check Total OK</v>
      </c>
      <c r="B22" s="169">
        <f>SUM(B19:B21)</f>
        <v>426147.17000000004</v>
      </c>
      <c r="C22" s="169">
        <f>SUM(C19:C21)</f>
        <v>256910.51</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19467.3</v>
      </c>
      <c r="C36" s="173">
        <f>'DOE25'!G201+'DOE25'!G219+'DOE25'!G237+'DOE25'!G280+'DOE25'!G299+'DOE25'!G318</f>
        <v>10776.69</v>
      </c>
    </row>
    <row r="37" spans="1:3" x14ac:dyDescent="0.2">
      <c r="A37" t="s">
        <v>775</v>
      </c>
      <c r="B37" s="177">
        <v>19467.3</v>
      </c>
      <c r="C37" s="177">
        <v>10776.69</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19467.3</v>
      </c>
      <c r="C40" s="169">
        <f>SUM(C37:C39)</f>
        <v>10776.69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view="pageBreakPreview" zoomScaleNormal="75" zoomScaleSheetLayoutView="100" workbookViewId="0">
      <pane ySplit="4" topLeftCell="A5" activePane="bottomLeft" state="frozen"/>
      <selection activeCell="H44" sqref="H44"/>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Chichester</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4670176.03</v>
      </c>
      <c r="D5" s="19">
        <f>SUM('DOE25'!L198:L201)+SUM('DOE25'!L216:L219)+SUM('DOE25'!L234:L237)-F5-G5-H5</f>
        <v>4637894.25</v>
      </c>
      <c r="E5" s="180"/>
      <c r="F5" s="181"/>
      <c r="G5" s="19">
        <f>SUM('DOE25'!J198:J201)+SUM('DOE25'!J216:J219)+SUM('DOE25'!J234:J237)</f>
        <v>30483.08</v>
      </c>
      <c r="H5" s="19">
        <f>SUM('DOE25'!K198:K201)+SUM('DOE25'!K216:K219)+SUM('DOE25'!K234:K237)</f>
        <v>1798.7</v>
      </c>
      <c r="I5" s="192"/>
    </row>
    <row r="6" spans="1:9" x14ac:dyDescent="0.2">
      <c r="A6" s="31">
        <v>2100</v>
      </c>
      <c r="B6" t="s">
        <v>796</v>
      </c>
      <c r="C6" s="206">
        <f t="shared" si="0"/>
        <v>417549.39999999991</v>
      </c>
      <c r="D6" s="19">
        <f>'DOE25'!L203+'DOE25'!L221+'DOE25'!L239-F6-G6-H6</f>
        <v>346070.30999999994</v>
      </c>
      <c r="E6" s="180"/>
      <c r="F6" s="181">
        <v>71296.59</v>
      </c>
      <c r="G6" s="19">
        <f>'DOE25'!J203+'DOE25'!J221+'DOE25'!J239</f>
        <v>0</v>
      </c>
      <c r="H6" s="19">
        <f>'DOE25'!K203+'DOE25'!K221+'DOE25'!K239</f>
        <v>182.5</v>
      </c>
      <c r="I6" s="192"/>
    </row>
    <row r="7" spans="1:9" x14ac:dyDescent="0.2">
      <c r="A7" s="31">
        <v>2200</v>
      </c>
      <c r="B7" t="s">
        <v>820</v>
      </c>
      <c r="C7" s="206">
        <f t="shared" si="0"/>
        <v>205474.56999999998</v>
      </c>
      <c r="D7" s="19">
        <f>'DOE25'!L204+'DOE25'!L222+'DOE25'!L240-F7-G7-H7</f>
        <v>205474.56999999998</v>
      </c>
      <c r="E7" s="180"/>
      <c r="F7" s="181"/>
      <c r="G7" s="19">
        <f>'DOE25'!J204+'DOE25'!J222+'DOE25'!J240</f>
        <v>0</v>
      </c>
      <c r="H7" s="19">
        <f>'DOE25'!K204+'DOE25'!K222+'DOE25'!K240</f>
        <v>0</v>
      </c>
      <c r="I7" s="192"/>
    </row>
    <row r="8" spans="1:9" x14ac:dyDescent="0.2">
      <c r="A8" s="31">
        <v>2300</v>
      </c>
      <c r="B8" t="s">
        <v>797</v>
      </c>
      <c r="C8" s="206">
        <f t="shared" si="0"/>
        <v>213429.41000000003</v>
      </c>
      <c r="D8" s="180"/>
      <c r="E8" s="19">
        <f>'DOE25'!L205+'DOE25'!L223+'DOE25'!L241-F8-G8-H8-D9-D11</f>
        <v>210033.42000000004</v>
      </c>
      <c r="F8" s="181"/>
      <c r="G8" s="19">
        <f>'DOE25'!J205+'DOE25'!J223+'DOE25'!J241</f>
        <v>0</v>
      </c>
      <c r="H8" s="19">
        <f>'DOE25'!K205+'DOE25'!K223+'DOE25'!K241</f>
        <v>3395.99</v>
      </c>
      <c r="I8" s="192"/>
    </row>
    <row r="9" spans="1:9" ht="14.25" x14ac:dyDescent="0.2">
      <c r="A9" s="31">
        <v>2310</v>
      </c>
      <c r="B9" s="71" t="s">
        <v>887</v>
      </c>
      <c r="C9" s="206">
        <f t="shared" si="0"/>
        <v>7813.08</v>
      </c>
      <c r="D9" s="181">
        <v>7813.08</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250811.16999999998</v>
      </c>
      <c r="D12" s="19">
        <f>'DOE25'!L206+'DOE25'!L224+'DOE25'!L242-F12-G12-H12</f>
        <v>249950.19999999998</v>
      </c>
      <c r="E12" s="180"/>
      <c r="F12" s="181"/>
      <c r="G12" s="19">
        <f>'DOE25'!J206+'DOE25'!J224+'DOE25'!J242</f>
        <v>0</v>
      </c>
      <c r="H12" s="19">
        <f>'DOE25'!K206+'DOE25'!K224+'DOE25'!K242</f>
        <v>860.97</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326673.28000000003</v>
      </c>
      <c r="D14" s="19">
        <f>'DOE25'!L208+'DOE25'!L226+'DOE25'!L244-F14-G14-H14</f>
        <v>325500.77</v>
      </c>
      <c r="E14" s="180"/>
      <c r="F14" s="181"/>
      <c r="G14" s="19">
        <f>'DOE25'!J208+'DOE25'!J226+'DOE25'!J244</f>
        <v>1172.51</v>
      </c>
      <c r="H14" s="19">
        <f>'DOE25'!K208+'DOE25'!K226+'DOE25'!K244</f>
        <v>0</v>
      </c>
      <c r="I14" s="192"/>
    </row>
    <row r="15" spans="1:9" x14ac:dyDescent="0.2">
      <c r="A15" s="31">
        <v>2700</v>
      </c>
      <c r="B15" t="s">
        <v>799</v>
      </c>
      <c r="C15" s="206">
        <f t="shared" si="0"/>
        <v>505171.33</v>
      </c>
      <c r="D15" s="19">
        <f>'DOE25'!L209+'DOE25'!L227+'DOE25'!L245-F15-G15-H15</f>
        <v>108787.12</v>
      </c>
      <c r="E15" s="180"/>
      <c r="F15" s="181">
        <v>396384.21</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85793.07</v>
      </c>
      <c r="D29" s="212">
        <f>'DOE25'!L359+'DOE25'!L360+'DOE25'!L361-'DOE25'!I368-F29-G29-H29-F39</f>
        <v>85793.07</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357736.34</v>
      </c>
      <c r="D31" s="19">
        <f>'DOE25'!L291+'DOE25'!L310+'DOE25'!L329+'DOE25'!L334+'DOE25'!L335+'DOE25'!L336-F31-G31-H31</f>
        <v>348301.31</v>
      </c>
      <c r="E31" s="180"/>
      <c r="F31" s="181"/>
      <c r="G31" s="19">
        <f>'DOE25'!J291+'DOE25'!J310+'DOE25'!J329+'DOE25'!J334+'DOE25'!J335+'DOE25'!J336</f>
        <v>5183.0700000000006</v>
      </c>
      <c r="H31" s="19">
        <f>'DOE25'!K291+'DOE25'!K310+'DOE25'!K329+'DOE25'!K334+'DOE25'!K335+'DOE25'!K336</f>
        <v>4251.96</v>
      </c>
      <c r="I31" s="192"/>
    </row>
    <row r="32" spans="1:9" ht="12" thickBot="1" x14ac:dyDescent="0.25">
      <c r="C32" s="207"/>
      <c r="G32" s="188"/>
      <c r="H32" s="188"/>
      <c r="I32" s="194"/>
    </row>
    <row r="33" spans="1:9" ht="12" thickTop="1" x14ac:dyDescent="0.2">
      <c r="B33" t="s">
        <v>809</v>
      </c>
      <c r="D33" s="182">
        <f t="shared" ref="D33:I33" si="1">SUM(D5:D31)</f>
        <v>6315584.6799999997</v>
      </c>
      <c r="E33" s="182">
        <f t="shared" si="1"/>
        <v>210033.42000000004</v>
      </c>
      <c r="F33" s="182">
        <f t="shared" si="1"/>
        <v>467680.80000000005</v>
      </c>
      <c r="G33" s="182">
        <f t="shared" si="1"/>
        <v>36838.660000000003</v>
      </c>
      <c r="H33" s="182">
        <f t="shared" si="1"/>
        <v>10490.119999999999</v>
      </c>
      <c r="I33" s="182">
        <f t="shared" si="1"/>
        <v>0</v>
      </c>
    </row>
    <row r="34" spans="1:9" ht="12" thickBot="1" x14ac:dyDescent="0.25"/>
    <row r="35" spans="1:9" ht="12" thickBot="1" x14ac:dyDescent="0.25">
      <c r="B35" s="188" t="s">
        <v>830</v>
      </c>
      <c r="D35" s="189">
        <f>E33</f>
        <v>210033.42000000004</v>
      </c>
      <c r="E35" s="185"/>
      <c r="F35" s="295" t="s">
        <v>1608</v>
      </c>
      <c r="G35" s="296"/>
      <c r="H35" s="296"/>
      <c r="I35" s="297"/>
    </row>
    <row r="36" spans="1:9" ht="12" thickTop="1" x14ac:dyDescent="0.2">
      <c r="B36" t="s">
        <v>810</v>
      </c>
      <c r="D36" s="19">
        <f>D33</f>
        <v>6315584.6799999997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zoomScaleSheetLayoutView="100" workbookViewId="0">
      <selection activeCell="E14" sqref="E1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Chichester</v>
      </c>
      <c r="B2">
        <f>'DOE25'!B2</f>
        <v>99</v>
      </c>
      <c r="J2" s="224" t="s">
        <v>1808</v>
      </c>
      <c r="K2" s="309">
        <f>SUM('DOE25'!L198:L201)+SUM('DOE25'!L216:L219)+SUM('DOE25'!L234:L237)+SUM('DOE25'!L277:L280)+SUM('DOE25'!L296:L299)+SUM('DOE25'!L315:L318)</f>
        <v>4841154.4700000007</v>
      </c>
      <c r="L2" s="309">
        <f>'DOE25'!L203+'DOE25'!L221+'DOE25'!L239+'DOE25'!L282+'DOE25'!L301+'DOE25'!L320</f>
        <v>443483.68999999989</v>
      </c>
      <c r="M2" s="309">
        <f>'DOE25'!L204+'DOE25'!L222+'DOE25'!L240+'DOE25'!L283+'DOE25'!L302+'DOE25'!L321</f>
        <v>226082.94999999998</v>
      </c>
      <c r="N2" s="309">
        <f>'DOE25'!L206+'DOE25'!L224+'DOE25'!L242+'DOE25'!L285+'DOE25'!L304+'DOE25'!L323</f>
        <v>250811.16999999998</v>
      </c>
      <c r="O2" s="309">
        <f>'Salaries-Benefits'!B10+'Salaries-Benefits'!B12+'Salaries-Benefits'!B19+'Salaries-Benefits'!B21+'Salaries-Benefits'!B28+'Salaries-Benefits'!B30+'Salaries-Benefits'!B37+'Salaries-Benefits'!B39</f>
        <v>1596997.3900000001</v>
      </c>
      <c r="P2" s="309">
        <f>'Salaries-Benefits'!B11+'Salaries-Benefits'!B20+'Salaries-Benefits'!B29+'Salaries-Benefits'!B38</f>
        <v>173937.24000000002</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5360308.1999999993</v>
      </c>
      <c r="G4" s="229">
        <f>'DOE25'!L212+'DOE25'!L291</f>
        <v>5360308.2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Chichester Central School</v>
      </c>
      <c r="B6" s="230">
        <f>IFERROR(VLOOKUP(A6,'School Tables'!$C$3:$D$365,2,FALSE),"")</f>
        <v>22590</v>
      </c>
      <c r="C6" s="223" t="str">
        <f>IFERROR(INDEX('School Tables'!$B$3:$B$365,MATCH('School Level Expenditures'!B6,'School Tables'!$D$3:$D$365,0)),"")</f>
        <v>Chichester</v>
      </c>
      <c r="D6" s="220">
        <f>5023085.31-20513.45</f>
        <v>5002571.8599999994</v>
      </c>
      <c r="E6" s="220">
        <v>357736.34</v>
      </c>
      <c r="F6" s="232">
        <f t="shared" ref="F6:F20" si="1">D6+E6</f>
        <v>5360308.1999999993</v>
      </c>
      <c r="G6" s="223"/>
      <c r="H6" s="223"/>
      <c r="J6" t="str">
        <f>A6</f>
        <v>Chichester Central School</v>
      </c>
      <c r="K6" s="101">
        <f>'DOE25'!L198+'DOE25'!L199+'DOE25'!L200+'DOE25'!L201+'DOE25'!L277+'DOE25'!L278+'DOE25'!L279+'DOE25'!L280</f>
        <v>3376792.73</v>
      </c>
      <c r="L6" s="101">
        <f>'DOE25'!L203+'DOE25'!L221+'DOE25'!L282</f>
        <v>394293.08999999991</v>
      </c>
      <c r="M6" s="314">
        <f>'DOE25'!L204+'DOE25'!L283</f>
        <v>226082.94999999998</v>
      </c>
      <c r="N6" s="101">
        <f>'DOE25'!L206+'DOE25'!L285</f>
        <v>250811.16999999998</v>
      </c>
      <c r="O6" s="220">
        <f>'Salaries-Benefits'!B10+'Salaries-Benefits'!B12+'Salaries-Benefits'!B19+'Salaries-Benefits'!B21+'Salaries-Benefits'!B28+'Salaries-Benefits'!B30+'Salaries-Benefits'!B37</f>
        <v>1596997.3900000001</v>
      </c>
      <c r="P6" s="220">
        <f>'Salaries-Benefits'!B11+'Salaries-Benefits'!B20+'Salaries-Benefits'!B29+'Salaries-Benefits'!B38</f>
        <v>173937.24000000002</v>
      </c>
      <c r="Q6" s="20">
        <v>3161.62</v>
      </c>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5002571.8599999994</v>
      </c>
      <c r="E21" s="262">
        <f>SUM(E5:E20)</f>
        <v>357736.34</v>
      </c>
      <c r="F21" s="217"/>
      <c r="G21" s="217"/>
      <c r="H21" s="217"/>
      <c r="K21" s="263">
        <f t="shared" ref="K21:Q21" si="3">SUM(K5:K20)</f>
        <v>3376792.73</v>
      </c>
      <c r="L21" s="263">
        <f t="shared" si="3"/>
        <v>394293.08999999991</v>
      </c>
      <c r="M21" s="263">
        <f t="shared" si="3"/>
        <v>226082.94999999998</v>
      </c>
      <c r="N21" s="263">
        <f t="shared" si="3"/>
        <v>250811.16999999998</v>
      </c>
      <c r="O21" s="263">
        <f t="shared" si="3"/>
        <v>1596997.3900000001</v>
      </c>
      <c r="P21" s="263">
        <f t="shared" si="3"/>
        <v>173937.24000000002</v>
      </c>
      <c r="Q21" s="263">
        <f t="shared" si="3"/>
        <v>3161.62</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1594526.41</v>
      </c>
      <c r="G36" s="229">
        <f>'DOE25'!L248+'DOE25'!L329</f>
        <v>1594526.4100000004</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1594526.41</v>
      </c>
      <c r="E37" s="220">
        <v>0</v>
      </c>
      <c r="F37" s="232">
        <f t="shared" ref="F37:F42" si="7">D37+E37</f>
        <v>1594526.41</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101">
        <f>'DOE25'!L234+'DOE25'!L235</f>
        <v>1464361.7400000002</v>
      </c>
      <c r="L38" s="101">
        <f>'DOE25'!L239</f>
        <v>49190.6</v>
      </c>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1594526.41</v>
      </c>
      <c r="E43" s="263">
        <f>SUM(E37:E42)</f>
        <v>0</v>
      </c>
      <c r="K43" s="263">
        <f t="shared" ref="K43:Q43" si="9">SUM(K37:K42)</f>
        <v>1464361.7400000002</v>
      </c>
      <c r="L43" s="263">
        <f t="shared" si="9"/>
        <v>49190.6</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79" zoomScale="80" zoomScaleNormal="80" workbookViewId="0">
      <selection activeCell="H239" sqref="H23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Chichester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235764.15</v>
      </c>
      <c r="D8" s="73">
        <f>'DOE25'!G9</f>
        <v>0</v>
      </c>
      <c r="E8" s="73">
        <f>'DOE25'!H9</f>
        <v>0</v>
      </c>
      <c r="F8" s="73">
        <f>'DOE25'!I9</f>
        <v>0</v>
      </c>
      <c r="G8" s="73">
        <f>'DOE25'!J9</f>
        <v>0</v>
      </c>
      <c r="H8" s="13">
        <f>SUM(C8:G8)</f>
        <v>235764.15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32892.5</v>
      </c>
      <c r="D11" s="73">
        <f>'DOE25'!G12</f>
        <v>0</v>
      </c>
      <c r="E11" s="73">
        <f>'DOE25'!H12</f>
        <v>0</v>
      </c>
      <c r="F11" s="73">
        <f>'DOE25'!I12</f>
        <v>0</v>
      </c>
      <c r="G11" s="73">
        <f>'DOE25'!J12</f>
        <v>0</v>
      </c>
      <c r="H11" s="13">
        <f t="shared" si="0"/>
        <v>32892.5</v>
      </c>
      <c r="I11" s="90"/>
    </row>
    <row r="12" spans="1:9" x14ac:dyDescent="0.2">
      <c r="A12" s="1" t="s">
        <v>143</v>
      </c>
      <c r="B12" s="6">
        <v>140</v>
      </c>
      <c r="C12" s="73">
        <f>'DOE25'!F13</f>
        <v>101883.17</v>
      </c>
      <c r="D12" s="73">
        <f>'DOE25'!G13</f>
        <v>15615.12</v>
      </c>
      <c r="E12" s="73">
        <f>'DOE25'!H13</f>
        <v>25642.81</v>
      </c>
      <c r="F12" s="73">
        <f>'DOE25'!I13</f>
        <v>0</v>
      </c>
      <c r="G12" s="73">
        <f>'DOE25'!J13</f>
        <v>225500.11</v>
      </c>
      <c r="H12" s="13">
        <f t="shared" si="0"/>
        <v>368641.20999999996</v>
      </c>
      <c r="I12" s="90"/>
    </row>
    <row r="13" spans="1:9" x14ac:dyDescent="0.2">
      <c r="A13" s="1" t="s">
        <v>144</v>
      </c>
      <c r="B13" s="6">
        <v>150</v>
      </c>
      <c r="C13" s="73">
        <f>'DOE25'!F14</f>
        <v>0</v>
      </c>
      <c r="D13" s="73">
        <f>'DOE25'!G14</f>
        <v>2320.92</v>
      </c>
      <c r="E13" s="73">
        <f>'DOE25'!H14</f>
        <v>0</v>
      </c>
      <c r="F13" s="73">
        <f>'DOE25'!I14</f>
        <v>0</v>
      </c>
      <c r="G13" s="73">
        <f>'DOE25'!J14</f>
        <v>0</v>
      </c>
      <c r="H13" s="13">
        <f t="shared" si="0"/>
        <v>2320.92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6435.21</v>
      </c>
      <c r="E15" s="73">
        <f>'DOE25'!H16</f>
        <v>0</v>
      </c>
      <c r="F15" s="73">
        <f>'DOE25'!I16</f>
        <v>0</v>
      </c>
      <c r="G15" s="23" t="s">
        <v>288</v>
      </c>
      <c r="H15" s="13">
        <f t="shared" si="0"/>
        <v>6435.21</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370539.82</v>
      </c>
      <c r="D18" s="38">
        <f>SUM(D8:D17)</f>
        <v>24371.25</v>
      </c>
      <c r="E18" s="38">
        <f>SUM(E8:E17)</f>
        <v>25642.81</v>
      </c>
      <c r="F18" s="38">
        <f>SUM(F8:F17)</f>
        <v>0</v>
      </c>
      <c r="G18" s="38">
        <f>SUM(G8:G17)</f>
        <v>225500.11</v>
      </c>
      <c r="H18" s="38">
        <f t="shared" si="0"/>
        <v>646053.99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13639.64</v>
      </c>
      <c r="E21" s="73">
        <f>'DOE25'!H22</f>
        <v>19315.46</v>
      </c>
      <c r="F21" s="73">
        <f>'DOE25'!I22</f>
        <v>0</v>
      </c>
      <c r="G21" s="73">
        <f>'DOE25'!J22</f>
        <v>0</v>
      </c>
      <c r="H21" s="13">
        <f t="shared" ref="H21:H31" si="1">SUM(C21:G21)</f>
        <v>32955.1</v>
      </c>
      <c r="I21" s="90"/>
    </row>
    <row r="22" spans="1:9" x14ac:dyDescent="0.2">
      <c r="A22" s="1" t="s">
        <v>151</v>
      </c>
      <c r="B22" s="6">
        <v>410</v>
      </c>
      <c r="C22" s="73">
        <f>'DOE25'!F23</f>
        <v>20778.830000000002</v>
      </c>
      <c r="D22" s="73">
        <f>'DOE25'!G23</f>
        <v>0</v>
      </c>
      <c r="E22" s="73">
        <f>'DOE25'!H23</f>
        <v>1122.17</v>
      </c>
      <c r="F22" s="73">
        <f>'DOE25'!I23</f>
        <v>0</v>
      </c>
      <c r="G22" s="73">
        <f>'DOE25'!J23</f>
        <v>0</v>
      </c>
      <c r="H22" s="13">
        <f t="shared" si="1"/>
        <v>21901</v>
      </c>
      <c r="I22" s="90"/>
    </row>
    <row r="23" spans="1:9" x14ac:dyDescent="0.2">
      <c r="A23" s="1" t="s">
        <v>152</v>
      </c>
      <c r="B23" s="6">
        <v>420</v>
      </c>
      <c r="C23" s="73">
        <f>'DOE25'!F24</f>
        <v>103297.39</v>
      </c>
      <c r="D23" s="73">
        <f>'DOE25'!G24</f>
        <v>2765.68</v>
      </c>
      <c r="E23" s="73">
        <f>'DOE25'!H24</f>
        <v>0</v>
      </c>
      <c r="F23" s="73">
        <f>'DOE25'!I24</f>
        <v>0</v>
      </c>
      <c r="G23" s="73">
        <f>'DOE25'!J24</f>
        <v>0</v>
      </c>
      <c r="H23" s="13">
        <f t="shared" si="1"/>
        <v>106063.06999999999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124076.22</v>
      </c>
      <c r="D31" s="38">
        <f>SUM(D21:D30)</f>
        <v>16405.32</v>
      </c>
      <c r="E31" s="38">
        <f>SUM(E21:E30)</f>
        <v>20437.629999999997</v>
      </c>
      <c r="F31" s="38">
        <f>SUM(F21:F30)</f>
        <v>0</v>
      </c>
      <c r="G31" s="38">
        <f>SUM(G21:G30)</f>
        <v>0</v>
      </c>
      <c r="H31" s="38">
        <f t="shared" si="1"/>
        <v>160919.17000000001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75000</v>
      </c>
      <c r="D45" s="23" t="s">
        <v>288</v>
      </c>
      <c r="E45" s="23" t="s">
        <v>288</v>
      </c>
      <c r="F45" s="23" t="s">
        <v>288</v>
      </c>
      <c r="G45" s="23" t="s">
        <v>288</v>
      </c>
      <c r="H45" s="13">
        <f t="shared" si="2"/>
        <v>75000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7965.93</v>
      </c>
      <c r="E47" s="73">
        <f>'DOE25'!H48</f>
        <v>5205.18</v>
      </c>
      <c r="F47" s="73">
        <f>'DOE25'!I48</f>
        <v>0</v>
      </c>
      <c r="G47" s="73">
        <f>'DOE25'!J48</f>
        <v>225500.11</v>
      </c>
      <c r="H47" s="13">
        <f t="shared" si="2"/>
        <v>238671.21999999997</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171463.6</v>
      </c>
      <c r="D49" s="23" t="s">
        <v>288</v>
      </c>
      <c r="E49" s="23" t="s">
        <v>288</v>
      </c>
      <c r="F49" s="23" t="s">
        <v>288</v>
      </c>
      <c r="G49" s="23" t="s">
        <v>288</v>
      </c>
      <c r="H49" s="13">
        <f t="shared" si="2"/>
        <v>171463.6</v>
      </c>
      <c r="I49" s="90"/>
    </row>
    <row r="50" spans="1:9" ht="12.75" thickTop="1" thickBot="1" x14ac:dyDescent="0.25">
      <c r="A50" s="35" t="s">
        <v>883</v>
      </c>
      <c r="B50" s="44"/>
      <c r="C50" s="38">
        <f>SUM(C34:C49)</f>
        <v>246463.6</v>
      </c>
      <c r="D50" s="38">
        <f>SUM(D34:D49)</f>
        <v>7965.93</v>
      </c>
      <c r="E50" s="38">
        <f>SUM(E34:E49)</f>
        <v>5205.18</v>
      </c>
      <c r="F50" s="38">
        <f>SUM(F34:F49)</f>
        <v>0</v>
      </c>
      <c r="G50" s="38">
        <f>SUM(G34:G49)</f>
        <v>225500.11</v>
      </c>
      <c r="H50" s="38">
        <f t="shared" si="2"/>
        <v>485134.81999999995</v>
      </c>
      <c r="I50" s="90"/>
    </row>
    <row r="51" spans="1:9" ht="12" thickTop="1" x14ac:dyDescent="0.2">
      <c r="A51" s="35" t="s">
        <v>884</v>
      </c>
      <c r="B51" s="2"/>
      <c r="C51" s="38">
        <f>C50+C31</f>
        <v>370539.82</v>
      </c>
      <c r="D51" s="38">
        <f>D50+D31</f>
        <v>24371.25</v>
      </c>
      <c r="E51" s="38">
        <f>E50+E31</f>
        <v>25642.809999999998</v>
      </c>
      <c r="F51" s="38">
        <f>F50+F31</f>
        <v>0</v>
      </c>
      <c r="G51" s="38">
        <f>G50+G31</f>
        <v>225500.11</v>
      </c>
      <c r="H51" s="38">
        <f t="shared" si="2"/>
        <v>646053.99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4772188</v>
      </c>
      <c r="D56" s="73">
        <f>'DOE25'!G60</f>
        <v>0</v>
      </c>
      <c r="E56" s="73">
        <f>'DOE25'!H60</f>
        <v>0</v>
      </c>
      <c r="F56" s="73">
        <f>'DOE25'!I60</f>
        <v>0</v>
      </c>
      <c r="G56" s="73">
        <f>'DOE25'!J60</f>
        <v>0</v>
      </c>
      <c r="H56" s="13">
        <f t="shared" ref="H56:H63" si="3">SUM(C56:G56)</f>
        <v>4772188</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70695.12</v>
      </c>
      <c r="D58" s="23" t="s">
        <v>288</v>
      </c>
      <c r="E58" s="73">
        <f>'DOE25'!H94</f>
        <v>0</v>
      </c>
      <c r="F58" s="23" t="s">
        <v>288</v>
      </c>
      <c r="G58" s="23" t="s">
        <v>288</v>
      </c>
      <c r="H58" s="13">
        <f t="shared" si="3"/>
        <v>70695.12</v>
      </c>
      <c r="I58"/>
    </row>
    <row r="59" spans="1:9" x14ac:dyDescent="0.2">
      <c r="A59" s="1" t="s">
        <v>168</v>
      </c>
      <c r="B59" s="6" t="s">
        <v>169</v>
      </c>
      <c r="C59" s="73">
        <f>'DOE25'!F96</f>
        <v>10663.9</v>
      </c>
      <c r="D59" s="73">
        <f>'DOE25'!G96</f>
        <v>0</v>
      </c>
      <c r="E59" s="73">
        <f>'DOE25'!H96</f>
        <v>0</v>
      </c>
      <c r="F59" s="73">
        <f>'DOE25'!I96</f>
        <v>0</v>
      </c>
      <c r="G59" s="73">
        <f>'DOE25'!J96</f>
        <v>-2220.06</v>
      </c>
      <c r="H59" s="13">
        <f t="shared" si="3"/>
        <v>8443.84</v>
      </c>
      <c r="I59"/>
    </row>
    <row r="60" spans="1:9" x14ac:dyDescent="0.2">
      <c r="A60" s="1" t="s">
        <v>170</v>
      </c>
      <c r="B60" s="22" t="s">
        <v>171</v>
      </c>
      <c r="C60" s="23" t="s">
        <v>288</v>
      </c>
      <c r="D60" s="73">
        <f>'DOE25'!G97</f>
        <v>45885.55</v>
      </c>
      <c r="E60" s="23" t="s">
        <v>288</v>
      </c>
      <c r="F60" s="23" t="s">
        <v>288</v>
      </c>
      <c r="G60" s="23" t="s">
        <v>288</v>
      </c>
      <c r="H60" s="13">
        <f t="shared" si="3"/>
        <v>45885.55</v>
      </c>
      <c r="I60"/>
    </row>
    <row r="61" spans="1:9" ht="12" thickBot="1" x14ac:dyDescent="0.25">
      <c r="A61" s="1" t="s">
        <v>172</v>
      </c>
      <c r="B61" s="22" t="s">
        <v>173</v>
      </c>
      <c r="C61" s="73">
        <f>SUM('DOE25'!F98:F110)</f>
        <v>36767.21</v>
      </c>
      <c r="D61" s="73">
        <f>SUM('DOE25'!G98:G110)</f>
        <v>0</v>
      </c>
      <c r="E61" s="73">
        <f>SUM('DOE25'!H98:H110)</f>
        <v>3743.9</v>
      </c>
      <c r="F61" s="73">
        <f>SUM('DOE25'!I98:I110)</f>
        <v>0</v>
      </c>
      <c r="G61" s="73">
        <f>SUM('DOE25'!J98:J110)</f>
        <v>0</v>
      </c>
      <c r="H61" s="13">
        <f t="shared" si="3"/>
        <v>40511.11</v>
      </c>
      <c r="I61"/>
    </row>
    <row r="62" spans="1:9" ht="12.75" thickTop="1" thickBot="1" x14ac:dyDescent="0.25">
      <c r="A62" s="28" t="s">
        <v>174</v>
      </c>
      <c r="B62" s="6"/>
      <c r="C62" s="93">
        <f>SUM(C57:C61)</f>
        <v>118126.22999999998</v>
      </c>
      <c r="D62" s="93">
        <f>SUM(D57:D61)</f>
        <v>45885.55</v>
      </c>
      <c r="E62" s="93">
        <f>SUM(E57:E61)</f>
        <v>3743.9</v>
      </c>
      <c r="F62" s="93">
        <f>SUM(F57:F61)</f>
        <v>0</v>
      </c>
      <c r="G62" s="93">
        <f>SUM(G57:G61)</f>
        <v>-2220.06</v>
      </c>
      <c r="H62" s="13">
        <f t="shared" si="3"/>
        <v>165535.61999999997</v>
      </c>
      <c r="I62"/>
    </row>
    <row r="63" spans="1:9" ht="12" thickTop="1" x14ac:dyDescent="0.2">
      <c r="A63" s="28" t="s">
        <v>175</v>
      </c>
      <c r="B63" s="6"/>
      <c r="C63" s="21">
        <f>C56+C62</f>
        <v>4890314.2300000004</v>
      </c>
      <c r="D63" s="21">
        <f>D56+D62</f>
        <v>45885.55</v>
      </c>
      <c r="E63" s="21">
        <f>E56+E62</f>
        <v>3743.9</v>
      </c>
      <c r="F63" s="21">
        <f>F56+F62</f>
        <v>0</v>
      </c>
      <c r="G63" s="21">
        <f>G56+G62</f>
        <v>-2220.06</v>
      </c>
      <c r="H63" s="13">
        <f t="shared" si="3"/>
        <v>4937723.620000001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980850.67</v>
      </c>
      <c r="D66" s="23" t="s">
        <v>288</v>
      </c>
      <c r="E66" s="23" t="s">
        <v>288</v>
      </c>
      <c r="F66" s="23" t="s">
        <v>288</v>
      </c>
      <c r="G66" s="23" t="s">
        <v>288</v>
      </c>
      <c r="H66" s="13">
        <f t="shared" ref="H66:H81" si="4">SUM(C66:G66)</f>
        <v>980850.67</v>
      </c>
      <c r="I66"/>
    </row>
    <row r="67" spans="1:9" x14ac:dyDescent="0.2">
      <c r="A67" s="1" t="s">
        <v>770</v>
      </c>
      <c r="B67" s="6">
        <v>3112</v>
      </c>
      <c r="C67" s="73">
        <f>'DOE25'!F118</f>
        <v>439998</v>
      </c>
      <c r="D67" s="23"/>
      <c r="E67" s="23"/>
      <c r="F67" s="23"/>
      <c r="G67" s="23"/>
      <c r="H67" s="13">
        <f t="shared" si="4"/>
        <v>439998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25661.84</v>
      </c>
      <c r="D69" s="73">
        <f>'DOE25'!G120</f>
        <v>0</v>
      </c>
      <c r="E69" s="73">
        <f>'DOE25'!H120</f>
        <v>0</v>
      </c>
      <c r="F69" s="73">
        <f>'DOE25'!I120</f>
        <v>0</v>
      </c>
      <c r="G69" s="73">
        <f>'DOE25'!J120</f>
        <v>0</v>
      </c>
      <c r="H69" s="13">
        <f t="shared" si="4"/>
        <v>25661.84</v>
      </c>
      <c r="I69"/>
    </row>
    <row r="70" spans="1:9" ht="12" thickTop="1" x14ac:dyDescent="0.2">
      <c r="A70" s="28" t="s">
        <v>252</v>
      </c>
      <c r="B70" s="2"/>
      <c r="C70" s="97">
        <f>SUM(C66:C69)</f>
        <v>1446510.51</v>
      </c>
      <c r="D70" s="97">
        <f>D69</f>
        <v>0</v>
      </c>
      <c r="E70" s="97">
        <f>E69</f>
        <v>0</v>
      </c>
      <c r="F70" s="97">
        <f>F69</f>
        <v>0</v>
      </c>
      <c r="G70" s="97">
        <f>G69</f>
        <v>0</v>
      </c>
      <c r="H70" s="13">
        <f t="shared" si="4"/>
        <v>1446510.51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49354.19</v>
      </c>
      <c r="D75" s="23" t="s">
        <v>288</v>
      </c>
      <c r="E75" s="23" t="s">
        <v>288</v>
      </c>
      <c r="F75" s="23" t="s">
        <v>288</v>
      </c>
      <c r="G75" s="23" t="s">
        <v>288</v>
      </c>
      <c r="H75" s="13">
        <f t="shared" si="4"/>
        <v>49354.19</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158.91</v>
      </c>
      <c r="E77" s="73">
        <f>SUM('DOE25'!H131:H135)</f>
        <v>0</v>
      </c>
      <c r="F77" s="73">
        <f>SUM('DOE25'!I131:I135)</f>
        <v>0</v>
      </c>
      <c r="G77" s="73">
        <f>SUM('DOE25'!J131:J135)</f>
        <v>0</v>
      </c>
      <c r="H77" s="13">
        <f t="shared" si="4"/>
        <v>158.91</v>
      </c>
      <c r="I77"/>
    </row>
    <row r="78" spans="1:9" ht="12.75" thickTop="1" thickBot="1" x14ac:dyDescent="0.25">
      <c r="A78" s="28" t="s">
        <v>259</v>
      </c>
      <c r="B78" s="6"/>
      <c r="C78" s="93">
        <f>SUM(C72:C77)</f>
        <v>49354.19</v>
      </c>
      <c r="D78" s="93">
        <f>SUM(D72:D77)</f>
        <v>158.91</v>
      </c>
      <c r="E78" s="93">
        <f>SUM(E72:E77)</f>
        <v>0</v>
      </c>
      <c r="F78" s="93">
        <f>SUM(F72:F77)</f>
        <v>0</v>
      </c>
      <c r="G78" s="93">
        <f>SUM(G72:G77)</f>
        <v>0</v>
      </c>
      <c r="H78" s="13">
        <f t="shared" si="4"/>
        <v>49513.100000000006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1495864.7</v>
      </c>
      <c r="D81" s="93">
        <f>SUM(D79:D80)+D78+D70</f>
        <v>158.91</v>
      </c>
      <c r="E81" s="93">
        <f>SUM(E79:E80)+E78+E70</f>
        <v>0</v>
      </c>
      <c r="F81" s="93">
        <f>SUM(F79:F80)+F78+F70</f>
        <v>0</v>
      </c>
      <c r="G81" s="93">
        <f>SUM(G79:G80)+G78+G70</f>
        <v>0</v>
      </c>
      <c r="H81" s="93">
        <f t="shared" si="4"/>
        <v>1496023.6099999999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34594.79</v>
      </c>
      <c r="D88" s="253">
        <f>SUM('DOE25'!G153:G162)</f>
        <v>46668.35</v>
      </c>
      <c r="E88" s="253">
        <f>SUM('DOE25'!H153:H162)</f>
        <v>354523.25</v>
      </c>
      <c r="F88" s="253">
        <f>SUM('DOE25'!I153:I162)</f>
        <v>0</v>
      </c>
      <c r="G88" s="23" t="s">
        <v>288</v>
      </c>
      <c r="H88" s="13">
        <f t="shared" si="5"/>
        <v>435786.39</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34594.79</v>
      </c>
      <c r="D91" s="94">
        <f>SUM(D85:D90)</f>
        <v>46668.35</v>
      </c>
      <c r="E91" s="94">
        <f>SUM(E85:E90)</f>
        <v>354523.25</v>
      </c>
      <c r="F91" s="94">
        <f>SUM(F85:F90)</f>
        <v>0</v>
      </c>
      <c r="G91" s="23" t="s">
        <v>288</v>
      </c>
      <c r="H91" s="13">
        <f t="shared" si="5"/>
        <v>435786.39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30914.54</v>
      </c>
      <c r="E96" s="73">
        <f>'DOE25'!H180</f>
        <v>0</v>
      </c>
      <c r="F96" s="73">
        <f>'DOE25'!I180</f>
        <v>0</v>
      </c>
      <c r="G96" s="73">
        <f>'DOE25'!J180</f>
        <v>60000</v>
      </c>
      <c r="H96" s="13">
        <f t="shared" si="5"/>
        <v>90914.540000000008</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30914.54</v>
      </c>
      <c r="E103" s="68">
        <f>SUM(E93:E102)</f>
        <v>0</v>
      </c>
      <c r="F103" s="68">
        <f>SUM(F93:F102)</f>
        <v>0</v>
      </c>
      <c r="G103" s="68">
        <f>SUM(G93:G102)</f>
        <v>60000</v>
      </c>
      <c r="H103" s="68">
        <f t="shared" si="5"/>
        <v>90914.540000000008</v>
      </c>
    </row>
    <row r="104" spans="1:8" ht="12.75" thickTop="1" thickBot="1" x14ac:dyDescent="0.25">
      <c r="A104" s="32" t="s">
        <v>761</v>
      </c>
      <c r="C104" s="68">
        <f>C63+C81+C91+C103</f>
        <v>6420773.7200000007</v>
      </c>
      <c r="D104" s="68">
        <f>D63+D81+D91+D103</f>
        <v>123627.35</v>
      </c>
      <c r="E104" s="68">
        <f>E63+E81+E91+E103</f>
        <v>358267.15</v>
      </c>
      <c r="F104" s="68">
        <f>F63+F81+F91+F103</f>
        <v>0</v>
      </c>
      <c r="G104" s="68">
        <f>G63+G81+G103</f>
        <v>57779.94</v>
      </c>
      <c r="H104" s="68">
        <f t="shared" si="5"/>
        <v>6960448.1600000011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3535090.4699999997</v>
      </c>
      <c r="D109" s="23" t="s">
        <v>288</v>
      </c>
      <c r="E109" s="73">
        <f>('DOE25'!L277)+('DOE25'!L296)+('DOE25'!L315)</f>
        <v>87586.34</v>
      </c>
      <c r="F109" s="23" t="s">
        <v>288</v>
      </c>
      <c r="G109" s="23" t="s">
        <v>288</v>
      </c>
      <c r="H109" s="13">
        <f t="shared" ref="H109:H115" si="6">SUM(C109:G109)</f>
        <v>3622676.8099999996</v>
      </c>
    </row>
    <row r="110" spans="1:8" x14ac:dyDescent="0.2">
      <c r="A110" t="s">
        <v>198</v>
      </c>
      <c r="B110" s="31" t="s">
        <v>199</v>
      </c>
      <c r="C110" s="73">
        <f>('DOE25'!L199)+('DOE25'!L217)+('DOE25'!L235)</f>
        <v>1099240.8900000001</v>
      </c>
      <c r="D110" s="23" t="s">
        <v>288</v>
      </c>
      <c r="E110" s="73">
        <f>('DOE25'!L278)+('DOE25'!L297)+('DOE25'!L316)</f>
        <v>80940.159999999989</v>
      </c>
      <c r="F110" s="23" t="s">
        <v>288</v>
      </c>
      <c r="G110" s="23" t="s">
        <v>288</v>
      </c>
      <c r="H110" s="13">
        <f t="shared" si="6"/>
        <v>1180181.05</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35844.67</v>
      </c>
      <c r="D112" s="23" t="s">
        <v>288</v>
      </c>
      <c r="E112" s="73">
        <f>+('DOE25'!L280)+('DOE25'!L299)+('DOE25'!L318)</f>
        <v>2451.94</v>
      </c>
      <c r="F112" s="23" t="s">
        <v>288</v>
      </c>
      <c r="G112" s="23" t="s">
        <v>288</v>
      </c>
      <c r="H112" s="13">
        <f t="shared" si="6"/>
        <v>38296.61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4670176.0299999993</v>
      </c>
      <c r="D115" s="68">
        <f>SUM(D109:D114)</f>
        <v>0</v>
      </c>
      <c r="E115" s="68">
        <f>SUM(E109:E114)</f>
        <v>170978.44</v>
      </c>
      <c r="F115" s="68">
        <f>SUM(F109:F114)</f>
        <v>0</v>
      </c>
      <c r="G115" s="68">
        <f>SUM(G109:G114)</f>
        <v>0</v>
      </c>
      <c r="H115" s="68">
        <f t="shared" si="6"/>
        <v>4841154.47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417549.39999999991</v>
      </c>
      <c r="D118" s="23" t="s">
        <v>288</v>
      </c>
      <c r="E118" s="73">
        <f>+('DOE25'!L282)+('DOE25'!L301)+('DOE25'!L320)</f>
        <v>25934.29</v>
      </c>
      <c r="F118" s="23" t="s">
        <v>288</v>
      </c>
      <c r="G118" s="23" t="s">
        <v>288</v>
      </c>
      <c r="H118" s="13">
        <f t="shared" ref="H118:H145" si="7">SUM(C118:G118)</f>
        <v>443483.68999999989</v>
      </c>
    </row>
    <row r="119" spans="1:8" x14ac:dyDescent="0.2">
      <c r="A119" t="s">
        <v>208</v>
      </c>
      <c r="B119" s="31" t="s">
        <v>209</v>
      </c>
      <c r="C119" s="73">
        <f>('DOE25'!L204)+('DOE25'!L222)+('DOE25'!L240)</f>
        <v>205474.56999999998</v>
      </c>
      <c r="D119" s="23" t="s">
        <v>288</v>
      </c>
      <c r="E119" s="73">
        <f>+('DOE25'!L283)+('DOE25'!L302)+('DOE25'!L321)</f>
        <v>20608.38</v>
      </c>
      <c r="F119" s="23" t="s">
        <v>288</v>
      </c>
      <c r="G119" s="23" t="s">
        <v>288</v>
      </c>
      <c r="H119" s="13">
        <f t="shared" si="7"/>
        <v>226082.94999999998</v>
      </c>
    </row>
    <row r="120" spans="1:8" x14ac:dyDescent="0.2">
      <c r="A120" t="s">
        <v>210</v>
      </c>
      <c r="B120" s="31" t="s">
        <v>211</v>
      </c>
      <c r="C120" s="73">
        <f>('DOE25'!L205)+('DOE25'!L223)+('DOE25'!L241)</f>
        <v>221242.49000000002</v>
      </c>
      <c r="D120" s="23" t="s">
        <v>288</v>
      </c>
      <c r="E120" s="73">
        <f>+('DOE25'!L284)+('DOE25'!L303)+('DOE25'!L322)</f>
        <v>4251.96</v>
      </c>
      <c r="F120" s="23" t="s">
        <v>288</v>
      </c>
      <c r="G120" s="23" t="s">
        <v>288</v>
      </c>
      <c r="H120" s="13">
        <f t="shared" si="7"/>
        <v>225494.45</v>
      </c>
    </row>
    <row r="121" spans="1:8" x14ac:dyDescent="0.2">
      <c r="A121" t="s">
        <v>212</v>
      </c>
      <c r="B121" s="31" t="s">
        <v>213</v>
      </c>
      <c r="C121" s="73">
        <f>('DOE25'!L206)+('DOE25'!L224)+('DOE25'!L242)</f>
        <v>250811.16999999998</v>
      </c>
      <c r="D121" s="23" t="s">
        <v>288</v>
      </c>
      <c r="E121" s="73">
        <f>+('DOE25'!L285)+('DOE25'!L304)+('DOE25'!L323)</f>
        <v>0</v>
      </c>
      <c r="F121" s="23" t="s">
        <v>288</v>
      </c>
      <c r="G121" s="23" t="s">
        <v>288</v>
      </c>
      <c r="H121" s="13">
        <f t="shared" si="7"/>
        <v>250811.16999999998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326673.28000000003</v>
      </c>
      <c r="D123" s="23" t="s">
        <v>288</v>
      </c>
      <c r="E123" s="73">
        <f>+('DOE25'!L287)+('DOE25'!L306)+('DOE25'!L325)</f>
        <v>0</v>
      </c>
      <c r="F123" s="23" t="s">
        <v>288</v>
      </c>
      <c r="G123" s="23" t="s">
        <v>288</v>
      </c>
      <c r="H123" s="13">
        <f t="shared" si="7"/>
        <v>326673.28000000003</v>
      </c>
    </row>
    <row r="124" spans="1:8" x14ac:dyDescent="0.2">
      <c r="A124" t="s">
        <v>218</v>
      </c>
      <c r="B124" s="31" t="s">
        <v>219</v>
      </c>
      <c r="C124" s="73">
        <f>('DOE25'!L209)+('DOE25'!L227)+('DOE25'!L245+'DOE25'!L255)</f>
        <v>505171.33</v>
      </c>
      <c r="D124" s="23" t="s">
        <v>288</v>
      </c>
      <c r="E124" s="73">
        <f>+('DOE25'!L288)+('DOE25'!L307)+('DOE25'!L326)</f>
        <v>135963.27000000002</v>
      </c>
      <c r="F124" s="23" t="s">
        <v>288</v>
      </c>
      <c r="G124" s="23" t="s">
        <v>288</v>
      </c>
      <c r="H124" s="13">
        <f t="shared" si="7"/>
        <v>641134.60000000009</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122291.48000000001</v>
      </c>
      <c r="E127" s="23" t="s">
        <v>288</v>
      </c>
      <c r="F127" s="23" t="s">
        <v>288</v>
      </c>
      <c r="G127" s="23" t="s">
        <v>288</v>
      </c>
      <c r="H127" s="13">
        <f t="shared" si="7"/>
        <v>122291.48000000001</v>
      </c>
    </row>
    <row r="128" spans="1:8" ht="12.75" thickTop="1" thickBot="1" x14ac:dyDescent="0.25">
      <c r="A128" s="32" t="s">
        <v>226</v>
      </c>
      <c r="C128" s="68">
        <f>SUM(C118:C127)</f>
        <v>1926922.24</v>
      </c>
      <c r="D128" s="68">
        <f>SUM(D118:D127)</f>
        <v>122291.48000000001</v>
      </c>
      <c r="E128" s="68">
        <f>SUM(E118:E127)</f>
        <v>186757.90000000002</v>
      </c>
      <c r="F128" s="68">
        <f>SUM(F118:F127)</f>
        <v>0</v>
      </c>
      <c r="G128" s="68">
        <f>SUM(G118:G127)</f>
        <v>0</v>
      </c>
      <c r="H128" s="68">
        <f t="shared" si="7"/>
        <v>2235971.62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30914.54</v>
      </c>
      <c r="D135" s="23" t="s">
        <v>288</v>
      </c>
      <c r="E135" s="92">
        <f>'DOE25'!L346</f>
        <v>0</v>
      </c>
      <c r="F135" s="23" t="s">
        <v>288</v>
      </c>
      <c r="G135" s="23" t="s">
        <v>288</v>
      </c>
      <c r="H135" s="13">
        <f t="shared" si="7"/>
        <v>30914.54</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57779.939999999995</v>
      </c>
      <c r="D139" s="23" t="s">
        <v>288</v>
      </c>
      <c r="E139" s="23" t="s">
        <v>288</v>
      </c>
      <c r="F139" s="23" t="s">
        <v>288</v>
      </c>
      <c r="G139" s="23" t="s">
        <v>288</v>
      </c>
      <c r="H139" s="13">
        <f t="shared" si="7"/>
        <v>57779.939999999995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2220.0600000000049</v>
      </c>
      <c r="D141" s="23" t="s">
        <v>288</v>
      </c>
      <c r="E141" s="23" t="s">
        <v>288</v>
      </c>
      <c r="F141" s="23" t="s">
        <v>288</v>
      </c>
      <c r="G141" s="23" t="s">
        <v>288</v>
      </c>
      <c r="H141" s="13">
        <f t="shared" si="7"/>
        <v>2220.0600000000049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90914.540000000008</v>
      </c>
      <c r="D144" s="98">
        <f>SUM(D130:D143)</f>
        <v>0</v>
      </c>
      <c r="E144" s="98">
        <f>SUM(E130:E143)</f>
        <v>0</v>
      </c>
      <c r="F144" s="98">
        <f>SUM(F130:F143)</f>
        <v>0</v>
      </c>
      <c r="G144" s="98">
        <f>SUM(G130:G143)</f>
        <v>0</v>
      </c>
      <c r="H144" s="98">
        <f t="shared" si="7"/>
        <v>90914.540000000008</v>
      </c>
    </row>
    <row r="145" spans="1:9" ht="12.75" thickTop="1" thickBot="1" x14ac:dyDescent="0.25">
      <c r="A145" s="32" t="s">
        <v>244</v>
      </c>
      <c r="C145" s="68">
        <f>(C115+C128+C144)</f>
        <v>6688012.8099999996</v>
      </c>
      <c r="D145" s="68">
        <f>(D115+D128+D144)</f>
        <v>122291.48000000001</v>
      </c>
      <c r="E145" s="68">
        <f>(E115+E128+E144)</f>
        <v>357736.34</v>
      </c>
      <c r="F145" s="68">
        <f>(F115+F128+F144)</f>
        <v>0</v>
      </c>
      <c r="G145" s="68">
        <f>(G115+G128+G144)</f>
        <v>0</v>
      </c>
      <c r="H145" s="68">
        <f t="shared" si="7"/>
        <v>7168040.6299999999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25" zoomScaleNormal="100" workbookViewId="0">
      <selection activeCell="H44" sqref="H4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Chichester</v>
      </c>
    </row>
    <row r="3" spans="1:4" x14ac:dyDescent="0.2">
      <c r="B3" s="137" t="s">
        <v>1799</v>
      </c>
    </row>
    <row r="4" spans="1:4" x14ac:dyDescent="0.2">
      <c r="B4" t="s">
        <v>61</v>
      </c>
      <c r="C4" s="129">
        <f>IF('DOE25'!F666+'DOE25'!F671=0,0,ROUND('DOE25'!F673,0))</f>
        <v>22540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22540</v>
      </c>
    </row>
    <row r="9" spans="1:4" x14ac:dyDescent="0.2">
      <c r="A9" s="136" t="s">
        <v>94</v>
      </c>
      <c r="B9" s="137" t="s">
        <v>1800</v>
      </c>
      <c r="C9" s="131" t="s">
        <v>720</v>
      </c>
      <c r="D9" s="131" t="s">
        <v>721</v>
      </c>
    </row>
    <row r="10" spans="1:4" x14ac:dyDescent="0.2">
      <c r="A10">
        <v>1100</v>
      </c>
      <c r="B10" t="s">
        <v>702</v>
      </c>
      <c r="C10" s="129">
        <f>ROUND('DOE25'!L198+'DOE25'!L216+'DOE25'!L234+'DOE25'!L277+'DOE25'!L296+'DOE25'!L315,0)</f>
        <v>3622677</v>
      </c>
      <c r="D10" s="132">
        <f>ROUND((C10/$C$28)*100,1)</f>
        <v>51.5</v>
      </c>
    </row>
    <row r="11" spans="1:4" x14ac:dyDescent="0.2">
      <c r="A11">
        <v>1200</v>
      </c>
      <c r="B11" t="s">
        <v>703</v>
      </c>
      <c r="C11" s="129">
        <f>ROUND('DOE25'!L199+'DOE25'!L217+'DOE25'!L235+'DOE25'!L278+'DOE25'!L297+'DOE25'!L316,0)</f>
        <v>1180181</v>
      </c>
      <c r="D11" s="132">
        <f>ROUND((C11/$C$28)*100,1)</f>
        <v>16.8</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38297</v>
      </c>
      <c r="D13" s="132">
        <f>ROUND((C13/$C$28)*100,1)</f>
        <v>0.5</v>
      </c>
    </row>
    <row r="14" spans="1:4" x14ac:dyDescent="0.2">
      <c r="D14" s="132"/>
    </row>
    <row r="15" spans="1:4" x14ac:dyDescent="0.2">
      <c r="A15">
        <v>2100</v>
      </c>
      <c r="B15" t="s">
        <v>706</v>
      </c>
      <c r="C15" s="129">
        <f>ROUND('DOE25'!L203+'DOE25'!L221+'DOE25'!L239+'DOE25'!L282+'DOE25'!L301+'DOE25'!L320,0)</f>
        <v>443484</v>
      </c>
      <c r="D15" s="132">
        <f t="shared" ref="D15:D27" si="0">ROUND((C15/$C$28)*100,1)</f>
        <v>6.3</v>
      </c>
    </row>
    <row r="16" spans="1:4" x14ac:dyDescent="0.2">
      <c r="A16">
        <v>2200</v>
      </c>
      <c r="B16" t="s">
        <v>707</v>
      </c>
      <c r="C16" s="129">
        <f>ROUND('DOE25'!L204+'DOE25'!L222+'DOE25'!L240+'DOE25'!L283+'DOE25'!L302+'DOE25'!L321,0)</f>
        <v>226083</v>
      </c>
      <c r="D16" s="132">
        <f t="shared" si="0"/>
        <v>3.2</v>
      </c>
    </row>
    <row r="17" spans="1:4" x14ac:dyDescent="0.2">
      <c r="A17" s="133" t="s">
        <v>723</v>
      </c>
      <c r="B17" t="s">
        <v>738</v>
      </c>
      <c r="C17" s="129">
        <f>ROUND('DOE25'!L205+'DOE25'!L210+'DOE25'!L223+'DOE25'!L228+'DOE25'!L241+'DOE25'!L246+'DOE25'!L284+'DOE25'!L289+'DOE25'!L303+'DOE25'!L308+'DOE25'!L322+'DOE25'!L327,0)</f>
        <v>225494</v>
      </c>
      <c r="D17" s="132">
        <f t="shared" si="0"/>
        <v>3.2</v>
      </c>
    </row>
    <row r="18" spans="1:4" x14ac:dyDescent="0.2">
      <c r="A18">
        <v>2400</v>
      </c>
      <c r="B18" t="s">
        <v>711</v>
      </c>
      <c r="C18" s="129">
        <f>ROUND('DOE25'!L206+'DOE25'!L224+'DOE25'!L242+'DOE25'!L285+'DOE25'!L304+'DOE25'!L323,0)</f>
        <v>250811</v>
      </c>
      <c r="D18" s="132">
        <f t="shared" si="0"/>
        <v>3.6</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326673</v>
      </c>
      <c r="D20" s="132">
        <f t="shared" si="0"/>
        <v>4.5999999999999996</v>
      </c>
    </row>
    <row r="21" spans="1:4" x14ac:dyDescent="0.2">
      <c r="A21">
        <v>2700</v>
      </c>
      <c r="B21" t="s">
        <v>710</v>
      </c>
      <c r="C21" s="129">
        <f>ROUND('DOE25'!L209+'DOE25'!L227+'DOE25'!L245+'DOE25'!L288+'DOE25'!L307+'DOE25'!L326,0)</f>
        <v>641135</v>
      </c>
      <c r="D21" s="132">
        <f t="shared" si="0"/>
        <v>9.1</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76405.45</v>
      </c>
      <c r="D27" s="132">
        <f t="shared" si="0"/>
        <v>1.1000000000000001</v>
      </c>
    </row>
    <row r="28" spans="1:4" x14ac:dyDescent="0.2">
      <c r="B28" s="136" t="s">
        <v>719</v>
      </c>
      <c r="C28" s="130">
        <f>SUM(C10:C27)</f>
        <v>7031240.4500000002</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7031240.4500000002</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4772188</v>
      </c>
      <c r="D35" s="132">
        <f t="shared" ref="D35:D40" si="1">ROUND((C35/$C$41)*100,1)</f>
        <v>69.900000000000006</v>
      </c>
    </row>
    <row r="36" spans="1:4" x14ac:dyDescent="0.2">
      <c r="B36" s="71" t="s">
        <v>739</v>
      </c>
      <c r="C36" s="129">
        <f>SUM('DOE25'!F112:J112)-SUM('DOE25'!G97:G110)+('DOE25'!F175+'DOE25'!F176+'DOE25'!I175+'DOE25'!I176)-C35</f>
        <v>119650.07000000123</v>
      </c>
      <c r="D36" s="132">
        <f t="shared" si="1"/>
        <v>1.8</v>
      </c>
    </row>
    <row r="37" spans="1:4" x14ac:dyDescent="0.2">
      <c r="A37" s="133" t="s">
        <v>834</v>
      </c>
      <c r="B37" s="71" t="s">
        <v>728</v>
      </c>
      <c r="C37" s="129">
        <f>ROUND('DOE25'!F117+'DOE25'!F118,0)</f>
        <v>1420849</v>
      </c>
      <c r="D37" s="132">
        <f t="shared" si="1"/>
        <v>20.8</v>
      </c>
    </row>
    <row r="38" spans="1:4" x14ac:dyDescent="0.2">
      <c r="A38" s="133" t="s">
        <v>734</v>
      </c>
      <c r="B38" s="71" t="s">
        <v>729</v>
      </c>
      <c r="C38" s="129">
        <f>ROUND(SUM('DOE25'!F140:J140)-SUM('DOE25'!F117:F119),0)</f>
        <v>75175</v>
      </c>
      <c r="D38" s="132">
        <f t="shared" si="1"/>
        <v>1.1000000000000001</v>
      </c>
    </row>
    <row r="39" spans="1:4" x14ac:dyDescent="0.2">
      <c r="A39">
        <v>4000</v>
      </c>
      <c r="B39" s="71" t="s">
        <v>730</v>
      </c>
      <c r="C39" s="129">
        <f>ROUND('DOE25'!F170+'DOE25'!G170+'DOE25'!H170+'DOE25'!I170,0)</f>
        <v>435786</v>
      </c>
      <c r="D39" s="132">
        <f t="shared" si="1"/>
        <v>6.4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6823648.0700000012</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H44" sqref="H44"/>
    </sheetView>
  </sheetViews>
  <sheetFormatPr defaultRowHeight="11.25" x14ac:dyDescent="0.2"/>
  <cols>
    <col min="1" max="1" width="10.33203125" customWidth="1"/>
    <col min="14" max="14" width="6.1640625" customWidth="1"/>
  </cols>
  <sheetData>
    <row r="1" spans="1:13" ht="16.5" thickTop="1" x14ac:dyDescent="0.25">
      <c r="A1" s="331" t="s">
        <v>766</v>
      </c>
      <c r="B1" s="332"/>
      <c r="C1" s="332"/>
      <c r="D1" s="332"/>
      <c r="E1" s="332"/>
      <c r="F1" s="332"/>
      <c r="G1" s="332"/>
      <c r="H1" s="332"/>
      <c r="I1" s="332"/>
      <c r="J1" s="155"/>
      <c r="K1" s="155"/>
      <c r="L1" s="155"/>
      <c r="M1" s="156"/>
    </row>
    <row r="2" spans="1:13" ht="12.75" x14ac:dyDescent="0.2">
      <c r="A2" s="336" t="s">
        <v>763</v>
      </c>
      <c r="B2" s="337"/>
      <c r="C2" s="337"/>
      <c r="D2" s="337"/>
      <c r="E2" s="337"/>
      <c r="F2" s="334" t="str">
        <f>'DOE25'!A2</f>
        <v>Chichester</v>
      </c>
      <c r="G2" s="335"/>
      <c r="H2" s="335"/>
      <c r="I2" s="335"/>
      <c r="M2" s="157"/>
    </row>
    <row r="3" spans="1:13" x14ac:dyDescent="0.2">
      <c r="A3" s="158" t="s">
        <v>764</v>
      </c>
      <c r="B3" s="131" t="s">
        <v>765</v>
      </c>
      <c r="C3" s="321" t="s">
        <v>767</v>
      </c>
      <c r="D3" s="321"/>
      <c r="E3" s="321"/>
      <c r="F3" s="321"/>
      <c r="G3" s="321"/>
      <c r="H3" s="321"/>
      <c r="I3" s="321"/>
      <c r="J3" s="321"/>
      <c r="K3" s="321"/>
      <c r="L3" s="321"/>
      <c r="M3" s="333"/>
    </row>
    <row r="4" spans="1:13" x14ac:dyDescent="0.2">
      <c r="A4" s="159">
        <v>5</v>
      </c>
      <c r="B4" s="150">
        <v>12</v>
      </c>
      <c r="C4" s="328" t="s">
        <v>1812</v>
      </c>
      <c r="D4" s="328"/>
      <c r="E4" s="328"/>
      <c r="F4" s="328"/>
      <c r="G4" s="328"/>
      <c r="H4" s="328"/>
      <c r="I4" s="328"/>
      <c r="J4" s="328"/>
      <c r="K4" s="328"/>
      <c r="L4" s="328"/>
      <c r="M4" s="330"/>
    </row>
    <row r="5" spans="1:13" x14ac:dyDescent="0.2">
      <c r="A5" s="159">
        <v>19</v>
      </c>
      <c r="B5" s="150">
        <v>470</v>
      </c>
      <c r="C5" s="328" t="s">
        <v>1813</v>
      </c>
      <c r="D5" s="328"/>
      <c r="E5" s="328"/>
      <c r="F5" s="328"/>
      <c r="G5" s="328"/>
      <c r="H5" s="328"/>
      <c r="I5" s="328"/>
      <c r="J5" s="328"/>
      <c r="K5" s="328"/>
      <c r="L5" s="328"/>
      <c r="M5" s="330"/>
    </row>
    <row r="6" spans="1:13" x14ac:dyDescent="0.2">
      <c r="A6" s="159"/>
      <c r="B6" s="150"/>
      <c r="C6" s="328"/>
      <c r="D6" s="328"/>
      <c r="E6" s="328"/>
      <c r="F6" s="328"/>
      <c r="G6" s="328"/>
      <c r="H6" s="328"/>
      <c r="I6" s="328"/>
      <c r="J6" s="328"/>
      <c r="K6" s="328"/>
      <c r="L6" s="328"/>
      <c r="M6" s="330"/>
    </row>
    <row r="7" spans="1:13" x14ac:dyDescent="0.2">
      <c r="A7" s="159"/>
      <c r="B7" s="150"/>
      <c r="C7" s="328"/>
      <c r="D7" s="328"/>
      <c r="E7" s="328"/>
      <c r="F7" s="328"/>
      <c r="G7" s="328"/>
      <c r="H7" s="328"/>
      <c r="I7" s="328"/>
      <c r="J7" s="328"/>
      <c r="K7" s="328"/>
      <c r="L7" s="328"/>
      <c r="M7" s="330"/>
    </row>
    <row r="8" spans="1:13" x14ac:dyDescent="0.2">
      <c r="A8" s="159"/>
      <c r="B8" s="150"/>
      <c r="C8" s="328"/>
      <c r="D8" s="328"/>
      <c r="E8" s="328"/>
      <c r="F8" s="328"/>
      <c r="G8" s="328"/>
      <c r="H8" s="328"/>
      <c r="I8" s="328"/>
      <c r="J8" s="328"/>
      <c r="K8" s="328"/>
      <c r="L8" s="328"/>
      <c r="M8" s="330"/>
    </row>
    <row r="9" spans="1:13" x14ac:dyDescent="0.2">
      <c r="A9" s="159"/>
      <c r="B9" s="150"/>
      <c r="C9" s="328"/>
      <c r="D9" s="328"/>
      <c r="E9" s="328"/>
      <c r="F9" s="328"/>
      <c r="G9" s="328"/>
      <c r="H9" s="328"/>
      <c r="I9" s="328"/>
      <c r="J9" s="328"/>
      <c r="K9" s="328"/>
      <c r="L9" s="328"/>
      <c r="M9" s="330"/>
    </row>
    <row r="10" spans="1:13" x14ac:dyDescent="0.2">
      <c r="A10" s="159"/>
      <c r="B10" s="150"/>
      <c r="C10" s="328"/>
      <c r="D10" s="328"/>
      <c r="E10" s="328"/>
      <c r="F10" s="328"/>
      <c r="G10" s="328"/>
      <c r="H10" s="328"/>
      <c r="I10" s="328"/>
      <c r="J10" s="328"/>
      <c r="K10" s="328"/>
      <c r="L10" s="328"/>
      <c r="M10" s="330"/>
    </row>
    <row r="11" spans="1:13" x14ac:dyDescent="0.2">
      <c r="A11" s="159"/>
      <c r="B11" s="150"/>
      <c r="C11" s="328"/>
      <c r="D11" s="328"/>
      <c r="E11" s="328"/>
      <c r="F11" s="328"/>
      <c r="G11" s="328"/>
      <c r="H11" s="328"/>
      <c r="I11" s="328"/>
      <c r="J11" s="328"/>
      <c r="K11" s="328"/>
      <c r="L11" s="328"/>
      <c r="M11" s="330"/>
    </row>
    <row r="12" spans="1:13" x14ac:dyDescent="0.2">
      <c r="A12" s="159"/>
      <c r="B12" s="150"/>
      <c r="C12" s="328"/>
      <c r="D12" s="328"/>
      <c r="E12" s="328"/>
      <c r="F12" s="328"/>
      <c r="G12" s="328"/>
      <c r="H12" s="328"/>
      <c r="I12" s="328"/>
      <c r="J12" s="328"/>
      <c r="K12" s="328"/>
      <c r="L12" s="328"/>
      <c r="M12" s="330"/>
    </row>
    <row r="13" spans="1:13" x14ac:dyDescent="0.2">
      <c r="A13" s="159"/>
      <c r="B13" s="150"/>
      <c r="C13" s="328"/>
      <c r="D13" s="328"/>
      <c r="E13" s="328"/>
      <c r="F13" s="328"/>
      <c r="G13" s="328"/>
      <c r="H13" s="328"/>
      <c r="I13" s="328"/>
      <c r="J13" s="328"/>
      <c r="K13" s="328"/>
      <c r="L13" s="328"/>
      <c r="M13" s="330"/>
    </row>
    <row r="14" spans="1:13" x14ac:dyDescent="0.2">
      <c r="A14" s="159"/>
      <c r="B14" s="150"/>
      <c r="C14" s="328"/>
      <c r="D14" s="328"/>
      <c r="E14" s="328"/>
      <c r="F14" s="328"/>
      <c r="G14" s="328"/>
      <c r="H14" s="328"/>
      <c r="I14" s="328"/>
      <c r="J14" s="328"/>
      <c r="K14" s="328"/>
      <c r="L14" s="328"/>
      <c r="M14" s="330"/>
    </row>
    <row r="15" spans="1:13" x14ac:dyDescent="0.2">
      <c r="A15" s="159"/>
      <c r="B15" s="150"/>
      <c r="C15" s="328"/>
      <c r="D15" s="328"/>
      <c r="E15" s="328"/>
      <c r="F15" s="328"/>
      <c r="G15" s="328"/>
      <c r="H15" s="328"/>
      <c r="I15" s="328"/>
      <c r="J15" s="328"/>
      <c r="K15" s="328"/>
      <c r="L15" s="328"/>
      <c r="M15" s="330"/>
    </row>
    <row r="16" spans="1:13" x14ac:dyDescent="0.2">
      <c r="A16" s="159"/>
      <c r="B16" s="150"/>
      <c r="C16" s="328"/>
      <c r="D16" s="328"/>
      <c r="E16" s="328"/>
      <c r="F16" s="328"/>
      <c r="G16" s="328"/>
      <c r="H16" s="328"/>
      <c r="I16" s="328"/>
      <c r="J16" s="328"/>
      <c r="K16" s="328"/>
      <c r="L16" s="328"/>
      <c r="M16" s="330"/>
    </row>
    <row r="17" spans="1:256" x14ac:dyDescent="0.2">
      <c r="A17" s="159"/>
      <c r="B17" s="150"/>
      <c r="C17" s="328"/>
      <c r="D17" s="328"/>
      <c r="E17" s="328"/>
      <c r="F17" s="328"/>
      <c r="G17" s="328"/>
      <c r="H17" s="328"/>
      <c r="I17" s="328"/>
      <c r="J17" s="328"/>
      <c r="K17" s="328"/>
      <c r="L17" s="328"/>
      <c r="M17" s="330"/>
    </row>
    <row r="18" spans="1:256" x14ac:dyDescent="0.2">
      <c r="A18" s="159"/>
      <c r="B18" s="150"/>
      <c r="C18" s="328"/>
      <c r="D18" s="328"/>
      <c r="E18" s="328"/>
      <c r="F18" s="328"/>
      <c r="G18" s="328"/>
      <c r="H18" s="328"/>
      <c r="I18" s="328"/>
      <c r="J18" s="328"/>
      <c r="K18" s="328"/>
      <c r="L18" s="328"/>
      <c r="M18" s="330"/>
    </row>
    <row r="19" spans="1:256" x14ac:dyDescent="0.2">
      <c r="A19" s="159"/>
      <c r="B19" s="150"/>
      <c r="C19" s="328"/>
      <c r="D19" s="328"/>
      <c r="E19" s="328"/>
      <c r="F19" s="328"/>
      <c r="G19" s="328"/>
      <c r="H19" s="328"/>
      <c r="I19" s="328"/>
      <c r="J19" s="328"/>
      <c r="K19" s="328"/>
      <c r="L19" s="328"/>
      <c r="M19" s="330"/>
    </row>
    <row r="20" spans="1:256" x14ac:dyDescent="0.2">
      <c r="A20" s="159"/>
      <c r="B20" s="150"/>
      <c r="C20" s="328"/>
      <c r="D20" s="328"/>
      <c r="E20" s="328"/>
      <c r="F20" s="328"/>
      <c r="G20" s="328"/>
      <c r="H20" s="328"/>
      <c r="I20" s="328"/>
      <c r="J20" s="328"/>
      <c r="K20" s="328"/>
      <c r="L20" s="328"/>
      <c r="M20" s="330"/>
    </row>
    <row r="21" spans="1:256" x14ac:dyDescent="0.2">
      <c r="A21" s="159"/>
      <c r="B21" s="150"/>
      <c r="C21" s="328"/>
      <c r="D21" s="328"/>
      <c r="E21" s="328"/>
      <c r="F21" s="328"/>
      <c r="G21" s="328"/>
      <c r="H21" s="328"/>
      <c r="I21" s="328"/>
      <c r="J21" s="328"/>
      <c r="K21" s="328"/>
      <c r="L21" s="328"/>
      <c r="M21" s="330"/>
    </row>
    <row r="22" spans="1:256" x14ac:dyDescent="0.2">
      <c r="A22" s="159"/>
      <c r="B22" s="150"/>
      <c r="C22" s="328"/>
      <c r="D22" s="328"/>
      <c r="E22" s="328"/>
      <c r="F22" s="328"/>
      <c r="G22" s="328"/>
      <c r="H22" s="328"/>
      <c r="I22" s="328"/>
      <c r="J22" s="328"/>
      <c r="K22" s="328"/>
      <c r="L22" s="328"/>
      <c r="M22" s="330"/>
    </row>
    <row r="23" spans="1:256" x14ac:dyDescent="0.2">
      <c r="A23" s="159"/>
      <c r="B23" s="150"/>
      <c r="C23" s="328"/>
      <c r="D23" s="328"/>
      <c r="E23" s="328"/>
      <c r="F23" s="328"/>
      <c r="G23" s="328"/>
      <c r="H23" s="328"/>
      <c r="I23" s="328"/>
      <c r="J23" s="328"/>
      <c r="K23" s="328"/>
      <c r="L23" s="328"/>
      <c r="M23" s="330"/>
    </row>
    <row r="24" spans="1:256" x14ac:dyDescent="0.2">
      <c r="A24" s="159"/>
      <c r="B24" s="150"/>
      <c r="C24" s="328"/>
      <c r="D24" s="328"/>
      <c r="E24" s="328"/>
      <c r="F24" s="328"/>
      <c r="G24" s="328"/>
      <c r="H24" s="328"/>
      <c r="I24" s="328"/>
      <c r="J24" s="328"/>
      <c r="K24" s="328"/>
      <c r="L24" s="328"/>
      <c r="M24" s="330"/>
    </row>
    <row r="25" spans="1:256" x14ac:dyDescent="0.2">
      <c r="A25" s="159"/>
      <c r="B25" s="150"/>
      <c r="C25" s="328"/>
      <c r="D25" s="328"/>
      <c r="E25" s="328"/>
      <c r="F25" s="328"/>
      <c r="G25" s="328"/>
      <c r="H25" s="328"/>
      <c r="I25" s="328"/>
      <c r="J25" s="328"/>
      <c r="K25" s="328"/>
      <c r="L25" s="328"/>
      <c r="M25" s="330"/>
    </row>
    <row r="26" spans="1:256" x14ac:dyDescent="0.2">
      <c r="A26" s="159"/>
      <c r="B26" s="150"/>
      <c r="C26" s="328"/>
      <c r="D26" s="328"/>
      <c r="E26" s="328"/>
      <c r="F26" s="328"/>
      <c r="G26" s="328"/>
      <c r="H26" s="328"/>
      <c r="I26" s="328"/>
      <c r="J26" s="328"/>
      <c r="K26" s="328"/>
      <c r="L26" s="328"/>
      <c r="M26" s="330"/>
    </row>
    <row r="27" spans="1:256" x14ac:dyDescent="0.2">
      <c r="A27" s="159"/>
      <c r="B27" s="150"/>
      <c r="C27" s="328"/>
      <c r="D27" s="328"/>
      <c r="E27" s="328"/>
      <c r="F27" s="328"/>
      <c r="G27" s="328"/>
      <c r="H27" s="328"/>
      <c r="I27" s="328"/>
      <c r="J27" s="328"/>
      <c r="K27" s="328"/>
      <c r="L27" s="328"/>
      <c r="M27" s="330"/>
    </row>
    <row r="28" spans="1:256" x14ac:dyDescent="0.2">
      <c r="A28" s="159"/>
      <c r="B28" s="150"/>
      <c r="C28" s="328"/>
      <c r="D28" s="328"/>
      <c r="E28" s="328"/>
      <c r="F28" s="328"/>
      <c r="G28" s="328"/>
      <c r="H28" s="328"/>
      <c r="I28" s="328"/>
      <c r="J28" s="328"/>
      <c r="K28" s="328"/>
      <c r="L28" s="328"/>
      <c r="M28" s="330"/>
    </row>
    <row r="29" spans="1:256" x14ac:dyDescent="0.2">
      <c r="A29" s="159"/>
      <c r="B29" s="150"/>
      <c r="C29" s="328"/>
      <c r="D29" s="328"/>
      <c r="E29" s="328"/>
      <c r="F29" s="328"/>
      <c r="G29" s="328"/>
      <c r="H29" s="328"/>
      <c r="I29" s="328"/>
      <c r="J29" s="328"/>
      <c r="K29" s="328"/>
      <c r="L29" s="328"/>
      <c r="M29" s="330"/>
      <c r="N29" s="153"/>
      <c r="O29" s="153"/>
      <c r="P29" s="329"/>
      <c r="Q29" s="329"/>
      <c r="R29" s="329"/>
      <c r="S29" s="329"/>
      <c r="T29" s="329"/>
      <c r="U29" s="329"/>
      <c r="V29" s="329"/>
      <c r="W29" s="329"/>
      <c r="X29" s="329"/>
      <c r="Y29" s="329"/>
      <c r="Z29" s="329"/>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30"/>
      <c r="N30" s="153"/>
      <c r="O30" s="153"/>
      <c r="P30" s="329"/>
      <c r="Q30" s="329"/>
      <c r="R30" s="329"/>
      <c r="S30" s="329"/>
      <c r="T30" s="329"/>
      <c r="U30" s="329"/>
      <c r="V30" s="329"/>
      <c r="W30" s="329"/>
      <c r="X30" s="329"/>
      <c r="Y30" s="329"/>
      <c r="Z30" s="329"/>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30"/>
      <c r="N31" s="153"/>
      <c r="O31" s="153"/>
      <c r="P31" s="329"/>
      <c r="Q31" s="329"/>
      <c r="R31" s="329"/>
      <c r="S31" s="329"/>
      <c r="T31" s="329"/>
      <c r="U31" s="329"/>
      <c r="V31" s="329"/>
      <c r="W31" s="329"/>
      <c r="X31" s="329"/>
      <c r="Y31" s="329"/>
      <c r="Z31" s="329"/>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30"/>
      <c r="N32" s="153"/>
      <c r="O32" s="153"/>
      <c r="P32" s="329"/>
      <c r="Q32" s="329"/>
      <c r="R32" s="329"/>
      <c r="S32" s="329"/>
      <c r="T32" s="329"/>
      <c r="U32" s="329"/>
      <c r="V32" s="329"/>
      <c r="W32" s="329"/>
      <c r="X32" s="329"/>
      <c r="Y32" s="329"/>
      <c r="Z32" s="338"/>
      <c r="AA32" s="159"/>
      <c r="AB32" s="150"/>
      <c r="AC32" s="328"/>
      <c r="AD32" s="328"/>
      <c r="AE32" s="328"/>
      <c r="AF32" s="328"/>
      <c r="AG32" s="328"/>
      <c r="AH32" s="328"/>
      <c r="AI32" s="328"/>
      <c r="AJ32" s="328"/>
      <c r="AK32" s="328"/>
      <c r="AL32" s="328"/>
      <c r="AM32" s="330"/>
      <c r="AN32" s="159"/>
      <c r="AO32" s="150"/>
      <c r="AP32" s="328"/>
      <c r="AQ32" s="328"/>
      <c r="AR32" s="328"/>
      <c r="AS32" s="328"/>
      <c r="AT32" s="328"/>
      <c r="AU32" s="328"/>
      <c r="AV32" s="328"/>
      <c r="AW32" s="328"/>
      <c r="AX32" s="328"/>
      <c r="AY32" s="328"/>
      <c r="AZ32" s="330"/>
      <c r="BA32" s="159"/>
      <c r="BB32" s="150"/>
      <c r="BC32" s="328"/>
      <c r="BD32" s="328"/>
      <c r="BE32" s="328"/>
      <c r="BF32" s="328"/>
      <c r="BG32" s="328"/>
      <c r="BH32" s="328"/>
      <c r="BI32" s="328"/>
      <c r="BJ32" s="328"/>
      <c r="BK32" s="328"/>
      <c r="BL32" s="328"/>
      <c r="BM32" s="330"/>
      <c r="BN32" s="159"/>
      <c r="BO32" s="150"/>
      <c r="BP32" s="328"/>
      <c r="BQ32" s="328"/>
      <c r="BR32" s="328"/>
      <c r="BS32" s="328"/>
      <c r="BT32" s="328"/>
      <c r="BU32" s="328"/>
      <c r="BV32" s="328"/>
      <c r="BW32" s="328"/>
      <c r="BX32" s="328"/>
      <c r="BY32" s="328"/>
      <c r="BZ32" s="330"/>
      <c r="CA32" s="159"/>
      <c r="CB32" s="150"/>
      <c r="CC32" s="328"/>
      <c r="CD32" s="328"/>
      <c r="CE32" s="328"/>
      <c r="CF32" s="328"/>
      <c r="CG32" s="328"/>
      <c r="CH32" s="328"/>
      <c r="CI32" s="328"/>
      <c r="CJ32" s="328"/>
      <c r="CK32" s="328"/>
      <c r="CL32" s="328"/>
      <c r="CM32" s="330"/>
      <c r="CN32" s="159"/>
      <c r="CO32" s="150"/>
      <c r="CP32" s="328"/>
      <c r="CQ32" s="328"/>
      <c r="CR32" s="328"/>
      <c r="CS32" s="328"/>
      <c r="CT32" s="328"/>
      <c r="CU32" s="328"/>
      <c r="CV32" s="328"/>
      <c r="CW32" s="328"/>
      <c r="CX32" s="328"/>
      <c r="CY32" s="328"/>
      <c r="CZ32" s="330"/>
      <c r="DA32" s="159"/>
      <c r="DB32" s="150"/>
      <c r="DC32" s="328"/>
      <c r="DD32" s="328"/>
      <c r="DE32" s="328"/>
      <c r="DF32" s="328"/>
      <c r="DG32" s="328"/>
      <c r="DH32" s="328"/>
      <c r="DI32" s="328"/>
      <c r="DJ32" s="328"/>
      <c r="DK32" s="328"/>
      <c r="DL32" s="328"/>
      <c r="DM32" s="330"/>
      <c r="DN32" s="159"/>
      <c r="DO32" s="150"/>
      <c r="DP32" s="328"/>
      <c r="DQ32" s="328"/>
      <c r="DR32" s="328"/>
      <c r="DS32" s="328"/>
      <c r="DT32" s="328"/>
      <c r="DU32" s="328"/>
      <c r="DV32" s="328"/>
      <c r="DW32" s="328"/>
      <c r="DX32" s="328"/>
      <c r="DY32" s="328"/>
      <c r="DZ32" s="330"/>
      <c r="EA32" s="159"/>
      <c r="EB32" s="150"/>
      <c r="EC32" s="328"/>
      <c r="ED32" s="328"/>
      <c r="EE32" s="328"/>
      <c r="EF32" s="328"/>
      <c r="EG32" s="328"/>
      <c r="EH32" s="328"/>
      <c r="EI32" s="328"/>
      <c r="EJ32" s="328"/>
      <c r="EK32" s="328"/>
      <c r="EL32" s="328"/>
      <c r="EM32" s="330"/>
      <c r="EN32" s="159"/>
      <c r="EO32" s="150"/>
      <c r="EP32" s="328"/>
      <c r="EQ32" s="328"/>
      <c r="ER32" s="328"/>
      <c r="ES32" s="328"/>
      <c r="ET32" s="328"/>
      <c r="EU32" s="328"/>
      <c r="EV32" s="328"/>
      <c r="EW32" s="328"/>
      <c r="EX32" s="328"/>
      <c r="EY32" s="328"/>
      <c r="EZ32" s="330"/>
      <c r="FA32" s="159"/>
      <c r="FB32" s="150"/>
      <c r="FC32" s="328"/>
      <c r="FD32" s="328"/>
      <c r="FE32" s="328"/>
      <c r="FF32" s="328"/>
      <c r="FG32" s="328"/>
      <c r="FH32" s="328"/>
      <c r="FI32" s="328"/>
      <c r="FJ32" s="328"/>
      <c r="FK32" s="328"/>
      <c r="FL32" s="328"/>
      <c r="FM32" s="330"/>
      <c r="FN32" s="159"/>
      <c r="FO32" s="150"/>
      <c r="FP32" s="328"/>
      <c r="FQ32" s="328"/>
      <c r="FR32" s="328"/>
      <c r="FS32" s="328"/>
      <c r="FT32" s="328"/>
      <c r="FU32" s="328"/>
      <c r="FV32" s="328"/>
      <c r="FW32" s="328"/>
      <c r="FX32" s="328"/>
      <c r="FY32" s="328"/>
      <c r="FZ32" s="330"/>
      <c r="GA32" s="159"/>
      <c r="GB32" s="150"/>
      <c r="GC32" s="328"/>
      <c r="GD32" s="328"/>
      <c r="GE32" s="328"/>
      <c r="GF32" s="328"/>
      <c r="GG32" s="328"/>
      <c r="GH32" s="328"/>
      <c r="GI32" s="328"/>
      <c r="GJ32" s="328"/>
      <c r="GK32" s="328"/>
      <c r="GL32" s="328"/>
      <c r="GM32" s="330"/>
      <c r="GN32" s="159"/>
      <c r="GO32" s="150"/>
      <c r="GP32" s="328"/>
      <c r="GQ32" s="328"/>
      <c r="GR32" s="328"/>
      <c r="GS32" s="328"/>
      <c r="GT32" s="328"/>
      <c r="GU32" s="328"/>
      <c r="GV32" s="328"/>
      <c r="GW32" s="328"/>
      <c r="GX32" s="328"/>
      <c r="GY32" s="328"/>
      <c r="GZ32" s="330"/>
      <c r="HA32" s="159"/>
      <c r="HB32" s="150"/>
      <c r="HC32" s="328"/>
      <c r="HD32" s="328"/>
      <c r="HE32" s="328"/>
      <c r="HF32" s="328"/>
      <c r="HG32" s="328"/>
      <c r="HH32" s="328"/>
      <c r="HI32" s="328"/>
      <c r="HJ32" s="328"/>
      <c r="HK32" s="328"/>
      <c r="HL32" s="328"/>
      <c r="HM32" s="330"/>
      <c r="HN32" s="159"/>
      <c r="HO32" s="150"/>
      <c r="HP32" s="328"/>
      <c r="HQ32" s="328"/>
      <c r="HR32" s="328"/>
      <c r="HS32" s="328"/>
      <c r="HT32" s="328"/>
      <c r="HU32" s="328"/>
      <c r="HV32" s="328"/>
      <c r="HW32" s="328"/>
      <c r="HX32" s="328"/>
      <c r="HY32" s="328"/>
      <c r="HZ32" s="330"/>
      <c r="IA32" s="159"/>
      <c r="IB32" s="150"/>
      <c r="IC32" s="328"/>
      <c r="ID32" s="328"/>
      <c r="IE32" s="328"/>
      <c r="IF32" s="328"/>
      <c r="IG32" s="328"/>
      <c r="IH32" s="328"/>
      <c r="II32" s="328"/>
      <c r="IJ32" s="328"/>
      <c r="IK32" s="328"/>
      <c r="IL32" s="328"/>
      <c r="IM32" s="330"/>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30"/>
      <c r="N38" s="153"/>
      <c r="O38" s="153"/>
      <c r="P38" s="329"/>
      <c r="Q38" s="329"/>
      <c r="R38" s="329"/>
      <c r="S38" s="329"/>
      <c r="T38" s="329"/>
      <c r="U38" s="329"/>
      <c r="V38" s="329"/>
      <c r="W38" s="329"/>
      <c r="X38" s="329"/>
      <c r="Y38" s="329"/>
      <c r="Z38" s="329"/>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30"/>
      <c r="N39" s="153"/>
      <c r="O39" s="153"/>
      <c r="P39" s="329"/>
      <c r="Q39" s="329"/>
      <c r="R39" s="329"/>
      <c r="S39" s="329"/>
      <c r="T39" s="329"/>
      <c r="U39" s="329"/>
      <c r="V39" s="329"/>
      <c r="W39" s="329"/>
      <c r="X39" s="329"/>
      <c r="Y39" s="329"/>
      <c r="Z39" s="329"/>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30"/>
      <c r="N40" s="153"/>
      <c r="O40" s="153"/>
      <c r="P40" s="329"/>
      <c r="Q40" s="329"/>
      <c r="R40" s="329"/>
      <c r="S40" s="329"/>
      <c r="T40" s="329"/>
      <c r="U40" s="329"/>
      <c r="V40" s="329"/>
      <c r="W40" s="329"/>
      <c r="X40" s="329"/>
      <c r="Y40" s="329"/>
      <c r="Z40" s="329"/>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30"/>
    </row>
    <row r="51" spans="1:256" x14ac:dyDescent="0.2">
      <c r="A51" s="159"/>
      <c r="B51" s="150"/>
      <c r="C51" s="328"/>
      <c r="D51" s="328"/>
      <c r="E51" s="328"/>
      <c r="F51" s="328"/>
      <c r="G51" s="328"/>
      <c r="H51" s="328"/>
      <c r="I51" s="328"/>
      <c r="J51" s="328"/>
      <c r="K51" s="328"/>
      <c r="L51" s="328"/>
      <c r="M51" s="330"/>
    </row>
    <row r="52" spans="1:256" x14ac:dyDescent="0.2">
      <c r="A52" s="159"/>
      <c r="B52" s="150"/>
      <c r="C52" s="328"/>
      <c r="D52" s="328"/>
      <c r="E52" s="328"/>
      <c r="F52" s="328"/>
      <c r="G52" s="328"/>
      <c r="H52" s="328"/>
      <c r="I52" s="328"/>
      <c r="J52" s="328"/>
      <c r="K52" s="328"/>
      <c r="L52" s="328"/>
      <c r="M52" s="330"/>
    </row>
    <row r="53" spans="1:256" x14ac:dyDescent="0.2">
      <c r="A53" s="159"/>
      <c r="B53" s="150"/>
      <c r="C53" s="328"/>
      <c r="D53" s="328"/>
      <c r="E53" s="328"/>
      <c r="F53" s="328"/>
      <c r="G53" s="328"/>
      <c r="H53" s="328"/>
      <c r="I53" s="328"/>
      <c r="J53" s="328"/>
      <c r="K53" s="328"/>
      <c r="L53" s="328"/>
      <c r="M53" s="330"/>
    </row>
    <row r="54" spans="1:256" x14ac:dyDescent="0.2">
      <c r="A54" s="159"/>
      <c r="B54" s="150"/>
      <c r="C54" s="328"/>
      <c r="D54" s="328"/>
      <c r="E54" s="328"/>
      <c r="F54" s="328"/>
      <c r="G54" s="328"/>
      <c r="H54" s="328"/>
      <c r="I54" s="328"/>
      <c r="J54" s="328"/>
      <c r="K54" s="328"/>
      <c r="L54" s="328"/>
      <c r="M54" s="330"/>
    </row>
    <row r="55" spans="1:256" x14ac:dyDescent="0.2">
      <c r="A55" s="159"/>
      <c r="B55" s="150"/>
      <c r="C55" s="328"/>
      <c r="D55" s="328"/>
      <c r="E55" s="328"/>
      <c r="F55" s="328"/>
      <c r="G55" s="328"/>
      <c r="H55" s="328"/>
      <c r="I55" s="328"/>
      <c r="J55" s="328"/>
      <c r="K55" s="328"/>
      <c r="L55" s="328"/>
      <c r="M55" s="330"/>
    </row>
    <row r="56" spans="1:256" x14ac:dyDescent="0.2">
      <c r="A56" s="159"/>
      <c r="B56" s="150"/>
      <c r="C56" s="328"/>
      <c r="D56" s="328"/>
      <c r="E56" s="328"/>
      <c r="F56" s="328"/>
      <c r="G56" s="328"/>
      <c r="H56" s="328"/>
      <c r="I56" s="328"/>
      <c r="J56" s="328"/>
      <c r="K56" s="328"/>
      <c r="L56" s="328"/>
      <c r="M56" s="330"/>
    </row>
    <row r="57" spans="1:256" x14ac:dyDescent="0.2">
      <c r="A57" s="159"/>
      <c r="B57" s="150"/>
      <c r="C57" s="328"/>
      <c r="D57" s="328"/>
      <c r="E57" s="328"/>
      <c r="F57" s="328"/>
      <c r="G57" s="328"/>
      <c r="H57" s="328"/>
      <c r="I57" s="328"/>
      <c r="J57" s="328"/>
      <c r="K57" s="328"/>
      <c r="L57" s="328"/>
      <c r="M57" s="330"/>
    </row>
    <row r="58" spans="1:256" x14ac:dyDescent="0.2">
      <c r="A58" s="159"/>
      <c r="B58" s="150"/>
      <c r="C58" s="328"/>
      <c r="D58" s="328"/>
      <c r="E58" s="328"/>
      <c r="F58" s="328"/>
      <c r="G58" s="328"/>
      <c r="H58" s="328"/>
      <c r="I58" s="328"/>
      <c r="J58" s="328"/>
      <c r="K58" s="328"/>
      <c r="L58" s="328"/>
      <c r="M58" s="330"/>
    </row>
    <row r="59" spans="1:256" x14ac:dyDescent="0.2">
      <c r="A59" s="159"/>
      <c r="B59" s="150"/>
      <c r="C59" s="328"/>
      <c r="D59" s="328"/>
      <c r="E59" s="328"/>
      <c r="F59" s="328"/>
      <c r="G59" s="328"/>
      <c r="H59" s="328"/>
      <c r="I59" s="328"/>
      <c r="J59" s="328"/>
      <c r="K59" s="328"/>
      <c r="L59" s="328"/>
      <c r="M59" s="330"/>
    </row>
    <row r="60" spans="1:256" x14ac:dyDescent="0.2">
      <c r="A60" s="159"/>
      <c r="B60" s="150"/>
      <c r="C60" s="328"/>
      <c r="D60" s="328"/>
      <c r="E60" s="328"/>
      <c r="F60" s="328"/>
      <c r="G60" s="328"/>
      <c r="H60" s="328"/>
      <c r="I60" s="328"/>
      <c r="J60" s="328"/>
      <c r="K60" s="328"/>
      <c r="L60" s="328"/>
      <c r="M60" s="330"/>
    </row>
    <row r="61" spans="1:256" x14ac:dyDescent="0.2">
      <c r="A61" s="159"/>
      <c r="B61" s="150"/>
      <c r="C61" s="328"/>
      <c r="D61" s="328"/>
      <c r="E61" s="328"/>
      <c r="F61" s="328"/>
      <c r="G61" s="328"/>
      <c r="H61" s="328"/>
      <c r="I61" s="328"/>
      <c r="J61" s="328"/>
      <c r="K61" s="328"/>
      <c r="L61" s="328"/>
      <c r="M61" s="330"/>
    </row>
    <row r="62" spans="1:256" x14ac:dyDescent="0.2">
      <c r="A62" s="159"/>
      <c r="B62" s="150"/>
      <c r="C62" s="328"/>
      <c r="D62" s="328"/>
      <c r="E62" s="328"/>
      <c r="F62" s="328"/>
      <c r="G62" s="328"/>
      <c r="H62" s="328"/>
      <c r="I62" s="328"/>
      <c r="J62" s="328"/>
      <c r="K62" s="328"/>
      <c r="L62" s="328"/>
      <c r="M62" s="330"/>
    </row>
    <row r="63" spans="1:256" x14ac:dyDescent="0.2">
      <c r="A63" s="159"/>
      <c r="B63" s="150"/>
      <c r="C63" s="328"/>
      <c r="D63" s="328"/>
      <c r="E63" s="328"/>
      <c r="F63" s="328"/>
      <c r="G63" s="328"/>
      <c r="H63" s="328"/>
      <c r="I63" s="328"/>
      <c r="J63" s="328"/>
      <c r="K63" s="328"/>
      <c r="L63" s="328"/>
      <c r="M63" s="330"/>
    </row>
    <row r="64" spans="1:256" x14ac:dyDescent="0.2">
      <c r="A64" s="159"/>
      <c r="B64" s="150"/>
      <c r="C64" s="328"/>
      <c r="D64" s="328"/>
      <c r="E64" s="328"/>
      <c r="F64" s="328"/>
      <c r="G64" s="328"/>
      <c r="H64" s="328"/>
      <c r="I64" s="328"/>
      <c r="J64" s="328"/>
      <c r="K64" s="328"/>
      <c r="L64" s="328"/>
      <c r="M64" s="330"/>
    </row>
    <row r="65" spans="1:13" x14ac:dyDescent="0.2">
      <c r="A65" s="159"/>
      <c r="B65" s="150"/>
      <c r="C65" s="328"/>
      <c r="D65" s="328"/>
      <c r="E65" s="328"/>
      <c r="F65" s="328"/>
      <c r="G65" s="328"/>
      <c r="H65" s="328"/>
      <c r="I65" s="328"/>
      <c r="J65" s="328"/>
      <c r="K65" s="328"/>
      <c r="L65" s="328"/>
      <c r="M65" s="330"/>
    </row>
    <row r="66" spans="1:13" x14ac:dyDescent="0.2">
      <c r="A66" s="159"/>
      <c r="B66" s="150"/>
      <c r="C66" s="328"/>
      <c r="D66" s="328"/>
      <c r="E66" s="328"/>
      <c r="F66" s="328"/>
      <c r="G66" s="328"/>
      <c r="H66" s="328"/>
      <c r="I66" s="328"/>
      <c r="J66" s="328"/>
      <c r="K66" s="328"/>
      <c r="L66" s="328"/>
      <c r="M66" s="330"/>
    </row>
    <row r="67" spans="1:13" x14ac:dyDescent="0.2">
      <c r="A67" s="159"/>
      <c r="B67" s="150"/>
      <c r="C67" s="328"/>
      <c r="D67" s="328"/>
      <c r="E67" s="328"/>
      <c r="F67" s="328"/>
      <c r="G67" s="328"/>
      <c r="H67" s="328"/>
      <c r="I67" s="328"/>
      <c r="J67" s="328"/>
      <c r="K67" s="328"/>
      <c r="L67" s="328"/>
      <c r="M67" s="330"/>
    </row>
    <row r="68" spans="1:13" x14ac:dyDescent="0.2">
      <c r="A68" s="159"/>
      <c r="B68" s="150"/>
      <c r="C68" s="328"/>
      <c r="D68" s="328"/>
      <c r="E68" s="328"/>
      <c r="F68" s="328"/>
      <c r="G68" s="328"/>
      <c r="H68" s="328"/>
      <c r="I68" s="328"/>
      <c r="J68" s="328"/>
      <c r="K68" s="328"/>
      <c r="L68" s="328"/>
      <c r="M68" s="330"/>
    </row>
    <row r="69" spans="1:13" x14ac:dyDescent="0.2">
      <c r="A69" s="159"/>
      <c r="B69" s="150"/>
      <c r="C69" s="328"/>
      <c r="D69" s="328"/>
      <c r="E69" s="328"/>
      <c r="F69" s="328"/>
      <c r="G69" s="328"/>
      <c r="H69" s="328"/>
      <c r="I69" s="328"/>
      <c r="J69" s="328"/>
      <c r="K69" s="328"/>
      <c r="L69" s="328"/>
      <c r="M69" s="330"/>
    </row>
    <row r="70" spans="1:13" ht="12" thickBot="1" x14ac:dyDescent="0.25">
      <c r="A70" s="160"/>
      <c r="B70" s="161"/>
      <c r="C70" s="339"/>
      <c r="D70" s="339"/>
      <c r="E70" s="339"/>
      <c r="F70" s="339"/>
      <c r="G70" s="339"/>
      <c r="H70" s="339"/>
      <c r="I70" s="339"/>
      <c r="J70" s="339"/>
      <c r="K70" s="339"/>
      <c r="L70" s="339"/>
      <c r="M70" s="340"/>
    </row>
    <row r="71" spans="1:13" ht="12" thickTop="1" x14ac:dyDescent="0.2">
      <c r="A71" s="151"/>
      <c r="B71" s="151"/>
      <c r="C71" s="152"/>
      <c r="D71" s="152"/>
      <c r="E71" s="152"/>
      <c r="F71" s="152"/>
      <c r="G71" s="152"/>
      <c r="H71" s="152"/>
      <c r="I71" s="152"/>
      <c r="J71" s="152"/>
      <c r="K71" s="152"/>
      <c r="L71" s="152"/>
    </row>
    <row r="72" spans="1:13" ht="12.75" x14ac:dyDescent="0.2">
      <c r="A72" s="341" t="s">
        <v>831</v>
      </c>
      <c r="B72" s="341"/>
      <c r="C72" s="341"/>
      <c r="D72" s="341"/>
      <c r="E72" s="341"/>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46</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f>IF('School Level Expenditures'!$B$2=A49,'School Tables'!H49,"")</f>
        <v>46</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2023-10-10T19:43:51Z</cp:lastPrinted>
  <dcterms:created xsi:type="dcterms:W3CDTF">1997-12-04T19:04:30Z</dcterms:created>
  <dcterms:modified xsi:type="dcterms:W3CDTF">2023-12-28T16:20:08Z</dcterms:modified>
</cp:coreProperties>
</file>