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06F28C05-C0F0-4FDD-97AE-851CB35F076C}"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'DOE25'!$A$617:$K$657</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34" i="1" l="1"/>
  <c r="F534" i="1"/>
  <c r="G533" i="1"/>
  <c r="F533" i="1"/>
  <c r="G532" i="1"/>
  <c r="F532" i="1"/>
  <c r="I529" i="1"/>
  <c r="G529" i="1"/>
  <c r="F529" i="1"/>
  <c r="G528" i="1"/>
  <c r="F528" i="1"/>
  <c r="I527" i="1"/>
  <c r="G527" i="1"/>
  <c r="F527" i="1"/>
  <c r="G524" i="1" l="1"/>
  <c r="F524" i="1"/>
  <c r="G522" i="1" l="1"/>
  <c r="F522" i="1"/>
  <c r="I605" i="1" l="1"/>
  <c r="J605" i="1"/>
  <c r="H605" i="1"/>
  <c r="G24" i="1"/>
  <c r="F277" i="1"/>
  <c r="J301" i="1"/>
  <c r="I301" i="1"/>
  <c r="H301" i="1"/>
  <c r="G301" i="1"/>
  <c r="F301" i="1"/>
  <c r="I296" i="1"/>
  <c r="H278" i="1"/>
  <c r="G278" i="1"/>
  <c r="G277" i="1"/>
  <c r="F278" i="1"/>
  <c r="I277" i="1"/>
  <c r="H235" i="1" l="1"/>
  <c r="H217" i="1"/>
  <c r="H199" i="1"/>
  <c r="F24" i="1"/>
  <c r="F198" i="1" l="1"/>
  <c r="I198" i="1"/>
  <c r="I216" i="1"/>
  <c r="I234" i="1"/>
  <c r="H234" i="1"/>
  <c r="H216" i="1"/>
  <c r="H198" i="1"/>
  <c r="F68" i="1" l="1"/>
  <c r="H593" i="1" l="1"/>
  <c r="J226" i="1"/>
  <c r="I226" i="1"/>
  <c r="H226" i="1"/>
  <c r="G226" i="1"/>
  <c r="F226" i="1"/>
  <c r="H224" i="1"/>
  <c r="I222" i="1"/>
  <c r="I221" i="1"/>
  <c r="H221" i="1"/>
  <c r="I217" i="1"/>
  <c r="I244" i="1"/>
  <c r="H244" i="1"/>
  <c r="G244" i="1"/>
  <c r="H242" i="1"/>
  <c r="K239" i="1"/>
  <c r="H239" i="1"/>
  <c r="I235" i="1"/>
  <c r="I203" i="1" l="1"/>
  <c r="G198" i="1"/>
  <c r="I208" i="1"/>
  <c r="H208" i="1"/>
  <c r="G208" i="1"/>
  <c r="F208" i="1"/>
  <c r="H206" i="1"/>
  <c r="G206" i="1"/>
  <c r="F206" i="1"/>
  <c r="F204" i="1"/>
  <c r="G204" i="1"/>
  <c r="J204" i="1"/>
  <c r="I204" i="1"/>
  <c r="H203" i="1"/>
  <c r="G203" i="1"/>
  <c r="F203" i="1"/>
  <c r="I199" i="1"/>
  <c r="G199" i="1"/>
  <c r="F199" i="1"/>
  <c r="J199" i="1"/>
  <c r="G234" i="1"/>
  <c r="G216" i="1"/>
  <c r="F234" i="1"/>
  <c r="F216" i="1"/>
  <c r="G245" i="1"/>
  <c r="F245" i="1"/>
  <c r="F244" i="1"/>
  <c r="G242" i="1"/>
  <c r="F242" i="1"/>
  <c r="J240" i="1"/>
  <c r="I240" i="1"/>
  <c r="H240" i="1"/>
  <c r="G240" i="1"/>
  <c r="F240" i="1"/>
  <c r="G239" i="1"/>
  <c r="F239" i="1"/>
  <c r="I237" i="1"/>
  <c r="G235" i="1"/>
  <c r="F235" i="1"/>
  <c r="G224" i="1"/>
  <c r="F224" i="1"/>
  <c r="H222" i="1"/>
  <c r="G222" i="1"/>
  <c r="F222" i="1"/>
  <c r="G221" i="1"/>
  <c r="F221" i="1"/>
  <c r="G217" i="1"/>
  <c r="F217"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C13" i="10" s="1"/>
  <c r="L320" i="1"/>
  <c r="L321" i="1"/>
  <c r="L322" i="1"/>
  <c r="L323" i="1"/>
  <c r="L324" i="1"/>
  <c r="L325" i="1"/>
  <c r="L326" i="1"/>
  <c r="L327" i="1"/>
  <c r="L334" i="1"/>
  <c r="L335" i="1"/>
  <c r="L336" i="1"/>
  <c r="L261" i="1"/>
  <c r="C131" i="2" s="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E120" i="2"/>
  <c r="E124" i="2"/>
  <c r="C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H653" i="1"/>
  <c r="G654" i="1"/>
  <c r="H654" i="1"/>
  <c r="H655" i="1"/>
  <c r="H656" i="1"/>
  <c r="I170" i="1"/>
  <c r="G646" i="1" l="1"/>
  <c r="H97" i="2"/>
  <c r="H93" i="2"/>
  <c r="H87" i="2"/>
  <c r="H61" i="2"/>
  <c r="H35" i="2"/>
  <c r="H26" i="2"/>
  <c r="H38" i="2"/>
  <c r="H43" i="2"/>
  <c r="H101" i="2"/>
  <c r="H22" i="2"/>
  <c r="H143" i="2"/>
  <c r="H477" i="1"/>
  <c r="H625" i="1" s="1"/>
  <c r="J625" i="1" s="1"/>
  <c r="H69" i="2"/>
  <c r="H30" i="2"/>
  <c r="H25" i="2"/>
  <c r="H17" i="2"/>
  <c r="H15" i="2"/>
  <c r="E111" i="2"/>
  <c r="G663" i="1"/>
  <c r="H9" i="2"/>
  <c r="I409" i="1"/>
  <c r="H102" i="2"/>
  <c r="H100" i="2"/>
  <c r="H98" i="2"/>
  <c r="D18" i="13"/>
  <c r="C18" i="13" s="1"/>
  <c r="H99" i="2"/>
  <c r="H76" i="2"/>
  <c r="H125" i="2"/>
  <c r="D144" i="2"/>
  <c r="H96" i="2"/>
  <c r="H80" i="2"/>
  <c r="H132" i="2"/>
  <c r="H36" i="2"/>
  <c r="H42" i="2"/>
  <c r="H44" i="2"/>
  <c r="H48" i="2"/>
  <c r="H79" i="2"/>
  <c r="H58" i="2"/>
  <c r="H28" i="2"/>
  <c r="G409" i="1"/>
  <c r="H646" i="1" s="1"/>
  <c r="H137" i="2"/>
  <c r="H89" i="2"/>
  <c r="H34" i="2"/>
  <c r="H29" i="2"/>
  <c r="H27" i="2"/>
  <c r="J112" i="1"/>
  <c r="E121" i="2"/>
  <c r="E112" i="2"/>
  <c r="H112" i="2" s="1"/>
  <c r="H47" i="2"/>
  <c r="H23" i="2"/>
  <c r="G477" i="1"/>
  <c r="H12" i="2"/>
  <c r="H11" i="2"/>
  <c r="J652" i="1"/>
  <c r="A40" i="12"/>
  <c r="N2" i="14"/>
  <c r="N3" i="14" s="1"/>
  <c r="M2" i="14"/>
  <c r="M3" i="14" s="1"/>
  <c r="C12" i="10"/>
  <c r="C110" i="2"/>
  <c r="D15" i="13"/>
  <c r="C15" i="13" s="1"/>
  <c r="C120" i="2"/>
  <c r="H120" i="2" s="1"/>
  <c r="C121" i="2"/>
  <c r="H121" i="2" s="1"/>
  <c r="C119" i="2"/>
  <c r="D6" i="13"/>
  <c r="C6" i="13" s="1"/>
  <c r="L2" i="14"/>
  <c r="L3" i="14" s="1"/>
  <c r="K2" i="14"/>
  <c r="K3" i="14" s="1"/>
  <c r="H13" i="2"/>
  <c r="G662" i="1"/>
  <c r="D29" i="13"/>
  <c r="C29" i="13" s="1"/>
  <c r="D78" i="2"/>
  <c r="D81" i="2" s="1"/>
  <c r="H77"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H103" i="2" s="1"/>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21" i="2" l="1"/>
  <c r="H85" i="2"/>
  <c r="H122" i="2"/>
  <c r="H57" i="2"/>
  <c r="H134" i="2"/>
  <c r="H16" i="2"/>
  <c r="H123" i="2"/>
  <c r="E128" i="2"/>
  <c r="H119" i="2"/>
  <c r="H118" i="2"/>
  <c r="G24" i="14"/>
  <c r="H24" i="14" s="1"/>
  <c r="I24" i="14" s="1"/>
  <c r="H50" i="2"/>
  <c r="E51" i="2"/>
  <c r="I663" i="1"/>
  <c r="H110" i="2"/>
  <c r="H91" i="2"/>
  <c r="H78" i="2"/>
  <c r="C81" i="2"/>
  <c r="H81" i="2" s="1"/>
  <c r="F194" i="1"/>
  <c r="G628" i="1" s="1"/>
  <c r="J628" i="1" s="1"/>
  <c r="H18" i="2"/>
  <c r="I662" i="1"/>
  <c r="D128" i="2"/>
  <c r="H127" i="2"/>
  <c r="D63" i="2"/>
  <c r="D104" i="2" s="1"/>
  <c r="H62" i="2"/>
  <c r="D51" i="2"/>
  <c r="H31"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s="1"/>
  <c r="C144" i="2"/>
  <c r="H141" i="2"/>
  <c r="M24" i="14"/>
  <c r="H51" i="2"/>
  <c r="H63" i="2"/>
  <c r="D145" i="2"/>
  <c r="H128"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<sst xmlns="http://schemas.openxmlformats.org/spreadsheetml/2006/main" count="6559" uniqueCount="1814">
  <si>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</si>
  <si>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</si>
  <si>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</si>
  <si>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</si>
  <si>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</si>
  <si>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</si>
  <si>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</si>
  <si>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</si>
  <si>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</si>
  <si>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</si>
  <si>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</si>
  <si>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</si>
  <si>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</si>
  <si>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</si>
  <si>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</si>
  <si>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</si>
  <si>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</si>
  <si>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</si>
  <si>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</si>
  <si>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</si>
  <si>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</si>
  <si>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</si>
  <si>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</si>
  <si>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</si>
  <si>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</si>
  <si>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</si>
  <si>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</si>
  <si>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</si>
  <si>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</si>
  <si>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</si>
  <si>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</si>
  <si>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</si>
  <si>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</si>
  <si>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</si>
  <si>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</si>
  <si>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</si>
  <si>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</si>
  <si>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</si>
  <si>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</si>
  <si>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</si>
  <si>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</si>
  <si>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</si>
  <si>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</si>
  <si>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</si>
  <si>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</si>
  <si>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</si>
  <si>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</si>
  <si>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</si>
  <si>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</si>
  <si>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</si>
  <si>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</si>
  <si>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</si>
  <si>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</si>
  <si>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</si>
  <si>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</si>
  <si>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</si>
  <si>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</si>
  <si>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</si>
  <si>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</si>
  <si>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</si>
  <si>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</si>
  <si>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</si>
  <si>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</si>
  <si>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</si>
  <si>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</si>
  <si>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</si>
  <si>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</si>
  <si>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</si>
  <si>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</si>
  <si>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</si>
  <si>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</si>
  <si>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</si>
  <si>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</si>
  <si>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</si>
  <si>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</si>
  <si>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</si>
  <si>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</si>
  <si>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</si>
  <si>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</si>
  <si>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</si>
  <si>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</si>
  <si>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</si>
  <si>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</si>
  <si>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</si>
  <si>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</si>
  <si>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</si>
  <si>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</si>
  <si>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</si>
  <si>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</si>
  <si>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</si>
  <si>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</si>
  <si>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</si>
  <si>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</si>
  <si>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</si>
  <si>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</si>
  <si>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</si>
  <si>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</si>
  <si>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</si>
  <si>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</si>
  <si>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</si>
  <si>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</si>
  <si>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</si>
  <si>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</si>
  <si>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</si>
  <si>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</si>
  <si>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</si>
  <si>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</si>
  <si>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</si>
  <si>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</si>
  <si>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</si>
  <si>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</si>
  <si>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</si>
  <si>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</si>
  <si>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</si>
  <si>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</si>
  <si>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</si>
  <si>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</si>
  <si>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</si>
  <si>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</si>
  <si>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</si>
  <si>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</si>
  <si>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</si>
  <si>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</si>
  <si>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</si>
  <si>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</si>
  <si>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</si>
  <si>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</si>
  <si>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</si>
  <si>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</si>
  <si>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</si>
  <si>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</si>
  <si>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</si>
  <si>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</si>
  <si>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</si>
  <si>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</si>
  <si>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</si>
  <si>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</si>
  <si>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</si>
  <si>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</si>
  <si>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</si>
  <si>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</si>
  <si>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</si>
  <si>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</si>
  <si>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</si>
  <si>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</si>
  <si>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</si>
  <si>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</si>
  <si>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</si>
  <si>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</si>
  <si>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</si>
  <si>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</si>
  <si>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</si>
  <si>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</si>
  <si>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</si>
  <si>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</si>
  <si>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</si>
  <si>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</si>
  <si>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</si>
  <si>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</si>
  <si>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</si>
  <si>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</si>
  <si>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</si>
  <si>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</si>
  <si>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</si>
  <si>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</si>
  <si>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</si>
  <si>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</si>
  <si>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</si>
  <si>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</si>
  <si>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</si>
  <si>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</si>
  <si>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</si>
  <si>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</si>
  <si>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</si>
  <si>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</si>
  <si>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</si>
  <si>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</si>
  <si>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</si>
  <si>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</si>
  <si>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</si>
  <si>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</si>
  <si>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</si>
  <si>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</si>
  <si>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</si>
  <si>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</si>
  <si>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</si>
  <si>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</si>
  <si>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</si>
  <si>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</si>
  <si>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</si>
  <si>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</si>
  <si>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</si>
  <si>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</si>
  <si>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</si>
  <si>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</si>
  <si>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</si>
  <si>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</si>
  <si>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</si>
  <si>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</si>
  <si>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</si>
  <si>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</si>
  <si>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</si>
  <si>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</si>
  <si>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</si>
  <si>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</si>
  <si>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</si>
  <si>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</si>
  <si>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</si>
  <si>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</si>
  <si>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</si>
  <si>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</si>
  <si>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</si>
  <si>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</si>
  <si>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</si>
  <si>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</si>
  <si>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</si>
  <si>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</si>
  <si>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</si>
  <si>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</si>
  <si>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</si>
  <si>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</si>
  <si>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</si>
  <si>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</si>
  <si>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</si>
  <si>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</si>
  <si>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</si>
  <si>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</si>
  <si>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</si>
  <si>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</si>
  <si>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</si>
  <si>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</si>
  <si>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</si>
  <si>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</si>
  <si>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</si>
  <si>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</si>
  <si>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</si>
  <si>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</si>
  <si>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</si>
  <si>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</si>
  <si>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</si>
  <si>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</si>
  <si>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</si>
  <si>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</si>
  <si>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</si>
  <si>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</si>
  <si>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</si>
  <si>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</si>
  <si>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</si>
  <si>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</si>
  <si>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</si>
  <si>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</si>
  <si>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</si>
  <si>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</si>
  <si>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</si>
  <si>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</si>
  <si>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</si>
  <si>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</si>
  <si>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</si>
  <si>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</si>
  <si>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</si>
  <si>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</si>
  <si>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</si>
  <si>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</si>
  <si>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</si>
  <si>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</si>
  <si>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</si>
  <si>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</si>
  <si>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</si>
  <si>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</si>
  <si>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</si>
  <si>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</si>
  <si>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</si>
  <si>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</si>
  <si>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</si>
  <si>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</si>
  <si>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</si>
  <si>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</si>
  <si>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</si>
  <si>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</si>
  <si>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</si>
  <si>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</si>
  <si>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</si>
  <si>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</si>
  <si>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</si>
  <si>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</si>
  <si>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</si>
  <si>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</si>
  <si>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</si>
  <si>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</si>
  <si>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</si>
  <si>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</si>
  <si>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</si>
  <si>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</si>
  <si>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</si>
  <si>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</si>
  <si>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</si>
  <si>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</si>
  <si>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</si>
  <si>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</si>
  <si>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</si>
  <si>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</si>
  <si>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</si>
  <si>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</si>
  <si>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</si>
  <si>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</si>
  <si>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</si>
  <si>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</si>
  <si>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</si>
  <si>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</si>
  <si>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</si>
  <si>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</si>
  <si>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</si>
  <si>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</si>
  <si>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</si>
  <si>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</si>
  <si>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</si>
  <si>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</si>
  <si>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</si>
  <si>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</si>
  <si>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</si>
  <si>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</si>
  <si>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</si>
  <si>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</si>
  <si>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</si>
  <si>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</si>
  <si>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</si>
  <si>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</si>
  <si>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</si>
  <si>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</si>
  <si>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</si>
  <si>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</si>
  <si>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</si>
  <si>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</si>
  <si>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</si>
  <si>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</si>
  <si>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</si>
  <si>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</si>
  <si>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</si>
  <si>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</si>
  <si>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</si>
  <si>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</si>
  <si>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</si>
  <si>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</si>
  <si>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</si>
  <si>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</si>
  <si>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</si>
  <si>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</si>
  <si>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</si>
  <si>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</si>
  <si>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</si>
  <si>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</si>
  <si>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</si>
  <si>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</si>
  <si>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</si>
  <si>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</si>
  <si>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</si>
  <si>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</si>
  <si>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</si>
  <si>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</si>
  <si>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</si>
  <si>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</si>
  <si>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</si>
  <si>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</si>
  <si>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</si>
  <si>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</si>
  <si>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</si>
  <si>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</si>
  <si>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</si>
  <si>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</si>
  <si>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</si>
  <si>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</si>
  <si>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</si>
  <si>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</si>
  <si>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</si>
  <si>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</si>
  <si>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</si>
  <si>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</si>
  <si>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</si>
  <si>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</si>
  <si>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</si>
  <si>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</si>
  <si>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</si>
  <si>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</si>
  <si>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</si>
  <si>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</si>
  <si>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</si>
  <si>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</si>
  <si>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</si>
  <si>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</si>
  <si>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</si>
  <si>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</si>
  <si>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</si>
  <si>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</si>
  <si>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</si>
  <si>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</si>
  <si>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</si>
  <si>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</si>
  <si>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</si>
  <si>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</si>
  <si>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</si>
  <si>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</si>
  <si>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</si>
  <si>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</si>
  <si>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</si>
  <si>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</si>
  <si>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</si>
  <si>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</si>
  <si>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</si>
  <si>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</si>
  <si>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</si>
  <si>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</si>
  <si>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</si>
  <si>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</si>
  <si>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</si>
  <si>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</si>
  <si>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</si>
  <si>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</si>
  <si>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</si>
  <si>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</si>
  <si>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</si>
  <si>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</si>
  <si>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</si>
  <si>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</si>
  <si>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</si>
  <si>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</si>
  <si>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</si>
  <si>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</si>
  <si>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</si>
  <si>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</si>
  <si>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</si>
  <si>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</si>
  <si>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</si>
  <si>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</si>
  <si>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</si>
  <si>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</si>
  <si>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</si>
  <si>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</si>
  <si>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</si>
  <si>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</si>
  <si>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</si>
  <si>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</si>
  <si>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</si>
  <si>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</si>
  <si>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</si>
  <si>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</si>
  <si>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</si>
  <si>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</si>
  <si>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</si>
  <si>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</si>
  <si>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</si>
  <si>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</si>
  <si>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</si>
  <si>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</si>
  <si>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</si>
  <si>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</si>
  <si>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</si>
  <si>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</si>
  <si>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</si>
  <si>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</si>
  <si>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</si>
  <si>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</si>
  <si>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</si>
  <si>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</si>
  <si>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</si>
  <si>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</si>
  <si>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</si>
  <si>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</si>
  <si>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</si>
  <si>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</si>
  <si>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</si>
  <si>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</si>
  <si>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</si>
  <si>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</si>
  <si>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</si>
  <si>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</si>
  <si>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</si>
  <si>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</si>
  <si>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</si>
  <si>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</si>
  <si>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</si>
  <si>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</si>
  <si>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</si>
  <si>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</si>
  <si>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</si>
  <si>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</si>
  <si>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</si>
  <si>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</si>
  <si>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</si>
  <si>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</si>
  <si>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</si>
  <si>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</si>
  <si>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</si>
  <si>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</si>
  <si>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</si>
  <si>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</si>
  <si>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</si>
  <si>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</si>
  <si>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</si>
  <si>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</si>
  <si>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</si>
  <si>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</si>
  <si>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</si>
  <si>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</si>
  <si>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</si>
  <si>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</si>
  <si>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</si>
  <si>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</si>
  <si>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</si>
  <si>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</si>
  <si>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</si>
  <si>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</si>
  <si>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</si>
  <si>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</si>
  <si>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</si>
  <si>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</si>
  <si>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</si>
  <si>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</si>
  <si>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</si>
  <si>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</si>
  <si>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</si>
  <si>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</si>
  <si>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</si>
  <si>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</si>
  <si>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</si>
  <si>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</si>
  <si>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</si>
  <si>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</si>
  <si>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</si>
  <si>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</si>
  <si>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</si>
  <si>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</si>
  <si>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</si>
  <si>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</si>
  <si>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</si>
  <si>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</si>
  <si>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</si>
  <si>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</si>
  <si>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</si>
  <si>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</si>
  <si>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</si>
  <si>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</si>
  <si>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</si>
  <si>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</si>
  <si>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</si>
  <si>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</si>
  <si>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</si>
  <si>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</si>
  <si>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</si>
  <si>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</si>
  <si>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</si>
  <si>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</si>
  <si>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</si>
  <si>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</si>
  <si>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</si>
  <si>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</si>
  <si>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</si>
  <si>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</si>
  <si>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</si>
  <si>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</si>
  <si>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</si>
  <si>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</si>
  <si>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</si>
  <si>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</si>
  <si>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</si>
  <si>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</si>
  <si>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</si>
  <si>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</si>
  <si>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</si>
  <si>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</si>
  <si>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</si>
  <si>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</si>
  <si>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</si>
  <si>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</si>
  <si>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</si>
  <si>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</si>
  <si>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</si>
  <si>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</si>
  <si>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</si>
  <si>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</si>
  <si>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</si>
  <si>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</si>
  <si>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</si>
  <si>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</si>
  <si>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</si>
  <si>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</si>
  <si>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</si>
  <si>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</si>
  <si>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</si>
  <si>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</si>
  <si>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</si>
  <si>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</si>
  <si>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</si>
  <si>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</si>
  <si>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</si>
  <si>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</si>
  <si>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</si>
  <si>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</si>
  <si>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</si>
  <si>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</si>
  <si>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</si>
  <si>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</si>
  <si>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</si>
  <si>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</si>
  <si>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</si>
  <si>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</si>
  <si>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</si>
  <si>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</si>
  <si>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</si>
  <si>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</si>
  <si>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</si>
  <si>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</si>
  <si>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</si>
  <si>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</si>
  <si>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</si>
  <si>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</si>
  <si>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</si>
  <si>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</si>
  <si>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</si>
  <si>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</si>
  <si>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</si>
  <si>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</si>
  <si>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</si>
  <si>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</si>
  <si>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</si>
  <si>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</si>
  <si>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</si>
  <si>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</si>
  <si>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</si>
  <si>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</si>
  <si>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</si>
  <si>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</si>
  <si>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</si>
  <si>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</si>
  <si>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</si>
  <si>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</si>
  <si>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</si>
  <si>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</si>
  <si>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</si>
  <si>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</si>
  <si>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</si>
  <si>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</si>
  <si>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</si>
  <si>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</si>
  <si>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</si>
  <si>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</si>
  <si>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</si>
  <si>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</si>
  <si>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</si>
  <si>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</si>
  <si>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</si>
  <si>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</si>
  <si>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</si>
  <si>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</si>
  <si>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</si>
  <si>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</si>
  <si>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</si>
  <si>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</si>
  <si>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</si>
  <si>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</si>
  <si>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</si>
  <si>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</si>
  <si>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</si>
  <si>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</si>
  <si>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</si>
  <si>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</si>
  <si>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</si>
  <si>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</si>
  <si>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</si>
  <si>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</si>
  <si>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</si>
  <si>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</si>
  <si>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</si>
  <si>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</si>
  <si>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</si>
  <si>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</si>
  <si>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</si>
  <si>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</si>
  <si>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</si>
  <si>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</si>
  <si>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</si>
  <si>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</si>
  <si>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</si>
  <si>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</si>
  <si>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</si>
  <si>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</si>
  <si>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</si>
  <si>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</si>
  <si>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</si>
  <si>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</si>
  <si>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</si>
  <si>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</si>
  <si>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</si>
  <si>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</si>
  <si>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</si>
  <si>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</si>
  <si>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</si>
  <si>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</si>
  <si>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</si>
  <si>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</si>
  <si>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</si>
  <si>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</si>
  <si>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</si>
  <si>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</si>
  <si>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</si>
  <si>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</si>
  <si>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</si>
  <si>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</si>
  <si>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</si>
  <si>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</si>
  <si>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</si>
  <si>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</si>
  <si>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</si>
  <si>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</si>
  <si>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</si>
  <si>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</si>
  <si>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</si>
  <si>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</si>
  <si>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</si>
  <si>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</si>
  <si>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</si>
  <si>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</si>
  <si>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</si>
  <si>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</si>
  <si>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</si>
  <si>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</si>
  <si>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</si>
  <si>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</si>
  <si>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</si>
  <si>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</si>
  <si>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</si>
  <si>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</si>
  <si>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</si>
  <si>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</si>
  <si>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</si>
  <si>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</si>
  <si>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</si>
  <si>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</si>
  <si>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</si>
  <si>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</si>
  <si>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</si>
  <si>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</si>
  <si>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</si>
  <si>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</si>
  <si>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</si>
  <si>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</si>
  <si>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</si>
  <si>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</si>
  <si>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</si>
  <si>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</si>
  <si>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</si>
  <si>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</si>
  <si>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</si>
  <si>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</si>
  <si>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</si>
  <si>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</si>
  <si>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</si>
  <si>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</si>
  <si>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</si>
  <si>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</si>
  <si>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</si>
  <si>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</si>
  <si>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</si>
  <si>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</si>
  <si>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</si>
  <si>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</si>
  <si>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</si>
  <si>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</si>
  <si>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</si>
  <si>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</si>
  <si>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</si>
  <si>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</si>
  <si>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</si>
  <si>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</si>
  <si>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</si>
  <si>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</si>
  <si>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</si>
  <si>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</si>
  <si>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</si>
  <si>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</si>
  <si>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</si>
  <si>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</si>
  <si>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</si>
  <si>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</si>
  <si>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</si>
  <si>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</si>
  <si>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</si>
  <si>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</si>
  <si>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</si>
  <si>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</si>
  <si>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</si>
  <si>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</si>
  <si>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</si>
  <si>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</si>
  <si>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</si>
  <si>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</si>
  <si>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</si>
  <si>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</si>
  <si>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</si>
  <si>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</si>
  <si>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</si>
  <si>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</si>
  <si>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</si>
  <si>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</si>
  <si>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</si>
  <si>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</si>
  <si>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</si>
  <si>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</si>
  <si>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</si>
  <si>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</si>
  <si>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</si>
  <si>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</si>
  <si>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</si>
  <si>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</si>
  <si>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</si>
  <si>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</si>
  <si>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</si>
  <si>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</si>
  <si>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</si>
  <si>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</si>
  <si>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</si>
  <si>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</si>
  <si>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</si>
  <si>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</si>
  <si>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</si>
  <si>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</si>
  <si>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</si>
  <si>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</si>
  <si>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</si>
  <si>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</si>
  <si>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</si>
  <si>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</si>
  <si>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</si>
  <si>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</si>
  <si>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</si>
  <si>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</si>
  <si>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</si>
  <si>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</si>
  <si>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</si>
  <si>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</si>
  <si>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</si>
  <si>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</si>
  <si>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</si>
  <si>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</si>
  <si>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</si>
  <si>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</si>
  <si>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</si>
  <si>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</si>
  <si>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</si>
  <si>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</si>
  <si>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</si>
  <si>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</si>
  <si>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</si>
  <si>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</si>
  <si>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</si>
  <si>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</si>
  <si>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</si>
  <si>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</si>
  <si>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</si>
  <si>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</si>
  <si>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</si>
  <si>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</si>
  <si>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</si>
  <si>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</si>
  <si>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</si>
  <si>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</si>
  <si>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</si>
  <si>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</si>
  <si>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</si>
  <si>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</si>
  <si>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</si>
  <si>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</si>
  <si>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</si>
  <si>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</si>
  <si>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</si>
  <si>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</si>
  <si>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</si>
  <si>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</si>
  <si>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</si>
  <si>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</si>
  <si>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</si>
  <si>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</si>
  <si>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</si>
  <si>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</si>
  <si>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</si>
  <si>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</si>
  <si>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</si>
  <si>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</si>
  <si>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</si>
  <si>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</si>
  <si>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</si>
  <si>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</si>
  <si>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</si>
  <si>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</si>
  <si>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</si>
  <si>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</si>
  <si>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</si>
  <si>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</si>
  <si>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</si>
  <si>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</si>
  <si>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</si>
  <si>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</si>
  <si>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</si>
  <si>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</si>
  <si>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</si>
  <si>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</si>
  <si>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</si>
  <si>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</si>
  <si>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</si>
  <si>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</si>
  <si>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</si>
  <si>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</si>
  <si>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</si>
  <si>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</si>
  <si>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</si>
  <si>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</si>
  <si>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</si>
  <si>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</si>
  <si>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</si>
  <si>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</si>
  <si>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</si>
  <si>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</si>
  <si>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</si>
  <si>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</si>
  <si>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</si>
  <si>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</si>
  <si>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</si>
  <si>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</si>
  <si>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</si>
  <si>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</si>
  <si>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</si>
  <si>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</si>
  <si>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</si>
  <si>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</si>
  <si>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</si>
  <si>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</si>
  <si>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</si>
  <si>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</si>
  <si>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</si>
  <si>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</si>
  <si>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</si>
  <si>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</si>
  <si>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</si>
  <si>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</si>
  <si>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</si>
  <si>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</si>
  <si>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</si>
  <si>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</si>
  <si>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</si>
  <si>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</si>
  <si>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</si>
  <si>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</si>
  <si>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</si>
  <si>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</si>
  <si>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</si>
  <si>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</si>
  <si>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</si>
  <si>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</si>
  <si>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</si>
  <si>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</si>
  <si>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</si>
  <si>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</si>
  <si>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</si>
  <si>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</si>
  <si>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</si>
  <si>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</si>
  <si>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</si>
  <si>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</si>
  <si>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</si>
  <si>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</si>
  <si>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</si>
  <si>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</si>
  <si>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</si>
  <si>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</si>
  <si>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</si>
  <si>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</si>
  <si>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</si>
  <si>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</si>
  <si>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</si>
  <si>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</si>
  <si>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</si>
  <si>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</si>
  <si>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</si>
  <si>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</si>
  <si>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</si>
  <si>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</si>
  <si>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</si>
  <si>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</si>
  <si>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</si>
  <si>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</si>
  <si>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</si>
  <si>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</si>
  <si>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</si>
  <si>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</si>
  <si>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</si>
  <si>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</si>
  <si>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</si>
  <si>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</si>
  <si>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</si>
  <si>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</si>
  <si>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</si>
  <si>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</si>
  <si>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</si>
  <si>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</si>
  <si>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</si>
  <si>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</si>
  <si>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</si>
  <si>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</si>
  <si>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</si>
  <si>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</si>
  <si>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</si>
  <si>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</si>
  <si>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</si>
  <si>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</si>
  <si>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</si>
  <si>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</si>
  <si>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</si>
  <si>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</si>
  <si>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</si>
  <si>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</si>
  <si>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</si>
  <si>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</si>
  <si>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</si>
  <si>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</si>
  <si>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</si>
  <si>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</si>
  <si>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</si>
  <si>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</si>
  <si>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</si>
  <si>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</si>
  <si>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</si>
  <si>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</si>
  <si>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</si>
  <si>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</si>
  <si>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</si>
  <si>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</si>
  <si>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</si>
  <si>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</si>
  <si>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</si>
  <si>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</si>
  <si>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</si>
  <si>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</si>
  <si>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</si>
  <si>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</si>
  <si>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</si>
  <si>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</si>
  <si>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</si>
  <si>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</si>
  <si>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</si>
  <si>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</si>
  <si>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</si>
  <si>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</si>
  <si>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</si>
  <si>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</si>
  <si>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</si>
  <si>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</si>
  <si>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</si>
  <si>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</si>
  <si>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</si>
  <si>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</si>
  <si>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</si>
  <si>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</si>
  <si>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</si>
  <si>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</si>
  <si>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</si>
  <si>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</si>
  <si>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</si>
  <si>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</si>
  <si>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</si>
  <si>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</si>
  <si>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</si>
  <si>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</si>
  <si>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</si>
  <si>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</si>
  <si>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</si>
  <si>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</si>
  <si>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</si>
  <si>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</si>
  <si>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</si>
  <si>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</si>
  <si>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</si>
  <si>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</si>
  <si>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</si>
  <si>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</si>
  <si>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</si>
  <si>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</si>
  <si>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</si>
  <si>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</si>
  <si>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</si>
  <si>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</si>
  <si>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</si>
  <si>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</si>
  <si>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</si>
  <si>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</si>
  <si>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</si>
  <si>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</si>
  <si>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</si>
  <si>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</si>
  <si>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</si>
  <si>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</si>
  <si>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</si>
  <si>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</si>
  <si>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</si>
  <si>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</si>
  <si>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</si>
  <si>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</si>
  <si>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</si>
  <si>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</si>
  <si>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</si>
  <si>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</si>
  <si>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</si>
  <si>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</si>
  <si>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</si>
  <si>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</si>
  <si>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</si>
  <si>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</si>
  <si>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</si>
  <si>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</si>
  <si>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</si>
  <si>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</si>
  <si>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</si>
  <si>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</si>
  <si>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</si>
  <si>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</si>
  <si>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</si>
  <si>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</si>
  <si>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</si>
  <si>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</si>
  <si>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</si>
  <si>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</si>
  <si>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</si>
  <si>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</si>
  <si>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</si>
  <si>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</si>
  <si>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</si>
  <si>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</si>
  <si>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</si>
  <si>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</si>
  <si>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</si>
  <si>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</si>
  <si>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</si>
  <si>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</si>
  <si>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</si>
  <si>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</si>
  <si>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</si>
  <si>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</si>
  <si>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</si>
  <si>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</si>
  <si>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</si>
  <si>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</si>
  <si>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</si>
  <si>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</si>
  <si>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</si>
  <si>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</si>
  <si>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</si>
  <si>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</si>
  <si>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</si>
  <si>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</si>
  <si>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</si>
  <si>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</si>
  <si>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</si>
  <si>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</si>
  <si>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</si>
  <si>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</si>
  <si>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</si>
  <si>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</si>
  <si>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</si>
  <si>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</si>
  <si>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</si>
  <si>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</si>
  <si>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</si>
  <si>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</si>
  <si>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</si>
  <si>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</si>
  <si>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</si>
  <si>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</si>
  <si>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</si>
  <si>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</si>
  <si>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</si>
  <si>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</si>
  <si>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</si>
  <si>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</si>
  <si>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</si>
  <si>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</si>
  <si>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</si>
  <si>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</si>
  <si>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</si>
  <si>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</si>
  <si>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</si>
  <si>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</si>
  <si>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</si>
  <si>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</si>
  <si>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</si>
  <si>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</si>
  <si>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</si>
  <si>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</si>
  <si>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</si>
  <si>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</si>
  <si>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</si>
  <si>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</si>
  <si>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</si>
  <si>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</si>
  <si>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</si>
  <si>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</si>
  <si>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</si>
  <si>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</si>
  <si>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</si>
  <si>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</si>
  <si>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</si>
  <si>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</si>
  <si>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</si>
  <si>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</si>
  <si>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</si>
  <si>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</si>
  <si>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</si>
  <si>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</si>
  <si>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</si>
  <si>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</si>
  <si>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</si>
  <si>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</si>
  <si>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</si>
  <si>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</si>
  <si>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</si>
  <si>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</si>
  <si>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</si>
  <si>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</si>
  <si>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</si>
  <si>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</si>
  <si>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</si>
  <si>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</si>
  <si>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</si>
  <si>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</si>
  <si>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</si>
  <si>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</si>
  <si>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</si>
  <si>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</si>
  <si>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</si>
  <si>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</si>
  <si>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</si>
  <si>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</si>
  <si>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</si>
  <si>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</si>
  <si>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</si>
  <si>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</si>
  <si>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</si>
  <si>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</si>
  <si>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</si>
  <si>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</si>
  <si>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</si>
  <si>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</si>
  <si>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</si>
  <si>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</si>
  <si>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</si>
  <si>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</si>
  <si>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</si>
  <si>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</si>
  <si>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</si>
  <si>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</si>
  <si>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</si>
  <si>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</si>
  <si>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</si>
  <si>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</si>
  <si>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</si>
  <si>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</si>
  <si>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</si>
  <si>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</si>
  <si>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</si>
  <si>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</si>
  <si>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</si>
  <si>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</si>
  <si>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</si>
  <si>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</si>
  <si>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</si>
  <si>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</si>
  <si>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</si>
  <si>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</si>
  <si>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</si>
  <si>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</si>
  <si>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</si>
  <si>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</si>
  <si>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</si>
  <si>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</si>
  <si>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</si>
  <si>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</si>
  <si>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</si>
  <si>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</si>
  <si>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</si>
  <si>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</si>
  <si>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</si>
  <si>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</si>
  <si>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</si>
  <si>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</si>
  <si>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</si>
  <si>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</si>
  <si>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</si>
  <si>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</si>
  <si>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</si>
  <si>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</si>
  <si>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</si>
  <si>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</si>
  <si>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</si>
  <si>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</si>
  <si>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</si>
  <si>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</si>
  <si>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</si>
  <si>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</si>
  <si>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</si>
  <si>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</si>
  <si>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</si>
  <si>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</si>
  <si>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</si>
  <si>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</si>
  <si>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</si>
  <si>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</si>
  <si>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</si>
  <si>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</si>
  <si>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</si>
  <si>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</si>
  <si>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</si>
  <si>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</si>
  <si>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</si>
  <si>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</si>
  <si>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</si>
  <si>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</si>
  <si>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</si>
  <si>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</si>
  <si>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</si>
  <si>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</si>
  <si>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</si>
  <si>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</si>
  <si>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</si>
  <si>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</si>
  <si>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</si>
  <si>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</si>
  <si>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</si>
  <si>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</si>
  <si>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</si>
  <si>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</si>
  <si>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</si>
  <si>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</si>
  <si>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</si>
  <si>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</si>
  <si>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</si>
  <si>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</si>
  <si>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</si>
  <si>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</si>
  <si>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</si>
  <si>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</si>
  <si>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</si>
  <si>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</si>
  <si>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</si>
  <si>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</si>
  <si>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</si>
  <si>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</si>
  <si>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</si>
  <si>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</si>
  <si>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</si>
  <si>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</si>
  <si>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</si>
  <si>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</si>
  <si>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</si>
  <si>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</si>
  <si>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</si>
  <si>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</si>
  <si>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</si>
  <si>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</si>
  <si>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</si>
  <si>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</si>
  <si>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</si>
  <si>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</si>
  <si>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</si>
  <si>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</si>
  <si>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</si>
  <si>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</si>
  <si>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</si>
  <si>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</si>
  <si>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</si>
  <si>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</si>
  <si>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</si>
  <si>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</si>
  <si>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</si>
  <si>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</si>
  <si>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</si>
  <si>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</si>
  <si>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</si>
  <si>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</si>
  <si>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</si>
  <si>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</si>
  <si>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</si>
  <si>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</si>
  <si>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</si>
  <si>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</si>
  <si>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</si>
  <si>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</si>
  <si>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</si>
  <si>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</si>
  <si>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</si>
  <si>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</si>
  <si>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</si>
  <si>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</si>
  <si>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</si>
  <si>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</si>
  <si>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</si>
  <si>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</si>
  <si>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</si>
  <si>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</si>
  <si>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</si>
  <si>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</si>
  <si>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</si>
  <si>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</si>
  <si>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</si>
  <si>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</si>
  <si>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</si>
  <si>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</si>
  <si>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</si>
  <si>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</si>
  <si>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</si>
  <si>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</si>
  <si>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</si>
  <si>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</si>
  <si>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</si>
  <si>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</si>
  <si>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</si>
  <si>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</si>
  <si>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</si>
  <si>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</si>
  <si>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</si>
  <si>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</si>
  <si>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</si>
  <si>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</si>
  <si>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</si>
  <si>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</si>
  <si>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</si>
  <si>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</si>
  <si>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</si>
  <si>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</si>
  <si>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</si>
  <si>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</si>
  <si>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</si>
  <si>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</si>
  <si>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</si>
  <si>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</si>
  <si>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</si>
  <si>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</si>
  <si>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</si>
  <si>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</si>
  <si>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</si>
  <si>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</si>
  <si>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</si>
  <si>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</si>
  <si>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</si>
  <si>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</si>
  <si>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</si>
  <si>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</si>
  <si>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</si>
  <si>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</si>
  <si>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</si>
  <si>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</si>
  <si>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</si>
  <si>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</si>
  <si>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</si>
  <si>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</si>
  <si>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</si>
  <si>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</si>
  <si>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</si>
  <si>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</si>
  <si>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</si>
  <si>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</si>
  <si>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</si>
  <si>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</si>
  <si>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</si>
  <si>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</si>
  <si>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</si>
  <si>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</si>
  <si>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</si>
  <si>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</si>
  <si>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</si>
  <si>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</si>
  <si>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</si>
  <si>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</si>
  <si>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</si>
  <si>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</si>
  <si>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</si>
  <si>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</si>
  <si>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</si>
  <si>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</si>
  <si>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</si>
  <si>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</si>
  <si>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</si>
  <si>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</si>
  <si>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</si>
  <si>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</si>
  <si>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</si>
  <si>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</si>
  <si>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</si>
  <si>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</si>
  <si>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</si>
  <si>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</si>
  <si>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</si>
  <si>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</si>
  <si>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</si>
  <si>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</si>
  <si>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</si>
  <si>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</si>
  <si>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</si>
  <si>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</si>
  <si>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</si>
  <si>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</si>
  <si>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</si>
  <si>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</si>
  <si>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</si>
  <si>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</si>
  <si>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</si>
  <si>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</si>
  <si>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</si>
  <si>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</si>
  <si>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</si>
  <si>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</si>
  <si>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</si>
  <si>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</si>
  <si>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</si>
  <si>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</si>
  <si>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</si>
  <si>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</si>
  <si>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</si>
  <si>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</si>
  <si>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</si>
  <si>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</si>
  <si>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</si>
  <si>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</si>
  <si>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</si>
  <si>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</si>
  <si>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</si>
  <si>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</si>
  <si>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</si>
  <si>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</si>
  <si>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</si>
  <si>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</si>
  <si>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</si>
  <si>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</si>
  <si>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</si>
  <si>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</si>
  <si>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</si>
  <si>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</si>
  <si>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</si>
  <si>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</si>
  <si>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</si>
  <si>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</si>
  <si>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</si>
  <si>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</si>
  <si>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</si>
  <si>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</si>
  <si>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</si>
  <si>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</si>
  <si>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</si>
  <si>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</si>
  <si>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</si>
  <si>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</si>
  <si>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</si>
  <si>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</si>
  <si>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</si>
  <si>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</si>
  <si>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</si>
  <si>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</si>
  <si>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</si>
  <si>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</si>
  <si>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</si>
  <si>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</si>
  <si>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</si>
  <si>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</si>
  <si>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</si>
  <si>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</si>
  <si>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</si>
  <si>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</si>
  <si>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</si>
  <si>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</si>
  <si>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</si>
  <si>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</si>
  <si>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</si>
  <si>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</si>
  <si>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</si>
  <si>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</si>
  <si>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</si>
  <si>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</si>
  <si>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</si>
  <si>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</si>
  <si>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</si>
  <si>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</si>
  <si>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</si>
  <si>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</si>
  <si>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</si>
  <si>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</si>
  <si>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</si>
  <si>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</si>
  <si>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</si>
  <si>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</si>
  <si>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</si>
  <si>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</si>
  <si>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</si>
  <si>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</si>
  <si>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</si>
  <si>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</si>
  <si>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</si>
  <si>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</si>
  <si>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</si>
  <si>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</si>
  <si>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</si>
  <si>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</si>
  <si>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</si>
  <si>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</si>
  <si>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</si>
  <si>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</si>
  <si>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</si>
  <si>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</si>
  <si>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</si>
  <si>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</si>
  <si>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</si>
  <si>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</si>
  <si>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</si>
  <si>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</si>
  <si>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</si>
  <si>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</si>
  <si>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</si>
  <si>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</si>
  <si>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</si>
  <si>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</si>
  <si>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</si>
  <si>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</si>
  <si>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</si>
  <si>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</si>
  <si>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</si>
  <si>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</si>
  <si>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</si>
  <si>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</si>
  <si>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</si>
  <si>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</si>
  <si>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</si>
  <si>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</si>
  <si>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</si>
  <si>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</si>
  <si>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</si>
  <si>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</si>
  <si>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</si>
  <si>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</si>
  <si>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</si>
  <si>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</si>
  <si>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</si>
  <si>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</si>
  <si>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</si>
  <si>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</si>
  <si>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</si>
  <si>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</si>
  <si>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</si>
  <si>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</si>
  <si>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</si>
  <si>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</si>
  <si>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</si>
  <si>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</si>
  <si>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</si>
  <si>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</si>
  <si>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</si>
  <si>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</si>
  <si>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</si>
  <si>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</si>
  <si>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</si>
  <si>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</si>
  <si>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</si>
  <si>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</si>
  <si>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</si>
  <si>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</si>
  <si>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</si>
  <si>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</si>
  <si>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</si>
  <si>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</si>
  <si>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</si>
  <si>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</si>
  <si>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</si>
  <si>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</si>
  <si>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</si>
  <si>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</si>
  <si>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</si>
  <si>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</si>
  <si>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</si>
  <si>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</si>
  <si>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</si>
  <si>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</si>
  <si>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</si>
  <si>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</si>
  <si>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</si>
  <si>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</si>
  <si>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</si>
  <si>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</si>
  <si>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</si>
  <si>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</si>
  <si>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</si>
  <si>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</si>
  <si>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</si>
  <si>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</si>
  <si>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</si>
  <si>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</si>
  <si>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</si>
  <si>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</si>
  <si>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</si>
  <si>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</si>
  <si>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</si>
  <si>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</si>
  <si>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</si>
  <si>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</si>
  <si>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</si>
  <si>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</si>
  <si>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</si>
  <si>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</si>
  <si>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</si>
  <si>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</si>
  <si>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</si>
  <si>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</si>
  <si>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</si>
  <si>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</si>
  <si>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</si>
  <si>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</si>
  <si>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</si>
  <si>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</si>
  <si>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</si>
  <si>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</si>
  <si>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</si>
  <si>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</si>
  <si>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</si>
  <si>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</si>
  <si>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</si>
  <si>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</si>
  <si>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</si>
  <si>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</si>
  <si>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</si>
  <si>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</si>
  <si>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</si>
  <si>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</si>
  <si>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</si>
  <si>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</si>
  <si>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</si>
  <si>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</si>
  <si>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</si>
  <si>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</si>
  <si>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</si>
  <si>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</si>
  <si>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</si>
  <si>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</si>
  <si>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</si>
  <si>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</si>
  <si>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</si>
  <si>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</si>
  <si>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</si>
  <si>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</si>
  <si>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</si>
  <si>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</si>
  <si>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</si>
  <si>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</si>
  <si>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</si>
  <si>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</si>
  <si>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</si>
  <si>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</si>
  <si>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</si>
  <si>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</si>
  <si>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</si>
  <si>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</si>
  <si>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</si>
  <si>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</si>
  <si>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</si>
  <si>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</si>
  <si>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</si>
  <si>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</si>
  <si>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</si>
  <si>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</si>
  <si>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</si>
  <si>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</si>
  <si>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</si>
  <si>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</si>
  <si>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</si>
  <si>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</si>
  <si>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</si>
  <si>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</si>
  <si>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</si>
  <si>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</si>
  <si>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</si>
  <si>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</si>
  <si>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</si>
  <si>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</si>
  <si>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</si>
  <si>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</si>
  <si>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</si>
  <si>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</si>
  <si>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</si>
  <si>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</si>
  <si>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</si>
  <si>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</si>
  <si>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</si>
  <si>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</si>
  <si>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</si>
  <si>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</si>
  <si>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</si>
  <si>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</si>
  <si>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</si>
  <si>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</si>
  <si>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</si>
  <si>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</si>
  <si>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</si>
  <si>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</si>
  <si>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</si>
  <si>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</si>
  <si>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</si>
  <si>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</si>
  <si>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</si>
  <si>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</si>
  <si>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</si>
  <si>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8/13</t>
  </si>
  <si>
    <t>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</si>
</sst>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955</v>
      </c>
      <c r="B2">
        <f>INDEX('School Tables'!$AH$3:$AH$209,MATCH('DOE25'!A2,'School Tables'!$AJ$3:$AJ$209,0))</f>
        <v>101</v>
      </c>
      <c r="C2">
        <f>INDEX('School Tables'!$AI$3:$AI$209,MATCH('DOE25'!A2,'School Tables'!$AJ$3:$AJ$209,0))</f>
        <v>101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1558071.63</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252152.99</v>
      </c>
      <c r="G10" s="18"/>
      <c r="H10" s="18"/>
      <c r="I10" s="18"/>
      <c r="J10" s="13">
        <f>SUM(I441)</f>
        <v>9932054.4100000001</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923930.29</v>
      </c>
      <c r="G12" s="18">
        <v>90086.91</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264816.37</v>
      </c>
      <c r="G13" s="18">
        <v>187237.41</v>
      </c>
      <c r="H13" s="18">
        <v>1940585.46</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305288.75</v>
      </c>
      <c r="G14" s="18">
        <v>0</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31235.63</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104221.61</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3408481.64</v>
      </c>
      <c r="G19" s="38">
        <f>SUM(G9:G18)</f>
        <v>308559.95</v>
      </c>
      <c r="H19" s="38">
        <f>SUM(H9:H18)</f>
        <v>1940585.46</v>
      </c>
      <c r="I19" s="38">
        <f>SUM(I9:I18)</f>
        <v>0</v>
      </c>
      <c r="J19" s="38">
        <f>SUM(J9:J18)</f>
        <v>9932054.4100000001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11295.9</v>
      </c>
      <c r="G22" s="18"/>
      <c r="H22" s="18">
        <v>1783092.35</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113452.16</v>
      </c>
      <c r="G23" s="18">
        <v>115689.05</v>
      </c>
      <c r="H23" s="18">
        <v>13095.19</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5358.19+877982.51</f>
        <v>883340.7</v>
      </c>
      <c r="G24" s="18">
        <f>187179.97+10306.71</f>
        <v>197486.68</v>
      </c>
      <c r="H24" s="18">
        <v>148430.1</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87283.520000000004</v>
      </c>
      <c r="G28" s="18"/>
      <c r="H28" s="18">
        <v>42083.55</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698560.05</v>
      </c>
      <c r="G29" s="18">
        <v>5690.93</v>
      </c>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1793932.33</v>
      </c>
      <c r="G32" s="38">
        <f>SUM(G22:G31)</f>
        <v>318866.65999999997</v>
      </c>
      <c r="H32" s="38">
        <f>SUM(H22:H31)</f>
        <v>1986701.1900000002</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420000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877982.71</v>
      </c>
      <c r="G48" s="18">
        <v>-10306.709999999999</v>
      </c>
      <c r="H48" s="18">
        <v>-46115.73</v>
      </c>
      <c r="I48" s="18"/>
      <c r="J48" s="13">
        <f>SUM(I460)</f>
        <v>9932054.4100000001</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316566.59999999998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1614549.31</v>
      </c>
      <c r="G51" s="38">
        <f>SUM(G35:G50)</f>
        <v>-10306.709999999999</v>
      </c>
      <c r="H51" s="38">
        <f>SUM(H35:H50)</f>
        <v>-46115.73</v>
      </c>
      <c r="I51" s="38">
        <f>SUM(I35:I50)</f>
        <v>0</v>
      </c>
      <c r="J51" s="38">
        <f>SUM(J35:J50)</f>
        <v>9932054.4100000001</v>
      </c>
      <c r="K51" s="42" t="s">
        <v>288</v>
      </c>
      <c r="L51" s="42" t="s">
        <v>288</v>
      </c>
      <c r="N51" s="131"/>
    </row>
    <row r="52" spans="1:14" s="3" customFormat="1" ht="12.2" customHeight="1" thickTop="1" x14ac:dyDescent="0.15">
      <c r="A52" s="35" t="s">
        <v>455</v>
      </c>
      <c r="B52" s="36" t="s">
        <v>289</v>
      </c>
      <c r="C52" s="6">
        <v>37</v>
      </c>
      <c r="D52" s="36" t="s">
        <v>653</v>
      </c>
      <c r="E52" s="36"/>
      <c r="F52" s="38">
        <f>F51+F32</f>
        <v>3408481.64</v>
      </c>
      <c r="G52" s="38">
        <f>G51+G32</f>
        <v>308559.94999999995</v>
      </c>
      <c r="H52" s="38">
        <f>H51+H32</f>
        <v>1940585.4600000002</v>
      </c>
      <c r="I52" s="38">
        <f>I51+I32</f>
        <v>0</v>
      </c>
      <c r="J52" s="38">
        <f>J51+J32</f>
        <v>9932054.4100000001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15992143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15992143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f>506266.16</f>
        <v>506266.16</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308.39999999999998</v>
      </c>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506574.56</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84027.23</v>
      </c>
      <c r="G96" s="18"/>
      <c r="H96" s="18"/>
      <c r="I96" s="18"/>
      <c r="J96" s="18">
        <v>293892.11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143270.09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6524.05</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v>432.11</v>
      </c>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120684.39</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211667.78</v>
      </c>
      <c r="G111" s="38">
        <f>SUM(G96:G110)</f>
        <v>143270.09</v>
      </c>
      <c r="H111" s="38">
        <f>SUM(H96:H110)</f>
        <v>0</v>
      </c>
      <c r="I111" s="38">
        <f>SUM(I96:I110)</f>
        <v>0</v>
      </c>
      <c r="J111" s="38">
        <f>SUM(J96:J110)</f>
        <v>293892.11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16710385.34</v>
      </c>
      <c r="G112" s="38">
        <f>G60+G111</f>
        <v>143270.09</v>
      </c>
      <c r="H112" s="38">
        <f>H60+H79+H94+H111</f>
        <v>0</v>
      </c>
      <c r="I112" s="38">
        <f>I60+I111</f>
        <v>0</v>
      </c>
      <c r="J112" s="38">
        <f>J60+J111</f>
        <v>293892.11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14425557.17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975244</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165439.79999999999</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15566240.970000001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487277.25</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21447.34</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6898</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9290.61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515622.59</v>
      </c>
      <c r="G136" s="38">
        <f>SUM(G123:G135)</f>
        <v>9290.61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16081863.560000001</v>
      </c>
      <c r="G140" s="38">
        <f>G121+SUM(G136:G137)</f>
        <v>9290.61</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1231470.71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340899.77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72148.78</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73938.880000000005</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578383.97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505118.42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735815.45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3347103.86</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735815.45</v>
      </c>
      <c r="G163" s="38">
        <f>SUM(G150:G162)</f>
        <v>578383.97</v>
      </c>
      <c r="H163" s="38">
        <f>SUM(H150:H162)</f>
        <v>5570680.4199999999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735815.45</v>
      </c>
      <c r="G170" s="38">
        <f>G147+G163+SUM(G164:G169)</f>
        <v>578383.97</v>
      </c>
      <c r="H170" s="38">
        <f>H147+H163+SUM(H164:H169)</f>
        <v>5570680.4199999999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33528064.349999998</v>
      </c>
      <c r="G194" s="38">
        <f>G112+G140+G170+G193</f>
        <v>730944.66999999993</v>
      </c>
      <c r="H194" s="38">
        <f>H112+H140+H170+H193</f>
        <v>5570680.4199999999</v>
      </c>
      <c r="I194" s="38">
        <f>I112+I140+I170+I193</f>
        <v>0</v>
      </c>
      <c r="J194" s="38">
        <f>J112+J140+J193</f>
        <v>293892.11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2911718.49+141715.71+16010.35</f>
        <v>3069444.5500000003</v>
      </c>
      <c r="G198" s="18">
        <f>1832276.57+196716.93+2463.41</f>
        <v>2031456.91</v>
      </c>
      <c r="H198" s="18">
        <f>55784.8+154070.97</f>
        <v>209855.77000000002</v>
      </c>
      <c r="I198" s="18">
        <f>57979.86+188835.43+486.86</f>
        <v>247302.14999999997</v>
      </c>
      <c r="J198" s="18">
        <v>8014.11</v>
      </c>
      <c r="K198" s="18">
        <v>4422.87</v>
      </c>
      <c r="L198" s="13">
        <f>SUM(F198:K198)</f>
        <v>5570496.3600000013</v>
      </c>
      <c r="M198" s="8"/>
      <c r="N198" s="165"/>
    </row>
    <row r="199" spans="1:14" s="3" customFormat="1" ht="12.2" customHeight="1" x14ac:dyDescent="0.15">
      <c r="A199" s="1" t="s">
        <v>439</v>
      </c>
      <c r="B199" s="2" t="s">
        <v>341</v>
      </c>
      <c r="C199" s="2" t="s">
        <v>291</v>
      </c>
      <c r="D199" s="2" t="s">
        <v>431</v>
      </c>
      <c r="E199" s="6">
        <v>1200</v>
      </c>
      <c r="F199" s="18">
        <f>1909996.52+130725.89</f>
        <v>2040722.41</v>
      </c>
      <c r="G199" s="18">
        <f>852232.37+65531.13</f>
        <v>917763.5</v>
      </c>
      <c r="H199" s="18">
        <f>12442.23+484626.68</f>
        <v>497068.91</v>
      </c>
      <c r="I199" s="18">
        <f>15732.2+18076.74</f>
        <v>33808.94</v>
      </c>
      <c r="J199" s="18">
        <f>4448.46</f>
        <v>4448.46</v>
      </c>
      <c r="K199" s="18"/>
      <c r="L199" s="13">
        <f>SUM(F199:K199)</f>
        <v>3493812.22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351302.09+284993.88</f>
        <v>636295.97</v>
      </c>
      <c r="G203" s="18">
        <f>230707.23+149845.49</f>
        <v>380552.72</v>
      </c>
      <c r="H203" s="18">
        <f>18578.3+2139.55</f>
        <v>20717.849999999999</v>
      </c>
      <c r="I203" s="18">
        <f>4049.42+709.01</f>
        <v>4758.43</v>
      </c>
      <c r="J203" s="18">
        <v>0</v>
      </c>
      <c r="K203" s="18">
        <v>327.7</v>
      </c>
      <c r="L203" s="13">
        <f t="shared" ref="L203:L209" si="0">SUM(F203:K203)</f>
        <v>1042652.6699999999</v>
      </c>
      <c r="M203" s="8"/>
      <c r="N203" s="165"/>
    </row>
    <row r="204" spans="1:14" s="3" customFormat="1" ht="12.2" customHeight="1" x14ac:dyDescent="0.15">
      <c r="A204" s="1" t="s">
        <v>443</v>
      </c>
      <c r="B204" s="2" t="s">
        <v>341</v>
      </c>
      <c r="C204" s="2" t="s">
        <v>295</v>
      </c>
      <c r="D204" s="2" t="s">
        <v>431</v>
      </c>
      <c r="E204" s="6">
        <v>2200</v>
      </c>
      <c r="F204" s="18">
        <f>111891.33+35515</f>
        <v>147406.33000000002</v>
      </c>
      <c r="G204" s="18">
        <f>21585.42+7494.73</f>
        <v>29080.149999999998</v>
      </c>
      <c r="H204" s="18">
        <v>53475.82</v>
      </c>
      <c r="I204" s="18">
        <f>4972.65+19955.49</f>
        <v>24928.14</v>
      </c>
      <c r="J204" s="18">
        <f>6545.5+131141.63</f>
        <v>137687.13</v>
      </c>
      <c r="K204" s="18">
        <v>0</v>
      </c>
      <c r="L204" s="13">
        <f t="shared" si="0"/>
        <v>392577.57</v>
      </c>
      <c r="M204" s="8"/>
      <c r="N204" s="165"/>
    </row>
    <row r="205" spans="1:14" s="3" customFormat="1" ht="12.2" customHeight="1" x14ac:dyDescent="0.15">
      <c r="A205" s="1" t="s">
        <v>444</v>
      </c>
      <c r="B205" s="2" t="s">
        <v>341</v>
      </c>
      <c r="C205" s="2" t="s">
        <v>296</v>
      </c>
      <c r="D205" s="2" t="s">
        <v>431</v>
      </c>
      <c r="E205" s="6">
        <v>2300</v>
      </c>
      <c r="F205" s="18">
        <v>3745.11</v>
      </c>
      <c r="G205" s="18">
        <v>334.58</v>
      </c>
      <c r="H205" s="18">
        <v>826670.47</v>
      </c>
      <c r="I205" s="18">
        <v>2409.94</v>
      </c>
      <c r="J205" s="18"/>
      <c r="K205" s="18">
        <v>14854.55</v>
      </c>
      <c r="L205" s="13">
        <f t="shared" si="0"/>
        <v>848014.64999999991</v>
      </c>
      <c r="M205" s="8"/>
      <c r="N205" s="165"/>
    </row>
    <row r="206" spans="1:14" s="3" customFormat="1" ht="12.2" customHeight="1" x14ac:dyDescent="0.15">
      <c r="A206" s="1" t="s">
        <v>445</v>
      </c>
      <c r="B206" s="2" t="s">
        <v>341</v>
      </c>
      <c r="C206" s="2" t="s">
        <v>297</v>
      </c>
      <c r="D206" s="2" t="s">
        <v>431</v>
      </c>
      <c r="E206" s="6">
        <v>2400</v>
      </c>
      <c r="F206" s="18">
        <f>794158.59+55523.48</f>
        <v>849682.07</v>
      </c>
      <c r="G206" s="18">
        <f>498855.81+44044.93</f>
        <v>542900.74</v>
      </c>
      <c r="H206" s="18">
        <f>3579.69+211.31</f>
        <v>3791</v>
      </c>
      <c r="I206" s="18">
        <v>1109.9100000000001</v>
      </c>
      <c r="J206" s="18">
        <v>4642.4799999999996</v>
      </c>
      <c r="K206" s="18">
        <v>12056.63</v>
      </c>
      <c r="L206" s="13">
        <f t="shared" si="0"/>
        <v>1414182.8299999998</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297526.06+113459.73</f>
        <v>410985.79</v>
      </c>
      <c r="G208" s="18">
        <f>161018.36+55203.43</f>
        <v>216221.78999999998</v>
      </c>
      <c r="H208" s="18">
        <f>85788.06+126184.02</f>
        <v>211972.08000000002</v>
      </c>
      <c r="I208" s="18">
        <f>205910.11+46358.93</f>
        <v>252269.03999999998</v>
      </c>
      <c r="J208" s="18">
        <v>3482.95</v>
      </c>
      <c r="K208" s="18">
        <v>0</v>
      </c>
      <c r="L208" s="13">
        <f t="shared" si="0"/>
        <v>1094931.6499999999</v>
      </c>
      <c r="M208" s="8"/>
      <c r="N208" s="165"/>
    </row>
    <row r="209" spans="1:14" s="3" customFormat="1" ht="12.2" customHeight="1" x14ac:dyDescent="0.15">
      <c r="A209" s="1" t="s">
        <v>448</v>
      </c>
      <c r="B209" s="2" t="s">
        <v>341</v>
      </c>
      <c r="C209" s="2" t="s">
        <v>300</v>
      </c>
      <c r="D209" s="2" t="s">
        <v>431</v>
      </c>
      <c r="E209" s="6">
        <v>2700</v>
      </c>
      <c r="F209" s="18">
        <v>333621.58</v>
      </c>
      <c r="G209" s="18">
        <v>173360.73</v>
      </c>
      <c r="H209" s="18">
        <v>97587.06</v>
      </c>
      <c r="I209" s="18">
        <v>59078.63</v>
      </c>
      <c r="J209" s="18">
        <v>19186.61</v>
      </c>
      <c r="K209" s="18">
        <v>361.84</v>
      </c>
      <c r="L209" s="13">
        <f t="shared" si="0"/>
        <v>683196.45000000007</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7491903.8100000005</v>
      </c>
      <c r="G212" s="38">
        <f t="shared" si="1"/>
        <v>4291671.12</v>
      </c>
      <c r="H212" s="38">
        <f t="shared" si="1"/>
        <v>1921138.96</v>
      </c>
      <c r="I212" s="38">
        <f t="shared" si="1"/>
        <v>625665.17999999993</v>
      </c>
      <c r="J212" s="38">
        <f t="shared" si="1"/>
        <v>177461.74000000005</v>
      </c>
      <c r="K212" s="38">
        <f t="shared" si="1"/>
        <v>32023.59</v>
      </c>
      <c r="L212" s="38">
        <f t="shared" si="1"/>
        <v>14539864.400000002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1158970.59+66656.04+7530.47</f>
        <v>1233157.1000000001</v>
      </c>
      <c r="G216" s="18">
        <f>660728.34+92525.89+1158.66</f>
        <v>754412.89</v>
      </c>
      <c r="H216" s="18">
        <f>3317.64+26238.4+72467.34</f>
        <v>102023.38</v>
      </c>
      <c r="I216" s="18">
        <f>18726.22+88818.82+229</f>
        <v>107774.04000000001</v>
      </c>
      <c r="J216" s="18">
        <v>6368.19</v>
      </c>
      <c r="K216" s="18">
        <v>963.98</v>
      </c>
      <c r="L216" s="13">
        <f>SUM(F216:K216)</f>
        <v>2204699.58</v>
      </c>
      <c r="M216" s="8"/>
      <c r="N216" s="165"/>
    </row>
    <row r="217" spans="1:14" s="3" customFormat="1" ht="12.2" customHeight="1" x14ac:dyDescent="0.15">
      <c r="A217" s="1" t="s">
        <v>439</v>
      </c>
      <c r="B217" s="2" t="s">
        <v>346</v>
      </c>
      <c r="C217" s="2" t="s">
        <v>291</v>
      </c>
      <c r="D217" s="2" t="s">
        <v>431</v>
      </c>
      <c r="E217" s="6">
        <v>1200</v>
      </c>
      <c r="F217" s="18">
        <f>412284.55+61486.97</f>
        <v>473771.52000000002</v>
      </c>
      <c r="G217" s="18">
        <f>144711.18+30822.59</f>
        <v>175533.77</v>
      </c>
      <c r="H217" s="18">
        <f>1067007.65+227944.35</f>
        <v>1294952</v>
      </c>
      <c r="I217" s="18">
        <f>2837.08+8502.4</f>
        <v>11339.48</v>
      </c>
      <c r="J217" s="18">
        <v>0</v>
      </c>
      <c r="K217" s="18">
        <v>0</v>
      </c>
      <c r="L217" s="13">
        <f>SUM(F217:K217)</f>
        <v>1955596.77</v>
      </c>
      <c r="M217" s="8"/>
      <c r="N217" s="165"/>
    </row>
    <row r="218" spans="1:14" s="3" customFormat="1" ht="12.2" customHeight="1" x14ac:dyDescent="0.15">
      <c r="A218" s="1" t="s">
        <v>440</v>
      </c>
      <c r="B218" s="2" t="s">
        <v>346</v>
      </c>
      <c r="C218" s="2" t="s">
        <v>292</v>
      </c>
      <c r="D218" s="2" t="s">
        <v>431</v>
      </c>
      <c r="E218" s="6">
        <v>1300</v>
      </c>
      <c r="F218" s="18">
        <v>139652.6</v>
      </c>
      <c r="G218" s="18">
        <v>61965.33</v>
      </c>
      <c r="H218" s="18">
        <v>334.05</v>
      </c>
      <c r="I218" s="18">
        <v>6839.25</v>
      </c>
      <c r="J218" s="18">
        <v>0</v>
      </c>
      <c r="K218" s="18">
        <v>0</v>
      </c>
      <c r="L218" s="13">
        <f>SUM(F218:K218)</f>
        <v>208791.22999999998</v>
      </c>
      <c r="M218" s="8"/>
      <c r="N218" s="165"/>
    </row>
    <row r="219" spans="1:14" s="3" customFormat="1" ht="12.2" customHeight="1" x14ac:dyDescent="0.15">
      <c r="A219" s="1" t="s">
        <v>441</v>
      </c>
      <c r="B219" s="2" t="s">
        <v>346</v>
      </c>
      <c r="C219" s="2" t="s">
        <v>293</v>
      </c>
      <c r="D219" s="2" t="s">
        <v>431</v>
      </c>
      <c r="E219" s="6">
        <v>1400</v>
      </c>
      <c r="F219" s="18">
        <v>70642.100000000006</v>
      </c>
      <c r="G219" s="18">
        <v>13984.64</v>
      </c>
      <c r="H219" s="18">
        <v>13486.67</v>
      </c>
      <c r="I219" s="18">
        <v>10515.05</v>
      </c>
      <c r="J219" s="18">
        <v>3740.99</v>
      </c>
      <c r="K219" s="18">
        <v>2928.69</v>
      </c>
      <c r="L219" s="13">
        <f>SUM(F219:K219)</f>
        <v>115298.14000000001</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291444.11+134046.99</f>
        <v>425491.1</v>
      </c>
      <c r="G221" s="18">
        <f>186119.4+70479.89</f>
        <v>256599.28999999998</v>
      </c>
      <c r="H221" s="18">
        <f>3269.8+1006.34</f>
        <v>4276.1400000000003</v>
      </c>
      <c r="I221" s="18">
        <f>2452.06</f>
        <v>2452.06</v>
      </c>
      <c r="J221" s="18">
        <v>0</v>
      </c>
      <c r="K221" s="18">
        <v>154.13</v>
      </c>
      <c r="L221" s="13">
        <f t="shared" ref="L221:L227" si="2">SUM(F221:K221)</f>
        <v>688972.72</v>
      </c>
      <c r="M221" s="8"/>
      <c r="N221" s="165"/>
    </row>
    <row r="222" spans="1:14" s="3" customFormat="1" ht="12.2" customHeight="1" x14ac:dyDescent="0.15">
      <c r="A222" s="1" t="s">
        <v>443</v>
      </c>
      <c r="B222" s="2" t="s">
        <v>346</v>
      </c>
      <c r="C222" s="2" t="s">
        <v>295</v>
      </c>
      <c r="D222" s="2" t="s">
        <v>431</v>
      </c>
      <c r="E222" s="6">
        <v>2200</v>
      </c>
      <c r="F222" s="18">
        <f>69559+16704.49</f>
        <v>86263.49</v>
      </c>
      <c r="G222" s="18">
        <f>43406.65+3525.15</f>
        <v>46931.8</v>
      </c>
      <c r="H222" s="18">
        <f>2765.16+25152.37</f>
        <v>27917.53</v>
      </c>
      <c r="I222" s="18">
        <f>7098.89+9386.07</f>
        <v>16484.96</v>
      </c>
      <c r="J222" s="18">
        <v>61682.52</v>
      </c>
      <c r="K222" s="18">
        <v>0</v>
      </c>
      <c r="L222" s="13">
        <f t="shared" si="2"/>
        <v>239280.3</v>
      </c>
      <c r="M222" s="8"/>
      <c r="N222" s="165"/>
    </row>
    <row r="223" spans="1:14" s="3" customFormat="1" ht="12.2" customHeight="1" x14ac:dyDescent="0.15">
      <c r="A223" s="1" t="s">
        <v>444</v>
      </c>
      <c r="B223" s="2" t="s">
        <v>346</v>
      </c>
      <c r="C223" s="2" t="s">
        <v>296</v>
      </c>
      <c r="D223" s="2" t="s">
        <v>431</v>
      </c>
      <c r="E223" s="6">
        <v>2300</v>
      </c>
      <c r="F223" s="18">
        <v>1761.51</v>
      </c>
      <c r="G223" s="18">
        <v>157.37</v>
      </c>
      <c r="H223" s="18">
        <v>388824.79</v>
      </c>
      <c r="I223" s="18">
        <v>1133.52</v>
      </c>
      <c r="J223" s="18">
        <v>0</v>
      </c>
      <c r="K223" s="18">
        <v>6986.84</v>
      </c>
      <c r="L223" s="13">
        <f t="shared" si="2"/>
        <v>398864.03</v>
      </c>
      <c r="M223" s="8"/>
      <c r="N223" s="165"/>
    </row>
    <row r="224" spans="1:14" s="3" customFormat="1" ht="12.2" customHeight="1" x14ac:dyDescent="0.15">
      <c r="A224" s="1" t="s">
        <v>445</v>
      </c>
      <c r="B224" s="2" t="s">
        <v>346</v>
      </c>
      <c r="C224" s="2" t="s">
        <v>297</v>
      </c>
      <c r="D224" s="2" t="s">
        <v>431</v>
      </c>
      <c r="E224" s="6">
        <v>2400</v>
      </c>
      <c r="F224" s="18">
        <f>286902.42+26115.49</f>
        <v>313017.90999999997</v>
      </c>
      <c r="G224" s="18">
        <f>138353.18+20716.55</f>
        <v>159069.72999999998</v>
      </c>
      <c r="H224" s="18">
        <f>3216.77+99.39</f>
        <v>3316.16</v>
      </c>
      <c r="I224" s="18">
        <v>1111.1300000000001</v>
      </c>
      <c r="J224" s="18"/>
      <c r="K224" s="18">
        <v>3009.89</v>
      </c>
      <c r="L224" s="13">
        <f t="shared" si="2"/>
        <v>479524.81999999995</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f>102566.03+53365.83</f>
        <v>155931.85999999999</v>
      </c>
      <c r="G226" s="18">
        <f>75165.85+25964.96</f>
        <v>101130.81</v>
      </c>
      <c r="H226" s="18">
        <f>93762.28+59350.7</f>
        <v>153112.97999999998</v>
      </c>
      <c r="I226" s="18">
        <f>113874.43+21804.94</f>
        <v>135679.37</v>
      </c>
      <c r="J226" s="18">
        <f>1050+1638.21</f>
        <v>2688.21</v>
      </c>
      <c r="K226" s="18"/>
      <c r="L226" s="13">
        <f t="shared" si="2"/>
        <v>548543.23</v>
      </c>
      <c r="M226" s="8"/>
      <c r="N226" s="165"/>
    </row>
    <row r="227" spans="1:14" s="3" customFormat="1" ht="12.2" customHeight="1" x14ac:dyDescent="0.15">
      <c r="A227" s="1" t="s">
        <v>448</v>
      </c>
      <c r="B227" s="2" t="s">
        <v>346</v>
      </c>
      <c r="C227" s="2" t="s">
        <v>300</v>
      </c>
      <c r="D227" s="2" t="s">
        <v>431</v>
      </c>
      <c r="E227" s="6">
        <v>2700</v>
      </c>
      <c r="F227" s="18">
        <v>156919.09</v>
      </c>
      <c r="G227" s="18">
        <v>81540.289999999994</v>
      </c>
      <c r="H227" s="18">
        <v>46027.11</v>
      </c>
      <c r="I227" s="18">
        <v>27787.66</v>
      </c>
      <c r="J227" s="18">
        <v>9024.43</v>
      </c>
      <c r="K227" s="18">
        <v>170.19</v>
      </c>
      <c r="L227" s="13">
        <f t="shared" si="2"/>
        <v>321468.76999999996</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3056608.2800000003</v>
      </c>
      <c r="G230" s="38">
        <f>SUM(G216:G229)</f>
        <v>1651325.9200000002</v>
      </c>
      <c r="H230" s="38">
        <f>SUM(H216:H229)</f>
        <v>2034270.8099999998</v>
      </c>
      <c r="I230" s="38">
        <f>SUM(I216:I229)</f>
        <v>321116.51999999996</v>
      </c>
      <c r="J230" s="38">
        <f>SUM(J216:J229)</f>
        <v>83504.34</v>
      </c>
      <c r="K230" s="38">
        <f t="shared" si="3"/>
        <v>14213.72</v>
      </c>
      <c r="L230" s="38">
        <f t="shared" si="3"/>
        <v>7161039.5899999999</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1772162.63+94349.81+10659.18</f>
        <v>1877171.6199999999</v>
      </c>
      <c r="G234" s="18">
        <f>1000138.77+130967.87+1640.06</f>
        <v>1132746.7000000002</v>
      </c>
      <c r="H234" s="18">
        <f>55492+37139.75+102575.55</f>
        <v>195207.3</v>
      </c>
      <c r="I234" s="18">
        <f>53743.94+125720.62+324.14</f>
        <v>179788.7</v>
      </c>
      <c r="J234" s="18">
        <v>13954.21</v>
      </c>
      <c r="K234" s="18">
        <v>17110.14</v>
      </c>
      <c r="L234" s="13">
        <f>SUM(F234:K234)</f>
        <v>3415978.6700000004</v>
      </c>
      <c r="M234" s="8"/>
      <c r="N234" s="165"/>
    </row>
    <row r="235" spans="1:14" s="3" customFormat="1" ht="12.2" customHeight="1" x14ac:dyDescent="0.15">
      <c r="A235" s="1" t="s">
        <v>439</v>
      </c>
      <c r="B235" s="2" t="s">
        <v>350</v>
      </c>
      <c r="C235" s="2" t="s">
        <v>291</v>
      </c>
      <c r="D235" s="2" t="s">
        <v>431</v>
      </c>
      <c r="E235" s="6">
        <v>1200</v>
      </c>
      <c r="F235" s="18">
        <f>374093.18+87033.14</f>
        <v>461126.32</v>
      </c>
      <c r="G235" s="18">
        <f>190095.99+43628.54</f>
        <v>233724.53</v>
      </c>
      <c r="H235" s="18">
        <f>1782419.86+322649.03</f>
        <v>2105068.89</v>
      </c>
      <c r="I235" s="18">
        <f>1847.37+12034.92</f>
        <v>13882.29</v>
      </c>
      <c r="J235" s="18"/>
      <c r="K235" s="18"/>
      <c r="L235" s="13">
        <f>SUM(F235:K235)</f>
        <v>2813802.0300000003</v>
      </c>
      <c r="M235" s="8"/>
      <c r="N235" s="165"/>
    </row>
    <row r="236" spans="1:14" s="3" customFormat="1" ht="12.2" customHeight="1" x14ac:dyDescent="0.15">
      <c r="A236" s="1" t="s">
        <v>440</v>
      </c>
      <c r="B236" s="2" t="s">
        <v>350</v>
      </c>
      <c r="C236" s="2" t="s">
        <v>292</v>
      </c>
      <c r="D236" s="2" t="s">
        <v>431</v>
      </c>
      <c r="E236" s="6">
        <v>1300</v>
      </c>
      <c r="F236" s="18">
        <v>196295.07</v>
      </c>
      <c r="G236" s="18">
        <v>99303.09</v>
      </c>
      <c r="H236" s="18">
        <v>12982.25</v>
      </c>
      <c r="I236" s="18">
        <v>50179.28</v>
      </c>
      <c r="J236" s="18"/>
      <c r="K236" s="18"/>
      <c r="L236" s="13">
        <f>SUM(F236:K236)</f>
        <v>358759.69000000006</v>
      </c>
      <c r="M236" s="8"/>
      <c r="N236" s="165"/>
    </row>
    <row r="237" spans="1:14" s="3" customFormat="1" ht="12.2" customHeight="1" x14ac:dyDescent="0.15">
      <c r="A237" s="1" t="s">
        <v>441</v>
      </c>
      <c r="B237" s="2" t="s">
        <v>350</v>
      </c>
      <c r="C237" s="2" t="s">
        <v>293</v>
      </c>
      <c r="D237" s="2" t="s">
        <v>431</v>
      </c>
      <c r="E237" s="6">
        <v>1400</v>
      </c>
      <c r="F237" s="18">
        <v>268157.05</v>
      </c>
      <c r="G237" s="18">
        <v>67081.429999999993</v>
      </c>
      <c r="H237" s="18">
        <v>86769.79</v>
      </c>
      <c r="I237" s="18">
        <f>25151.18+1564.01</f>
        <v>26715.19</v>
      </c>
      <c r="J237" s="18">
        <v>6398.67</v>
      </c>
      <c r="K237" s="18">
        <v>16958</v>
      </c>
      <c r="L237" s="13">
        <f>SUM(F237:K237)</f>
        <v>472080.12999999995</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252842.37+189739.86</f>
        <v>442582.23</v>
      </c>
      <c r="G239" s="18">
        <f>149949.46+99762.36</f>
        <v>249711.82</v>
      </c>
      <c r="H239" s="18">
        <f>585+1424.45</f>
        <v>2009.45</v>
      </c>
      <c r="I239" s="18">
        <v>3235.96</v>
      </c>
      <c r="J239" s="18">
        <v>1614.46</v>
      </c>
      <c r="K239" s="18">
        <f>518+218.17</f>
        <v>736.17</v>
      </c>
      <c r="L239" s="13">
        <f t="shared" ref="L239:L245" si="4">SUM(F239:K239)</f>
        <v>699890.09</v>
      </c>
      <c r="M239" s="8"/>
      <c r="N239" s="165"/>
    </row>
    <row r="240" spans="1:14" s="3" customFormat="1" ht="12.2" customHeight="1" x14ac:dyDescent="0.15">
      <c r="A240" s="1" t="s">
        <v>443</v>
      </c>
      <c r="B240" s="2" t="s">
        <v>350</v>
      </c>
      <c r="C240" s="2" t="s">
        <v>295</v>
      </c>
      <c r="D240" s="2" t="s">
        <v>431</v>
      </c>
      <c r="E240" s="6">
        <v>2200</v>
      </c>
      <c r="F240" s="18">
        <f>57397+23644.76</f>
        <v>81041.759999999995</v>
      </c>
      <c r="G240" s="18">
        <f>19508.86+4989.76</f>
        <v>24498.620000000003</v>
      </c>
      <c r="H240" s="18">
        <f>1400+35602.5</f>
        <v>37002.5</v>
      </c>
      <c r="I240" s="18">
        <f>11114.54+13285.73</f>
        <v>24400.27</v>
      </c>
      <c r="J240" s="18">
        <f>1500+87309.93</f>
        <v>88809.93</v>
      </c>
      <c r="K240" s="18">
        <v>0</v>
      </c>
      <c r="L240" s="13">
        <f t="shared" si="4"/>
        <v>255753.08</v>
      </c>
      <c r="M240" s="8"/>
      <c r="N240" s="165"/>
    </row>
    <row r="241" spans="1:14" s="3" customFormat="1" ht="12.2" customHeight="1" x14ac:dyDescent="0.15">
      <c r="A241" s="1" t="s">
        <v>444</v>
      </c>
      <c r="B241" s="2" t="s">
        <v>350</v>
      </c>
      <c r="C241" s="2" t="s">
        <v>296</v>
      </c>
      <c r="D241" s="2" t="s">
        <v>431</v>
      </c>
      <c r="E241" s="6">
        <v>2300</v>
      </c>
      <c r="F241" s="18">
        <v>2493.38</v>
      </c>
      <c r="G241" s="18">
        <v>222.76</v>
      </c>
      <c r="H241" s="18">
        <v>550370.9</v>
      </c>
      <c r="I241" s="18">
        <v>1604.46</v>
      </c>
      <c r="J241" s="18"/>
      <c r="K241" s="18">
        <v>9889.69</v>
      </c>
      <c r="L241" s="13">
        <f t="shared" si="4"/>
        <v>564581.18999999994</v>
      </c>
      <c r="M241" s="8"/>
      <c r="N241" s="165"/>
    </row>
    <row r="242" spans="1:14" s="3" customFormat="1" ht="12.2" customHeight="1" x14ac:dyDescent="0.15">
      <c r="A242" s="1" t="s">
        <v>445</v>
      </c>
      <c r="B242" s="2" t="s">
        <v>350</v>
      </c>
      <c r="C242" s="2" t="s">
        <v>297</v>
      </c>
      <c r="D242" s="2" t="s">
        <v>431</v>
      </c>
      <c r="E242" s="6">
        <v>2400</v>
      </c>
      <c r="F242" s="18">
        <f>615119.44+36965.77</f>
        <v>652085.21</v>
      </c>
      <c r="G242" s="18">
        <f>347358.72+29323.72</f>
        <v>376682.43999999994</v>
      </c>
      <c r="H242" s="18">
        <f>9740.41+140.69</f>
        <v>9881.1</v>
      </c>
      <c r="I242" s="18">
        <v>2691.61</v>
      </c>
      <c r="J242" s="18">
        <v>1897.6</v>
      </c>
      <c r="K242" s="18">
        <v>11958.8</v>
      </c>
      <c r="L242" s="13">
        <f t="shared" si="4"/>
        <v>1055196.7599999998</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f>283775.89+75537.88</f>
        <v>359313.77</v>
      </c>
      <c r="G244" s="18">
        <f>156056.23+36752.69</f>
        <v>192808.92</v>
      </c>
      <c r="H244" s="18">
        <f>99521.6+84009.31</f>
        <v>183530.91</v>
      </c>
      <c r="I244" s="18">
        <f>218304.46+30864.3+135.08</f>
        <v>249303.83999999997</v>
      </c>
      <c r="J244" s="18">
        <v>2318.84</v>
      </c>
      <c r="K244" s="18"/>
      <c r="L244" s="13">
        <f t="shared" si="4"/>
        <v>987276.28</v>
      </c>
      <c r="M244" s="8"/>
      <c r="N244" s="165"/>
    </row>
    <row r="245" spans="1:14" s="3" customFormat="1" ht="12.2" customHeight="1" x14ac:dyDescent="0.15">
      <c r="A245" s="1" t="s">
        <v>448</v>
      </c>
      <c r="B245" s="2" t="s">
        <v>350</v>
      </c>
      <c r="C245" s="2" t="s">
        <v>300</v>
      </c>
      <c r="D245" s="2" t="s">
        <v>431</v>
      </c>
      <c r="E245" s="6">
        <v>2700</v>
      </c>
      <c r="F245" s="18">
        <f>788.71+222114.64</f>
        <v>222903.35</v>
      </c>
      <c r="G245" s="18">
        <f>228.78+115418.06</f>
        <v>115646.84</v>
      </c>
      <c r="H245" s="18">
        <v>65150.12</v>
      </c>
      <c r="I245" s="18">
        <v>39332.68</v>
      </c>
      <c r="J245" s="18">
        <v>12773.83</v>
      </c>
      <c r="K245" s="18">
        <v>240.9</v>
      </c>
      <c r="L245" s="13">
        <f t="shared" si="4"/>
        <v>456047.72000000003</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4563169.7599999988</v>
      </c>
      <c r="G248" s="38">
        <f t="shared" si="5"/>
        <v>2492427.1500000004</v>
      </c>
      <c r="H248" s="38">
        <f t="shared" si="5"/>
        <v>3247973.2100000004</v>
      </c>
      <c r="I248" s="38">
        <f t="shared" si="5"/>
        <v>591134.28000000014</v>
      </c>
      <c r="J248" s="38">
        <f t="shared" si="5"/>
        <v>127767.54</v>
      </c>
      <c r="K248" s="38">
        <f t="shared" si="5"/>
        <v>56893.700000000004</v>
      </c>
      <c r="L248" s="38">
        <f t="shared" si="5"/>
        <v>11079365.640000001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15111681.849999998</v>
      </c>
      <c r="G258" s="38">
        <f t="shared" si="8"/>
        <v>8435424.1900000013</v>
      </c>
      <c r="H258" s="38">
        <f t="shared" si="8"/>
        <v>7203382.9800000004</v>
      </c>
      <c r="I258" s="38">
        <f t="shared" si="8"/>
        <v>1537915.98</v>
      </c>
      <c r="J258" s="38">
        <f t="shared" si="8"/>
        <v>388733.62000000005</v>
      </c>
      <c r="K258" s="38">
        <f t="shared" si="8"/>
        <v>103131.01000000001</v>
      </c>
      <c r="L258" s="38">
        <f t="shared" si="8"/>
        <v>32780269.630000003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817658.84</v>
      </c>
      <c r="L261" s="13">
        <f>SUM(F261:K261)</f>
        <v>817658.84</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420343.52</v>
      </c>
      <c r="L262" s="13">
        <f>SUM(F262:K262)</f>
        <v>420343.52</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1238002.3599999999</v>
      </c>
      <c r="L271" s="38">
        <f t="shared" si="9"/>
        <v>1238002.3599999999</v>
      </c>
      <c r="M271" s="8"/>
      <c r="N271" s="165"/>
    </row>
    <row r="272" spans="1:14" s="33" customFormat="1" ht="12.2" customHeight="1" thickTop="1" x14ac:dyDescent="0.2">
      <c r="A272" s="40" t="s">
        <v>464</v>
      </c>
      <c r="B272" s="37">
        <v>10</v>
      </c>
      <c r="C272" s="37">
        <v>18</v>
      </c>
      <c r="D272" s="36" t="s">
        <v>431</v>
      </c>
      <c r="E272" s="37"/>
      <c r="F272" s="39">
        <f t="shared" ref="F272:L272" si="11">F258+F271</f>
        <v>15111681.849999998</v>
      </c>
      <c r="G272" s="39">
        <f t="shared" si="11"/>
        <v>8435424.1900000013</v>
      </c>
      <c r="H272" s="39">
        <f t="shared" si="11"/>
        <v>7203382.9800000004</v>
      </c>
      <c r="I272" s="39">
        <f t="shared" si="11"/>
        <v>1537915.98</v>
      </c>
      <c r="J272" s="39">
        <f t="shared" si="11"/>
        <v>388733.62000000005</v>
      </c>
      <c r="K272" s="39">
        <f t="shared" si="11"/>
        <v>1341133.3699999999</v>
      </c>
      <c r="L272" s="39">
        <f t="shared" si="11"/>
        <v>34018271.990000002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63207.63+26368.27</f>
        <v>89575.9</v>
      </c>
      <c r="G277" s="18">
        <f>22350.85+16631.14</f>
        <v>38981.99</v>
      </c>
      <c r="H277" s="18">
        <v>53328.86</v>
      </c>
      <c r="I277" s="18">
        <f>259933.06+149963.97</f>
        <v>409897.03</v>
      </c>
      <c r="J277" s="18">
        <v>13778</v>
      </c>
      <c r="K277" s="18"/>
      <c r="L277" s="13">
        <f>SUM(F277:K277)</f>
        <v>605561.78</v>
      </c>
      <c r="M277" s="8"/>
      <c r="N277" s="165"/>
    </row>
    <row r="278" spans="1:14" s="3" customFormat="1" ht="12.2" customHeight="1" x14ac:dyDescent="0.15">
      <c r="A278" s="1" t="s">
        <v>439</v>
      </c>
      <c r="B278" s="2" t="s">
        <v>357</v>
      </c>
      <c r="C278" s="2" t="s">
        <v>291</v>
      </c>
      <c r="D278" s="2" t="s">
        <v>431</v>
      </c>
      <c r="E278" s="6">
        <v>1200</v>
      </c>
      <c r="F278" s="18">
        <f>235558.74+469846.99</f>
        <v>705405.73</v>
      </c>
      <c r="G278" s="18">
        <f>10391.59+553045.92</f>
        <v>563437.51</v>
      </c>
      <c r="H278" s="18">
        <f>14732.21+1086.44</f>
        <v>15818.65</v>
      </c>
      <c r="I278" s="18"/>
      <c r="J278" s="18"/>
      <c r="K278" s="18"/>
      <c r="L278" s="13">
        <f>SUM(F278:K278)</f>
        <v>1284661.8899999999</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108695.66</v>
      </c>
      <c r="G280" s="18">
        <v>20520.46</v>
      </c>
      <c r="H280" s="18">
        <v>8016.11</v>
      </c>
      <c r="I280" s="18"/>
      <c r="J280" s="18"/>
      <c r="K280" s="18"/>
      <c r="L280" s="13">
        <f>SUM(F280:K280)</f>
        <v>137232.22999999998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76699.09</v>
      </c>
      <c r="G282" s="18">
        <v>32543.09</v>
      </c>
      <c r="H282" s="18">
        <v>97293.92</v>
      </c>
      <c r="I282" s="18">
        <v>31016.05</v>
      </c>
      <c r="J282" s="18">
        <v>19443.09</v>
      </c>
      <c r="K282" s="18"/>
      <c r="L282" s="13">
        <f t="shared" ref="L282:L288" si="12">SUM(F282:K282)</f>
        <v>256995.23999999996</v>
      </c>
      <c r="M282" s="8"/>
      <c r="N282" s="165"/>
    </row>
    <row r="283" spans="1:14" s="3" customFormat="1" ht="12.2" customHeight="1" x14ac:dyDescent="0.15">
      <c r="A283" s="1" t="s">
        <v>443</v>
      </c>
      <c r="B283" s="2" t="s">
        <v>357</v>
      </c>
      <c r="C283" s="2" t="s">
        <v>295</v>
      </c>
      <c r="D283" s="2" t="s">
        <v>431</v>
      </c>
      <c r="E283" s="6">
        <v>2200</v>
      </c>
      <c r="F283" s="18">
        <v>358152.03</v>
      </c>
      <c r="G283" s="18">
        <v>177445.65</v>
      </c>
      <c r="H283" s="18">
        <v>112219.72</v>
      </c>
      <c r="I283" s="18">
        <v>89378.29</v>
      </c>
      <c r="J283" s="18">
        <v>11980.14</v>
      </c>
      <c r="K283" s="18"/>
      <c r="L283" s="13">
        <f t="shared" si="12"/>
        <v>749175.83000000007</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v>12907.29</v>
      </c>
      <c r="G285" s="18">
        <v>2238.7800000000002</v>
      </c>
      <c r="H285" s="18">
        <v>1263.74</v>
      </c>
      <c r="I285" s="18"/>
      <c r="J285" s="18"/>
      <c r="K285" s="18"/>
      <c r="L285" s="13">
        <f t="shared" si="12"/>
        <v>16409.810000000001</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v>17447.310000000001</v>
      </c>
      <c r="K287" s="18"/>
      <c r="L287" s="13">
        <f t="shared" si="12"/>
        <v>17447.310000000001</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1351435.7000000002</v>
      </c>
      <c r="G291" s="39">
        <f t="shared" si="13"/>
        <v>835167.48</v>
      </c>
      <c r="H291" s="39">
        <f t="shared" si="13"/>
        <v>287941</v>
      </c>
      <c r="I291" s="39">
        <f t="shared" si="13"/>
        <v>530291.37</v>
      </c>
      <c r="J291" s="39">
        <f t="shared" si="13"/>
        <v>62648.539999999994</v>
      </c>
      <c r="K291" s="39">
        <f t="shared" si="13"/>
        <v>0</v>
      </c>
      <c r="L291" s="38">
        <f t="shared" si="13"/>
        <v>3067484.09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29729.74</v>
      </c>
      <c r="G296" s="18">
        <v>10512.73</v>
      </c>
      <c r="H296" s="18">
        <v>25083.25</v>
      </c>
      <c r="I296" s="18">
        <f>122259.62+1759</f>
        <v>124018.62</v>
      </c>
      <c r="J296" s="18"/>
      <c r="K296" s="18"/>
      <c r="L296" s="13">
        <f>SUM(F296:K296)</f>
        <v>189344.34</v>
      </c>
      <c r="M296" s="8"/>
      <c r="N296" s="165"/>
    </row>
    <row r="297" spans="1:14" s="3" customFormat="1" ht="12.2" customHeight="1" x14ac:dyDescent="0.15">
      <c r="A297" s="1" t="s">
        <v>439</v>
      </c>
      <c r="B297" s="2" t="s">
        <v>358</v>
      </c>
      <c r="C297" s="2" t="s">
        <v>291</v>
      </c>
      <c r="D297" s="2" t="s">
        <v>431</v>
      </c>
      <c r="E297" s="6">
        <v>1200</v>
      </c>
      <c r="F297" s="18">
        <v>110795.15</v>
      </c>
      <c r="G297" s="18">
        <v>4887.6899999999996</v>
      </c>
      <c r="H297" s="18">
        <v>6929.2</v>
      </c>
      <c r="I297" s="18"/>
      <c r="J297" s="18"/>
      <c r="K297" s="18"/>
      <c r="L297" s="13">
        <f>SUM(F297:K297)</f>
        <v>122612.04</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51126.46</v>
      </c>
      <c r="G299" s="18">
        <v>9654.6299999999992</v>
      </c>
      <c r="H299" s="18">
        <v>3770.38</v>
      </c>
      <c r="I299" s="18"/>
      <c r="J299" s="18"/>
      <c r="K299" s="18"/>
      <c r="L299" s="13">
        <f>SUM(F299:K299)</f>
        <v>64551.469999999994</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36075.45+186322.21</f>
        <v>222397.65999999997</v>
      </c>
      <c r="G301" s="18">
        <f>15306.66+101959.24</f>
        <v>117265.90000000001</v>
      </c>
      <c r="H301" s="18">
        <f>45767.23+300</f>
        <v>46067.23</v>
      </c>
      <c r="I301" s="18">
        <f>14588.41+346.92</f>
        <v>14935.33</v>
      </c>
      <c r="J301" s="18">
        <f>9145.07+4011.5</f>
        <v>13156.57</v>
      </c>
      <c r="K301" s="18"/>
      <c r="L301" s="13">
        <f t="shared" ref="L301:L307" si="14">SUM(F301:K301)</f>
        <v>413822.69</v>
      </c>
      <c r="M301" s="8"/>
      <c r="N301" s="165"/>
    </row>
    <row r="302" spans="1:14" s="3" customFormat="1" ht="12.2" customHeight="1" x14ac:dyDescent="0.15">
      <c r="A302" s="1" t="s">
        <v>443</v>
      </c>
      <c r="B302" s="2" t="s">
        <v>358</v>
      </c>
      <c r="C302" s="2" t="s">
        <v>295</v>
      </c>
      <c r="D302" s="2" t="s">
        <v>431</v>
      </c>
      <c r="E302" s="6">
        <v>2200</v>
      </c>
      <c r="F302" s="18">
        <v>168456.95</v>
      </c>
      <c r="G302" s="18">
        <v>83461.63</v>
      </c>
      <c r="H302" s="18">
        <v>52782.59</v>
      </c>
      <c r="I302" s="18">
        <v>42039.11</v>
      </c>
      <c r="J302" s="18">
        <v>5634.86</v>
      </c>
      <c r="K302" s="18"/>
      <c r="L302" s="13">
        <f t="shared" si="14"/>
        <v>352375.14</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v>6070.95</v>
      </c>
      <c r="G304" s="18">
        <v>1053.01</v>
      </c>
      <c r="H304" s="18">
        <v>594.4</v>
      </c>
      <c r="I304" s="18"/>
      <c r="J304" s="18"/>
      <c r="K304" s="18"/>
      <c r="L304" s="13">
        <f t="shared" si="14"/>
        <v>7718.36</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v>8206.35</v>
      </c>
      <c r="K306" s="18"/>
      <c r="L306" s="13">
        <f t="shared" si="14"/>
        <v>8206.35</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588576.90999999992</v>
      </c>
      <c r="G310" s="39">
        <f t="shared" si="15"/>
        <v>226835.59000000003</v>
      </c>
      <c r="H310" s="39">
        <f t="shared" si="15"/>
        <v>135227.04999999999</v>
      </c>
      <c r="I310" s="39">
        <f t="shared" si="15"/>
        <v>180993.06</v>
      </c>
      <c r="J310" s="39">
        <f t="shared" si="15"/>
        <v>26997.78</v>
      </c>
      <c r="K310" s="39">
        <f t="shared" si="15"/>
        <v>0</v>
      </c>
      <c r="L310" s="38">
        <f t="shared" si="15"/>
        <v>1158630.3900000004</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42081.63</v>
      </c>
      <c r="G315" s="18">
        <v>14880.49</v>
      </c>
      <c r="H315" s="18">
        <v>35504.660000000003</v>
      </c>
      <c r="I315" s="18">
        <v>173055.16</v>
      </c>
      <c r="J315" s="18"/>
      <c r="K315" s="18"/>
      <c r="L315" s="13">
        <f>SUM(F315:K315)</f>
        <v>265521.94</v>
      </c>
      <c r="M315" s="8"/>
      <c r="N315" s="165"/>
    </row>
    <row r="316" spans="1:14" s="3" customFormat="1" ht="12.2" customHeight="1" x14ac:dyDescent="0.15">
      <c r="A316" s="1" t="s">
        <v>439</v>
      </c>
      <c r="B316" s="2" t="s">
        <v>359</v>
      </c>
      <c r="C316" s="2" t="s">
        <v>291</v>
      </c>
      <c r="D316" s="2" t="s">
        <v>431</v>
      </c>
      <c r="E316" s="6">
        <v>1200</v>
      </c>
      <c r="F316" s="18">
        <v>156827.51999999999</v>
      </c>
      <c r="G316" s="18">
        <v>6918.39</v>
      </c>
      <c r="H316" s="18">
        <v>9808.23</v>
      </c>
      <c r="I316" s="18"/>
      <c r="J316" s="18"/>
      <c r="K316" s="18"/>
      <c r="L316" s="13">
        <f>SUM(F316:K316)</f>
        <v>173554.14</v>
      </c>
      <c r="M316" s="8"/>
      <c r="N316" s="165"/>
    </row>
    <row r="317" spans="1:14" s="3" customFormat="1" ht="12.2" customHeight="1" x14ac:dyDescent="0.15">
      <c r="A317" s="1" t="s">
        <v>440</v>
      </c>
      <c r="B317" s="2" t="s">
        <v>359</v>
      </c>
      <c r="C317" s="2" t="s">
        <v>292</v>
      </c>
      <c r="D317" s="2" t="s">
        <v>431</v>
      </c>
      <c r="E317" s="6">
        <v>1300</v>
      </c>
      <c r="F317" s="18">
        <v>4850</v>
      </c>
      <c r="G317" s="18">
        <v>1370.17</v>
      </c>
      <c r="H317" s="18">
        <v>62413.53</v>
      </c>
      <c r="I317" s="18">
        <v>16559.05</v>
      </c>
      <c r="J317" s="18">
        <v>32734.1</v>
      </c>
      <c r="K317" s="18">
        <v>3770.33</v>
      </c>
      <c r="L317" s="13">
        <f>SUM(F317:K317)</f>
        <v>121697.18000000001</v>
      </c>
      <c r="M317" s="8"/>
      <c r="N317" s="165"/>
    </row>
    <row r="318" spans="1:14" s="3" customFormat="1" ht="12.2" customHeight="1" x14ac:dyDescent="0.15">
      <c r="A318" s="1" t="s">
        <v>441</v>
      </c>
      <c r="B318" s="2" t="s">
        <v>359</v>
      </c>
      <c r="C318" s="2" t="s">
        <v>293</v>
      </c>
      <c r="D318" s="2" t="s">
        <v>431</v>
      </c>
      <c r="E318" s="6">
        <v>1400</v>
      </c>
      <c r="F318" s="18">
        <v>72368.11</v>
      </c>
      <c r="G318" s="18">
        <v>13665.87</v>
      </c>
      <c r="H318" s="18">
        <v>5336.87</v>
      </c>
      <c r="I318" s="18"/>
      <c r="J318" s="18"/>
      <c r="K318" s="18"/>
      <c r="L318" s="13">
        <f>SUM(F318:K318)</f>
        <v>91370.849999999991</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51067.94</v>
      </c>
      <c r="G320" s="18">
        <v>21666.16</v>
      </c>
      <c r="H320" s="18">
        <v>64775.199999999997</v>
      </c>
      <c r="I320" s="18">
        <v>20649.5</v>
      </c>
      <c r="J320" s="18">
        <v>12944.59</v>
      </c>
      <c r="K320" s="18"/>
      <c r="L320" s="13">
        <f t="shared" ref="L320:L326" si="16">SUM(F320:K320)</f>
        <v>171103.38999999998</v>
      </c>
      <c r="M320" s="8"/>
      <c r="N320" s="165"/>
    </row>
    <row r="321" spans="1:14" s="3" customFormat="1" ht="12.2" customHeight="1" x14ac:dyDescent="0.15">
      <c r="A321" s="1" t="s">
        <v>443</v>
      </c>
      <c r="B321" s="2" t="s">
        <v>359</v>
      </c>
      <c r="C321" s="2" t="s">
        <v>295</v>
      </c>
      <c r="D321" s="2" t="s">
        <v>431</v>
      </c>
      <c r="E321" s="6">
        <v>2200</v>
      </c>
      <c r="F321" s="18">
        <v>238446.23</v>
      </c>
      <c r="G321" s="18">
        <v>118137.67</v>
      </c>
      <c r="H321" s="18">
        <v>74712.320000000007</v>
      </c>
      <c r="I321" s="18">
        <v>59505.22</v>
      </c>
      <c r="J321" s="18">
        <v>7976</v>
      </c>
      <c r="K321" s="18"/>
      <c r="L321" s="13">
        <f t="shared" si="16"/>
        <v>498777.44000000006</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v>8593.27</v>
      </c>
      <c r="G323" s="18">
        <v>1490.51</v>
      </c>
      <c r="H323" s="18">
        <v>841.36</v>
      </c>
      <c r="I323" s="18"/>
      <c r="J323" s="18"/>
      <c r="K323" s="18"/>
      <c r="L323" s="13">
        <f t="shared" si="16"/>
        <v>10925.140000000001</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v>11615.86</v>
      </c>
      <c r="K325" s="18"/>
      <c r="L325" s="13">
        <f t="shared" si="16"/>
        <v>11615.86</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574234.70000000007</v>
      </c>
      <c r="G329" s="39">
        <f t="shared" si="17"/>
        <v>178129.26</v>
      </c>
      <c r="H329" s="39">
        <f t="shared" si="17"/>
        <v>253392.16999999998</v>
      </c>
      <c r="I329" s="39">
        <f t="shared" si="17"/>
        <v>269768.93</v>
      </c>
      <c r="J329" s="39">
        <f t="shared" si="17"/>
        <v>65270.55</v>
      </c>
      <c r="K329" s="39">
        <f t="shared" si="17"/>
        <v>3770.33</v>
      </c>
      <c r="L329" s="38">
        <f t="shared" si="17"/>
        <v>1344565.94</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2514247.31</v>
      </c>
      <c r="G339" s="38">
        <f t="shared" si="20"/>
        <v>1240132.33</v>
      </c>
      <c r="H339" s="38">
        <f t="shared" si="20"/>
        <v>676560.22</v>
      </c>
      <c r="I339" s="38">
        <f t="shared" si="20"/>
        <v>981053.35999999987</v>
      </c>
      <c r="J339" s="38">
        <f t="shared" si="20"/>
        <v>154916.87</v>
      </c>
      <c r="K339" s="38">
        <f t="shared" si="20"/>
        <v>3770.33</v>
      </c>
      <c r="L339" s="38">
        <f t="shared" si="20"/>
        <v>5570680.4199999999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2514247.31</v>
      </c>
      <c r="G353" s="38">
        <f>G339</f>
        <v>1240132.33</v>
      </c>
      <c r="H353" s="38">
        <f>H339</f>
        <v>676560.22</v>
      </c>
      <c r="I353" s="38">
        <f>I339</f>
        <v>981053.35999999987</v>
      </c>
      <c r="J353" s="38">
        <f>J339</f>
        <v>154916.87</v>
      </c>
      <c r="K353" s="38">
        <f>K339+K352</f>
        <v>3770.33</v>
      </c>
      <c r="L353" s="38">
        <f>L339+L352</f>
        <v>5570680.4199999999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380869.47</v>
      </c>
      <c r="I359" s="18">
        <v>6954.16</v>
      </c>
      <c r="J359" s="18">
        <v>14737.55</v>
      </c>
      <c r="K359" s="18"/>
      <c r="L359" s="13">
        <f>SUM(F359:K359)</f>
        <v>402561.17999999993</v>
      </c>
      <c r="M359" s="8"/>
      <c r="N359" s="165"/>
    </row>
    <row r="360" spans="1:22" s="3" customFormat="1" ht="12.2" customHeight="1" x14ac:dyDescent="0.15">
      <c r="A360" s="1" t="s">
        <v>542</v>
      </c>
      <c r="B360" s="2" t="s">
        <v>366</v>
      </c>
      <c r="C360" s="6">
        <v>2</v>
      </c>
      <c r="D360" s="2" t="s">
        <v>431</v>
      </c>
      <c r="E360" s="6"/>
      <c r="F360" s="18"/>
      <c r="G360" s="18"/>
      <c r="H360" s="18">
        <v>179142.11</v>
      </c>
      <c r="I360" s="18">
        <v>3270.89</v>
      </c>
      <c r="J360" s="18">
        <v>6931.81</v>
      </c>
      <c r="K360" s="18"/>
      <c r="L360" s="13">
        <f>SUM(F360:K360)</f>
        <v>189344.81</v>
      </c>
      <c r="M360" s="8"/>
      <c r="N360" s="165"/>
    </row>
    <row r="361" spans="1:22" s="3" customFormat="1" ht="12.2" customHeight="1" x14ac:dyDescent="0.15">
      <c r="A361" s="3" t="s">
        <v>543</v>
      </c>
      <c r="B361" s="2" t="s">
        <v>366</v>
      </c>
      <c r="C361" s="6">
        <v>3</v>
      </c>
      <c r="D361" s="2" t="s">
        <v>431</v>
      </c>
      <c r="E361" s="6"/>
      <c r="F361" s="18"/>
      <c r="G361" s="18"/>
      <c r="H361" s="18">
        <v>253570.78</v>
      </c>
      <c r="I361" s="18">
        <v>4629.8599999999997</v>
      </c>
      <c r="J361" s="18">
        <v>9811.7900000000009</v>
      </c>
      <c r="K361" s="18"/>
      <c r="L361" s="13">
        <f>SUM(F361:K361)</f>
        <v>268012.43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813582.36</v>
      </c>
      <c r="I363" s="38">
        <f t="shared" si="22"/>
        <v>14854.91</v>
      </c>
      <c r="J363" s="38">
        <f t="shared" si="22"/>
        <v>31481.15</v>
      </c>
      <c r="K363" s="38">
        <f t="shared" si="22"/>
        <v>0</v>
      </c>
      <c r="L363" s="38">
        <f t="shared" si="22"/>
        <v>859918.41999999993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6954.16</v>
      </c>
      <c r="G368" s="18">
        <v>3270.89</v>
      </c>
      <c r="H368" s="18">
        <v>4629.8599999999997</v>
      </c>
      <c r="I368" s="13">
        <f>SUM(F368:H368)</f>
        <v>14854.91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6954.16</v>
      </c>
      <c r="G370" s="38">
        <f>SUM(G368:G369)</f>
        <v>3270.89</v>
      </c>
      <c r="H370" s="38">
        <f>SUM(H368:H369)</f>
        <v>4629.8599999999997</v>
      </c>
      <c r="I370" s="38">
        <f>SUM(I368:I369)</f>
        <v>14854.91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v>133.99</v>
      </c>
      <c r="I389" s="18"/>
      <c r="J389" s="23" t="s">
        <v>288</v>
      </c>
      <c r="K389" s="23" t="s">
        <v>288</v>
      </c>
      <c r="L389" s="13">
        <f t="shared" si="25"/>
        <v>133.99</v>
      </c>
      <c r="M389" s="8"/>
      <c r="N389" s="165"/>
    </row>
    <row r="390" spans="1:14" s="3" customFormat="1" ht="12.2" customHeight="1" x14ac:dyDescent="0.15">
      <c r="A390" s="62" t="s">
        <v>552</v>
      </c>
      <c r="B390" s="2" t="s">
        <v>381</v>
      </c>
      <c r="C390" s="6">
        <v>3</v>
      </c>
      <c r="D390" s="2" t="s">
        <v>432</v>
      </c>
      <c r="E390" s="6"/>
      <c r="F390" s="18"/>
      <c r="G390" s="18"/>
      <c r="H390" s="18">
        <v>19651.27</v>
      </c>
      <c r="I390" s="18"/>
      <c r="J390" s="23" t="s">
        <v>288</v>
      </c>
      <c r="K390" s="23" t="s">
        <v>288</v>
      </c>
      <c r="L390" s="13">
        <f t="shared" si="25"/>
        <v>19651.27</v>
      </c>
      <c r="M390" s="8"/>
      <c r="N390" s="165"/>
    </row>
    <row r="391" spans="1:14" s="3" customFormat="1" ht="12.2" customHeight="1" x14ac:dyDescent="0.15">
      <c r="A391" s="62" t="s">
        <v>553</v>
      </c>
      <c r="B391" s="2" t="s">
        <v>381</v>
      </c>
      <c r="C391" s="6">
        <v>4</v>
      </c>
      <c r="D391" s="2" t="s">
        <v>432</v>
      </c>
      <c r="E391" s="6"/>
      <c r="F391" s="18"/>
      <c r="G391" s="18"/>
      <c r="H391" s="18">
        <v>10302.14</v>
      </c>
      <c r="I391" s="18"/>
      <c r="J391" s="23" t="s">
        <v>288</v>
      </c>
      <c r="K391" s="23" t="s">
        <v>288</v>
      </c>
      <c r="L391" s="13">
        <f t="shared" si="25"/>
        <v>10302.14</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30087.4</v>
      </c>
      <c r="I394" s="54">
        <f>SUM(I388:I393)</f>
        <v>0</v>
      </c>
      <c r="J394" s="42" t="s">
        <v>288</v>
      </c>
      <c r="K394" s="42" t="s">
        <v>288</v>
      </c>
      <c r="L394" s="38">
        <f>SUM(L388:L393)</f>
        <v>30087.4</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v>25548.29</v>
      </c>
      <c r="I398" s="18"/>
      <c r="J398" s="23" t="s">
        <v>288</v>
      </c>
      <c r="K398" s="23" t="s">
        <v>288</v>
      </c>
      <c r="L398" s="13">
        <f t="shared" si="26"/>
        <v>25548.29</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238256.42</v>
      </c>
      <c r="I401" s="18"/>
      <c r="J401" s="23" t="s">
        <v>288</v>
      </c>
      <c r="K401" s="23" t="s">
        <v>288</v>
      </c>
      <c r="L401" s="13">
        <f t="shared" si="26"/>
        <v>238256.42</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263804.71000000002</v>
      </c>
      <c r="I402" s="38">
        <f>SUM(I396:I401)</f>
        <v>0</v>
      </c>
      <c r="J402" s="42" t="s">
        <v>288</v>
      </c>
      <c r="K402" s="42" t="s">
        <v>288</v>
      </c>
      <c r="L402" s="38">
        <f>SUM(L396:L401)</f>
        <v>263804.71000000002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293892.11000000004</v>
      </c>
      <c r="I409" s="38">
        <f>I394+I402+I408</f>
        <v>0</v>
      </c>
      <c r="J409" s="23" t="s">
        <v>288</v>
      </c>
      <c r="K409" s="23" t="s">
        <v>288</v>
      </c>
      <c r="L409" s="38">
        <f>L394+L402+L408</f>
        <v>293892.11000000004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1503152.98</v>
      </c>
      <c r="G441" s="18">
        <v>8428901.4299999997</v>
      </c>
      <c r="H441" s="18"/>
      <c r="I441" s="13">
        <f t="shared" si="33"/>
        <v>9932054.4100000001</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1503152.98</v>
      </c>
      <c r="G447" s="13">
        <f>SUM(G440:G446)</f>
        <v>8428901.4299999997</v>
      </c>
      <c r="H447" s="13">
        <f>SUM(H440:H446)</f>
        <v>0</v>
      </c>
      <c r="I447" s="13">
        <f>SUM(I440:I446)</f>
        <v>9932054.4100000001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1503152.98</v>
      </c>
      <c r="G460" s="18">
        <v>8428901.4299999997</v>
      </c>
      <c r="H460" s="18"/>
      <c r="I460" s="13">
        <f t="shared" si="34"/>
        <v>9932054.4100000001</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1503152.98</v>
      </c>
      <c r="G461" s="65">
        <f>SUM(G455:G460)</f>
        <v>8428901.4299999997</v>
      </c>
      <c r="H461" s="65">
        <f>SUM(H455:H460)</f>
        <v>0</v>
      </c>
      <c r="I461" s="65">
        <f>SUM(I455:I460)</f>
        <v>9932054.4100000001</v>
      </c>
      <c r="J461" s="23" t="s">
        <v>288</v>
      </c>
      <c r="K461" s="23" t="s">
        <v>288</v>
      </c>
      <c r="L461" s="23" t="s">
        <v>288</v>
      </c>
      <c r="N461" s="131"/>
    </row>
    <row r="462" spans="1:86" ht="12.2" customHeight="1" thickTop="1" x14ac:dyDescent="0.2">
      <c r="A462" s="40" t="s">
        <v>424</v>
      </c>
      <c r="B462" s="41">
        <v>18</v>
      </c>
      <c r="C462" s="64">
        <v>21</v>
      </c>
      <c r="D462" s="114" t="s">
        <v>432</v>
      </c>
      <c r="E462" s="64"/>
      <c r="F462" s="39">
        <f>F453+F461</f>
        <v>1503152.98</v>
      </c>
      <c r="G462" s="39">
        <f>G453+G461</f>
        <v>8428901.4299999997</v>
      </c>
      <c r="H462" s="39">
        <f>H453+H461</f>
        <v>0</v>
      </c>
      <c r="I462" s="39">
        <f>I453+I461</f>
        <v>9932054.4100000001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2104756.9500000002</v>
      </c>
      <c r="G466" s="18">
        <v>118667.04</v>
      </c>
      <c r="H466" s="18">
        <v>-46115.73</v>
      </c>
      <c r="I466" s="18"/>
      <c r="J466" s="18">
        <v>9638162.3000000007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33528064.350000001</v>
      </c>
      <c r="G469" s="18">
        <v>730944.67</v>
      </c>
      <c r="H469" s="18">
        <v>5570680.4199999999</v>
      </c>
      <c r="I469" s="18"/>
      <c r="J469" s="18">
        <v>293892.11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33528064.350000001</v>
      </c>
      <c r="G471" s="19">
        <f>SUM(G469:G470)</f>
        <v>730944.67</v>
      </c>
      <c r="H471" s="19">
        <f>SUM(H469:H470)</f>
        <v>5570680.4199999999</v>
      </c>
      <c r="I471" s="19">
        <f>SUM(I469:I470)</f>
        <v>0</v>
      </c>
      <c r="J471" s="19">
        <f>SUM(J469:J470)</f>
        <v>293892.11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34018271.990000002</v>
      </c>
      <c r="G473" s="18">
        <v>859918.42</v>
      </c>
      <c r="H473" s="18">
        <v>5570680.4199999999</v>
      </c>
      <c r="I473" s="18"/>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34018271.990000002</v>
      </c>
      <c r="G475" s="19">
        <f>SUM(G473:G474)</f>
        <v>859918.42</v>
      </c>
      <c r="H475" s="19">
        <f>SUM(H473:H474)</f>
        <v>5570680.4199999999</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1614549.3100000024</v>
      </c>
      <c r="G477" s="19">
        <f>(G466+G471)- G475</f>
        <v>-10306.709999999963</v>
      </c>
      <c r="H477" s="19">
        <f>(H466+H471)- H475</f>
        <v>-46115.730000000447</v>
      </c>
      <c r="I477" s="19">
        <f>(I466+I471)- I475</f>
        <v>0</v>
      </c>
      <c r="J477" s="19">
        <f>(J466+J471)- J475</f>
        <v>9932054.4100000001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11195000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3.58</v>
      </c>
      <c r="G495" s="18"/>
      <c r="H495" s="18"/>
      <c r="I495" s="18"/>
      <c r="J495" s="18"/>
      <c r="K495" s="23" t="s">
        <v>288</v>
      </c>
      <c r="L495" s="23" t="s">
        <v>288</v>
      </c>
      <c r="N495" s="131"/>
    </row>
    <row r="496" spans="1:14" ht="12.2" customHeight="1" x14ac:dyDescent="0.2">
      <c r="A496" s="21" t="s">
        <v>619</v>
      </c>
      <c r="B496" s="22">
        <v>20</v>
      </c>
      <c r="C496" s="22">
        <v>6</v>
      </c>
      <c r="D496" s="2" t="s">
        <v>432</v>
      </c>
      <c r="E496" s="22"/>
      <c r="F496" s="18">
        <v>6710000</v>
      </c>
      <c r="G496" s="18"/>
      <c r="H496" s="18"/>
      <c r="I496" s="18"/>
      <c r="J496" s="18"/>
      <c r="K496" s="19">
        <f>SUM(F496:J496)</f>
        <v>6710000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560000</v>
      </c>
      <c r="G498" s="18"/>
      <c r="H498" s="18"/>
      <c r="I498" s="18"/>
      <c r="J498" s="18"/>
      <c r="K498" s="19">
        <f t="shared" si="35"/>
        <v>560000</v>
      </c>
      <c r="L498" s="23" t="s">
        <v>288</v>
      </c>
      <c r="N498" s="131"/>
    </row>
    <row r="499" spans="1:14" ht="12.2" customHeight="1" x14ac:dyDescent="0.2">
      <c r="A499" s="144" t="s">
        <v>622</v>
      </c>
      <c r="B499" s="145">
        <v>20</v>
      </c>
      <c r="C499" s="145">
        <v>9</v>
      </c>
      <c r="D499" s="146" t="s">
        <v>432</v>
      </c>
      <c r="E499" s="145"/>
      <c r="F499" s="147">
        <v>6150000</v>
      </c>
      <c r="G499" s="147"/>
      <c r="H499" s="147"/>
      <c r="I499" s="147"/>
      <c r="J499" s="147"/>
      <c r="K499" s="148">
        <f t="shared" si="35"/>
        <v>6150000</v>
      </c>
      <c r="L499" s="149" t="s">
        <v>288</v>
      </c>
      <c r="N499" s="131"/>
    </row>
    <row r="500" spans="1:14" ht="12.2" customHeight="1" thickBot="1" x14ac:dyDescent="0.25">
      <c r="A500" s="21" t="s">
        <v>623</v>
      </c>
      <c r="B500" s="22">
        <v>20</v>
      </c>
      <c r="C500" s="22">
        <v>10</v>
      </c>
      <c r="D500" s="2" t="s">
        <v>432</v>
      </c>
      <c r="E500" s="22"/>
      <c r="F500" s="18">
        <v>1431275</v>
      </c>
      <c r="G500" s="18"/>
      <c r="H500" s="18"/>
      <c r="I500" s="18"/>
      <c r="J500" s="18"/>
      <c r="K500" s="19">
        <f t="shared" si="35"/>
        <v>1431275</v>
      </c>
      <c r="L500" s="23" t="s">
        <v>288</v>
      </c>
      <c r="N500" s="131"/>
    </row>
    <row r="501" spans="1:14" ht="12.2" customHeight="1" thickTop="1" x14ac:dyDescent="0.2">
      <c r="A501" s="97" t="s">
        <v>624</v>
      </c>
      <c r="B501" s="41">
        <v>20</v>
      </c>
      <c r="C501" s="41">
        <v>11</v>
      </c>
      <c r="D501" s="36" t="s">
        <v>432</v>
      </c>
      <c r="E501" s="41"/>
      <c r="F501" s="39">
        <f>SUM(F499:F500)</f>
        <v>7581275</v>
      </c>
      <c r="G501" s="39">
        <f>SUM(G499:G500)</f>
        <v>0</v>
      </c>
      <c r="H501" s="39">
        <f>SUM(H499:H500)</f>
        <v>0</v>
      </c>
      <c r="I501" s="39">
        <f>SUM(I499:I500)</f>
        <v>0</v>
      </c>
      <c r="J501" s="39">
        <f>SUM(J499:J500)</f>
        <v>0</v>
      </c>
      <c r="K501" s="39">
        <f t="shared" si="35"/>
        <v>7581275</v>
      </c>
      <c r="L501" s="42" t="s">
        <v>288</v>
      </c>
      <c r="N501" s="131"/>
    </row>
    <row r="502" spans="1:14" ht="12.2" customHeight="1" x14ac:dyDescent="0.2">
      <c r="A502" s="144" t="s">
        <v>651</v>
      </c>
      <c r="B502" s="145">
        <v>20</v>
      </c>
      <c r="C502" s="145">
        <v>12</v>
      </c>
      <c r="D502" s="146" t="s">
        <v>432</v>
      </c>
      <c r="E502" s="145"/>
      <c r="F502" s="147">
        <v>560000</v>
      </c>
      <c r="G502" s="147"/>
      <c r="H502" s="147"/>
      <c r="I502" s="147"/>
      <c r="J502" s="147"/>
      <c r="K502" s="148">
        <f t="shared" si="35"/>
        <v>560000</v>
      </c>
      <c r="L502" s="149" t="s">
        <v>288</v>
      </c>
      <c r="N502" s="131"/>
    </row>
    <row r="503" spans="1:14" ht="12.2" customHeight="1" thickBot="1" x14ac:dyDescent="0.25">
      <c r="A503" s="21" t="s">
        <v>625</v>
      </c>
      <c r="B503" s="22">
        <v>20</v>
      </c>
      <c r="C503" s="22">
        <v>13</v>
      </c>
      <c r="D503" s="2" t="s">
        <v>432</v>
      </c>
      <c r="E503" s="22"/>
      <c r="F503" s="18">
        <v>288870</v>
      </c>
      <c r="G503" s="18"/>
      <c r="H503" s="18"/>
      <c r="I503" s="18"/>
      <c r="J503" s="18"/>
      <c r="K503" s="19">
        <f t="shared" si="35"/>
        <v>288870</v>
      </c>
      <c r="L503" s="23" t="s">
        <v>288</v>
      </c>
      <c r="N503" s="131"/>
    </row>
    <row r="504" spans="1:14" ht="12.2" customHeight="1" thickTop="1" x14ac:dyDescent="0.2">
      <c r="A504" s="97" t="s">
        <v>626</v>
      </c>
      <c r="B504" s="41">
        <v>20</v>
      </c>
      <c r="C504" s="41">
        <v>14</v>
      </c>
      <c r="D504" s="36" t="s">
        <v>432</v>
      </c>
      <c r="E504" s="41"/>
      <c r="F504" s="39">
        <f>SUM(F502:F503)</f>
        <v>848870</v>
      </c>
      <c r="G504" s="39">
        <f>SUM(G502:G503)</f>
        <v>0</v>
      </c>
      <c r="H504" s="39">
        <f>SUM(H502:H503)</f>
        <v>0</v>
      </c>
      <c r="I504" s="39">
        <f>SUM(I502:I503)</f>
        <v>0</v>
      </c>
      <c r="J504" s="39">
        <f>SUM(J502:J503)</f>
        <v>0</v>
      </c>
      <c r="K504" s="39">
        <f t="shared" si="35"/>
        <v>848870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2040722.41+147361.84</f>
        <v>2188084.25</v>
      </c>
      <c r="G522" s="18">
        <f>917763.5+89103.69</f>
        <v>1006867.19</v>
      </c>
      <c r="H522" s="18">
        <v>497068.91</v>
      </c>
      <c r="I522" s="18">
        <v>33808.94</v>
      </c>
      <c r="J522" s="18">
        <v>4448.46</v>
      </c>
      <c r="K522" s="18">
        <v>0</v>
      </c>
      <c r="L522" s="69">
        <f>SUM(F522:K522)</f>
        <v>3730277.75</v>
      </c>
      <c r="N522" s="131"/>
    </row>
    <row r="523" spans="1:14" ht="12.2" customHeight="1" x14ac:dyDescent="0.2">
      <c r="A523" s="21" t="s">
        <v>634</v>
      </c>
      <c r="B523" s="22">
        <v>21</v>
      </c>
      <c r="C523" s="22">
        <v>2</v>
      </c>
      <c r="D523" s="2" t="s">
        <v>432</v>
      </c>
      <c r="E523" s="22"/>
      <c r="F523" s="18">
        <v>543083.22</v>
      </c>
      <c r="G523" s="18">
        <v>217443.73</v>
      </c>
      <c r="H523" s="18">
        <v>1297952</v>
      </c>
      <c r="I523" s="18">
        <v>11339.48</v>
      </c>
      <c r="J523" s="18">
        <v>0</v>
      </c>
      <c r="K523" s="18">
        <v>0</v>
      </c>
      <c r="L523" s="69">
        <f>SUM(F523:K523)</f>
        <v>2069818.43</v>
      </c>
      <c r="N523" s="131"/>
    </row>
    <row r="524" spans="1:14" ht="12.2" customHeight="1" thickBot="1" x14ac:dyDescent="0.25">
      <c r="A524" s="21" t="s">
        <v>635</v>
      </c>
      <c r="B524" s="22">
        <v>21</v>
      </c>
      <c r="C524" s="22">
        <v>3</v>
      </c>
      <c r="D524" s="2" t="s">
        <v>432</v>
      </c>
      <c r="E524" s="22"/>
      <c r="F524" s="18">
        <f>461126.32+98108.83</f>
        <v>559235.15</v>
      </c>
      <c r="G524" s="18">
        <f>233724.53+59322.4</f>
        <v>293046.93</v>
      </c>
      <c r="H524" s="18">
        <v>2105068.89</v>
      </c>
      <c r="I524" s="18">
        <v>13882.29</v>
      </c>
      <c r="J524" s="18"/>
      <c r="K524" s="18"/>
      <c r="L524" s="69">
        <f>SUM(F524:K524)</f>
        <v>2971233.2600000002</v>
      </c>
      <c r="N524" s="131"/>
    </row>
    <row r="525" spans="1:14" ht="12.2" customHeight="1" thickTop="1" x14ac:dyDescent="0.2">
      <c r="A525" s="97" t="s">
        <v>63</v>
      </c>
      <c r="B525" s="41">
        <v>21</v>
      </c>
      <c r="C525" s="41">
        <v>4</v>
      </c>
      <c r="D525" s="115" t="s">
        <v>432</v>
      </c>
      <c r="E525" s="41"/>
      <c r="F525" s="81">
        <f>SUM(F522:F524)</f>
        <v>3290402.6199999996</v>
      </c>
      <c r="G525" s="81">
        <f t="shared" ref="G525:L525" si="36">SUM(G522:G524)</f>
        <v>1517357.8499999999</v>
      </c>
      <c r="H525" s="81">
        <f t="shared" si="36"/>
        <v>3900089.8</v>
      </c>
      <c r="I525" s="81">
        <f t="shared" si="36"/>
        <v>59030.71</v>
      </c>
      <c r="J525" s="81">
        <f t="shared" si="36"/>
        <v>4448.46</v>
      </c>
      <c r="K525" s="81">
        <f t="shared" si="36"/>
        <v>0</v>
      </c>
      <c r="L525" s="70">
        <f t="shared" si="36"/>
        <v>8771329.4399999995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168093.61+94672.63</f>
        <v>262766.24</v>
      </c>
      <c r="G527" s="18">
        <f>47084.05+113998.89</f>
        <v>161082.94</v>
      </c>
      <c r="H527" s="18"/>
      <c r="I527" s="18">
        <f>1012.46+174.37</f>
        <v>1186.83</v>
      </c>
      <c r="J527" s="18"/>
      <c r="K527" s="18"/>
      <c r="L527" s="69">
        <f>SUM(F527:K527)</f>
        <v>425036.01</v>
      </c>
      <c r="M527" s="8"/>
      <c r="N527" s="165"/>
    </row>
    <row r="528" spans="1:14" s="3" customFormat="1" ht="12.2" customHeight="1" x14ac:dyDescent="0.15">
      <c r="A528" s="21" t="s">
        <v>634</v>
      </c>
      <c r="B528" s="22">
        <v>21</v>
      </c>
      <c r="C528" s="22">
        <v>6</v>
      </c>
      <c r="D528" s="2" t="s">
        <v>432</v>
      </c>
      <c r="E528" s="22"/>
      <c r="F528" s="18">
        <f>186381.15+44529.31</f>
        <v>230910.46</v>
      </c>
      <c r="G528" s="18">
        <f>125153.21+22146</f>
        <v>147299.21000000002</v>
      </c>
      <c r="H528" s="18"/>
      <c r="I528" s="18">
        <v>819.06</v>
      </c>
      <c r="J528" s="18"/>
      <c r="K528" s="18"/>
      <c r="L528" s="69">
        <f>SUM(F528:K528)</f>
        <v>379028.73000000004</v>
      </c>
      <c r="M528" s="8"/>
      <c r="N528" s="165"/>
    </row>
    <row r="529" spans="1:14" s="3" customFormat="1" ht="12.2" customHeight="1" thickBot="1" x14ac:dyDescent="0.2">
      <c r="A529" s="21" t="s">
        <v>635</v>
      </c>
      <c r="B529" s="22">
        <v>21</v>
      </c>
      <c r="C529" s="22">
        <v>7</v>
      </c>
      <c r="D529" s="2" t="s">
        <v>432</v>
      </c>
      <c r="E529" s="22"/>
      <c r="F529" s="18">
        <f>119797.35+0.03</f>
        <v>119797.38</v>
      </c>
      <c r="G529" s="18">
        <f>72823.13+31347.06</f>
        <v>104170.19</v>
      </c>
      <c r="H529" s="18"/>
      <c r="I529" s="18">
        <f>97+1159.35</f>
        <v>1256.3499999999999</v>
      </c>
      <c r="J529" s="18"/>
      <c r="K529" s="18"/>
      <c r="L529" s="69">
        <f>SUM(F529:K529)</f>
        <v>225223.92</v>
      </c>
      <c r="M529" s="8"/>
      <c r="N529" s="165"/>
    </row>
    <row r="530" spans="1:14" s="3" customFormat="1" ht="12.2" customHeight="1" thickTop="1" x14ac:dyDescent="0.15">
      <c r="A530" s="97" t="s">
        <v>65</v>
      </c>
      <c r="B530" s="41">
        <v>21</v>
      </c>
      <c r="C530" s="41">
        <v>8</v>
      </c>
      <c r="D530" s="115" t="s">
        <v>432</v>
      </c>
      <c r="E530" s="41"/>
      <c r="F530" s="70">
        <f>SUM(F527:F529)</f>
        <v>613474.07999999996</v>
      </c>
      <c r="G530" s="70">
        <f t="shared" ref="G530:L530" si="37">SUM(G527:G529)</f>
        <v>412552.34</v>
      </c>
      <c r="H530" s="70">
        <f t="shared" si="37"/>
        <v>0</v>
      </c>
      <c r="I530" s="70">
        <f t="shared" si="37"/>
        <v>3262.24</v>
      </c>
      <c r="J530" s="70">
        <f t="shared" si="37"/>
        <v>0</v>
      </c>
      <c r="K530" s="70">
        <f t="shared" si="37"/>
        <v>0</v>
      </c>
      <c r="L530" s="70">
        <f t="shared" si="37"/>
        <v>1029288.66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55523.48+66737.33</f>
        <v>122260.81</v>
      </c>
      <c r="G532" s="18">
        <f>37795.51+39244.25</f>
        <v>77039.760000000009</v>
      </c>
      <c r="H532" s="18"/>
      <c r="I532" s="18"/>
      <c r="J532" s="18"/>
      <c r="K532" s="18"/>
      <c r="L532" s="69">
        <f>SUM(F532:K532)</f>
        <v>199300.57</v>
      </c>
      <c r="M532" s="8"/>
      <c r="N532" s="165"/>
    </row>
    <row r="533" spans="1:14" s="3" customFormat="1" ht="12.2" customHeight="1" x14ac:dyDescent="0.15">
      <c r="A533" s="21" t="s">
        <v>634</v>
      </c>
      <c r="B533" s="22">
        <v>21</v>
      </c>
      <c r="C533" s="22">
        <v>10</v>
      </c>
      <c r="D533" s="2" t="s">
        <v>432</v>
      </c>
      <c r="E533" s="22"/>
      <c r="F533" s="18">
        <f>26115.49+31389.93</f>
        <v>57505.42</v>
      </c>
      <c r="G533" s="18">
        <f>17777.14+18458.55</f>
        <v>36235.69</v>
      </c>
      <c r="H533" s="18"/>
      <c r="I533" s="18"/>
      <c r="J533" s="18"/>
      <c r="K533" s="18"/>
      <c r="L533" s="69">
        <f>SUM(F533:K533)</f>
        <v>93741.11</v>
      </c>
      <c r="M533" s="8"/>
      <c r="N533" s="165"/>
    </row>
    <row r="534" spans="1:14" s="3" customFormat="1" ht="12.2" customHeight="1" thickBot="1" x14ac:dyDescent="0.2">
      <c r="A534" s="21" t="s">
        <v>635</v>
      </c>
      <c r="B534" s="22">
        <v>21</v>
      </c>
      <c r="C534" s="22">
        <v>11</v>
      </c>
      <c r="D534" s="2" t="s">
        <v>432</v>
      </c>
      <c r="E534" s="22"/>
      <c r="F534" s="18">
        <f>36965.77+44431.59</f>
        <v>81397.359999999986</v>
      </c>
      <c r="G534" s="18">
        <f>25163.05+26127.57</f>
        <v>51290.619999999995</v>
      </c>
      <c r="H534" s="18"/>
      <c r="I534" s="18"/>
      <c r="J534" s="18"/>
      <c r="K534" s="18"/>
      <c r="L534" s="69">
        <f>SUM(F534:K534)</f>
        <v>132687.97999999998</v>
      </c>
      <c r="M534" s="8"/>
      <c r="N534" s="165"/>
    </row>
    <row r="535" spans="1:14" s="3" customFormat="1" ht="12.2" customHeight="1" thickTop="1" x14ac:dyDescent="0.15">
      <c r="A535" s="97" t="s">
        <v>67</v>
      </c>
      <c r="B535" s="41">
        <v>21</v>
      </c>
      <c r="C535" s="41">
        <v>12</v>
      </c>
      <c r="D535" s="115" t="s">
        <v>432</v>
      </c>
      <c r="E535" s="41"/>
      <c r="F535" s="70">
        <f>SUM(F532:F534)</f>
        <v>261163.58999999997</v>
      </c>
      <c r="G535" s="70">
        <f t="shared" ref="G535:L535" si="38">SUM(G532:G534)</f>
        <v>164566.07</v>
      </c>
      <c r="H535" s="70">
        <f t="shared" si="38"/>
        <v>0</v>
      </c>
      <c r="I535" s="70">
        <f t="shared" si="38"/>
        <v>0</v>
      </c>
      <c r="J535" s="70">
        <f t="shared" si="38"/>
        <v>0</v>
      </c>
      <c r="K535" s="70">
        <f t="shared" si="38"/>
        <v>0</v>
      </c>
      <c r="L535" s="70">
        <f t="shared" si="38"/>
        <v>425729.66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4155.82</v>
      </c>
      <c r="I537" s="18"/>
      <c r="J537" s="18"/>
      <c r="K537" s="18"/>
      <c r="L537" s="69">
        <f>SUM(F537:K537)</f>
        <v>4155.82</v>
      </c>
      <c r="M537" s="8"/>
      <c r="N537" s="165"/>
    </row>
    <row r="538" spans="1:14" s="3" customFormat="1" ht="12.2" customHeight="1" x14ac:dyDescent="0.15">
      <c r="A538" s="21" t="s">
        <v>634</v>
      </c>
      <c r="B538" s="22">
        <v>21</v>
      </c>
      <c r="C538" s="22">
        <v>14</v>
      </c>
      <c r="D538" s="2" t="s">
        <v>432</v>
      </c>
      <c r="E538" s="22"/>
      <c r="F538" s="18"/>
      <c r="G538" s="18"/>
      <c r="H538" s="18">
        <v>1954.69</v>
      </c>
      <c r="I538" s="18"/>
      <c r="J538" s="18"/>
      <c r="K538" s="18"/>
      <c r="L538" s="69">
        <f>SUM(F538:K538)</f>
        <v>1954.69</v>
      </c>
      <c r="M538" s="8"/>
      <c r="N538" s="165"/>
    </row>
    <row r="539" spans="1:14" s="3" customFormat="1" ht="12.2" customHeight="1" thickBot="1" x14ac:dyDescent="0.2">
      <c r="A539" s="21" t="s">
        <v>635</v>
      </c>
      <c r="B539" s="22">
        <v>21</v>
      </c>
      <c r="C539" s="22">
        <v>15</v>
      </c>
      <c r="D539" s="2" t="s">
        <v>432</v>
      </c>
      <c r="E539" s="22"/>
      <c r="F539" s="18"/>
      <c r="G539" s="18"/>
      <c r="H539" s="18">
        <v>2766.81</v>
      </c>
      <c r="I539" s="18"/>
      <c r="J539" s="18"/>
      <c r="K539" s="18"/>
      <c r="L539" s="69">
        <f>SUM(F539:K539)</f>
        <v>2766.81</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8877.32</v>
      </c>
      <c r="I540" s="70">
        <f t="shared" si="39"/>
        <v>0</v>
      </c>
      <c r="J540" s="70">
        <f t="shared" si="39"/>
        <v>0</v>
      </c>
      <c r="K540" s="70">
        <f t="shared" si="39"/>
        <v>0</v>
      </c>
      <c r="L540" s="70">
        <f t="shared" si="39"/>
        <v>8877.32</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28418.04</v>
      </c>
      <c r="I542" s="18"/>
      <c r="J542" s="18"/>
      <c r="K542" s="18"/>
      <c r="L542" s="69">
        <f>SUM(F542:K542)</f>
        <v>28418.04</v>
      </c>
      <c r="M542" s="8"/>
      <c r="N542" s="165"/>
    </row>
    <row r="543" spans="1:14" s="3" customFormat="1" ht="12.2" customHeight="1" x14ac:dyDescent="0.15">
      <c r="A543" s="21" t="s">
        <v>634</v>
      </c>
      <c r="B543" s="22">
        <v>21</v>
      </c>
      <c r="C543" s="22">
        <v>18</v>
      </c>
      <c r="D543" s="2" t="s">
        <v>432</v>
      </c>
      <c r="E543" s="22"/>
      <c r="F543" s="18"/>
      <c r="G543" s="18"/>
      <c r="H543" s="18">
        <v>18886.349999999999</v>
      </c>
      <c r="I543" s="18"/>
      <c r="J543" s="18"/>
      <c r="K543" s="18"/>
      <c r="L543" s="69">
        <f>SUM(F543:K543)</f>
        <v>18886.349999999999</v>
      </c>
      <c r="M543" s="8"/>
      <c r="N543" s="165"/>
    </row>
    <row r="544" spans="1:14" s="3" customFormat="1" ht="12.2" customHeight="1" thickBot="1" x14ac:dyDescent="0.2">
      <c r="A544" s="21" t="s">
        <v>635</v>
      </c>
      <c r="B544" s="22">
        <v>21</v>
      </c>
      <c r="C544" s="22">
        <v>19</v>
      </c>
      <c r="D544" s="2" t="s">
        <v>432</v>
      </c>
      <c r="E544" s="22"/>
      <c r="F544" s="18"/>
      <c r="G544" s="18"/>
      <c r="H544" s="18">
        <v>118930.13</v>
      </c>
      <c r="I544" s="18"/>
      <c r="J544" s="18"/>
      <c r="K544" s="18"/>
      <c r="L544" s="69">
        <f>SUM(F544:K544)</f>
        <v>118930.13</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166234.52000000002</v>
      </c>
      <c r="I545" s="141">
        <f t="shared" si="40"/>
        <v>0</v>
      </c>
      <c r="J545" s="141">
        <f t="shared" si="40"/>
        <v>0</v>
      </c>
      <c r="K545" s="141">
        <f t="shared" si="40"/>
        <v>0</v>
      </c>
      <c r="L545" s="141">
        <f t="shared" si="40"/>
        <v>166234.52000000002</v>
      </c>
      <c r="M545" s="8"/>
      <c r="N545" s="165"/>
    </row>
    <row r="546" spans="1:14" s="3" customFormat="1" ht="12.2" customHeight="1" thickTop="1" x14ac:dyDescent="0.15">
      <c r="A546" s="75" t="s">
        <v>72</v>
      </c>
      <c r="B546" s="41">
        <v>21</v>
      </c>
      <c r="C546" s="41">
        <v>21</v>
      </c>
      <c r="D546" s="115" t="s">
        <v>432</v>
      </c>
      <c r="E546" s="41"/>
      <c r="F546" s="70">
        <f>F525+F530+F535+F540+F545</f>
        <v>4165040.2899999996</v>
      </c>
      <c r="G546" s="70">
        <f t="shared" ref="G546:L546" si="41">G525+G530+G535+G540+G545</f>
        <v>2094476.26</v>
      </c>
      <c r="H546" s="70">
        <f t="shared" si="41"/>
        <v>4075201.6399999997</v>
      </c>
      <c r="I546" s="70">
        <f t="shared" si="41"/>
        <v>62292.95</v>
      </c>
      <c r="J546" s="70">
        <f t="shared" si="41"/>
        <v>4448.46</v>
      </c>
      <c r="K546" s="70">
        <f t="shared" si="41"/>
        <v>0</v>
      </c>
      <c r="L546" s="70">
        <f t="shared" si="41"/>
        <v>10401459.6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3730277.75</v>
      </c>
      <c r="G550" s="69">
        <f>L527</f>
        <v>425036.01</v>
      </c>
      <c r="H550" s="69">
        <f>L532</f>
        <v>199300.57</v>
      </c>
      <c r="I550" s="69">
        <f>L537</f>
        <v>4155.82</v>
      </c>
      <c r="J550" s="69">
        <f>L542</f>
        <v>28418.04</v>
      </c>
      <c r="K550" s="69">
        <f>SUM(F550:J550)</f>
        <v>4387188.1900000004</v>
      </c>
      <c r="L550" s="23" t="s">
        <v>288</v>
      </c>
      <c r="M550" s="8"/>
      <c r="N550" s="165"/>
    </row>
    <row r="551" spans="1:14" s="3" customFormat="1" ht="12.2" customHeight="1" x14ac:dyDescent="0.15">
      <c r="A551" s="21" t="s">
        <v>634</v>
      </c>
      <c r="B551" s="22">
        <v>21</v>
      </c>
      <c r="C551" s="22">
        <v>23</v>
      </c>
      <c r="D551" s="2" t="s">
        <v>432</v>
      </c>
      <c r="E551" s="22"/>
      <c r="F551" s="69">
        <f>L523</f>
        <v>2069818.43</v>
      </c>
      <c r="G551" s="69">
        <f>L528</f>
        <v>379028.73000000004</v>
      </c>
      <c r="H551" s="69">
        <f>L533</f>
        <v>93741.11</v>
      </c>
      <c r="I551" s="69">
        <f>L538</f>
        <v>1954.69</v>
      </c>
      <c r="J551" s="69">
        <f>L543</f>
        <v>18886.349999999999</v>
      </c>
      <c r="K551" s="69">
        <f>SUM(F551:J551)</f>
        <v>2563429.31</v>
      </c>
      <c r="L551" s="23" t="s">
        <v>288</v>
      </c>
      <c r="M551" s="8"/>
      <c r="N551" s="165"/>
    </row>
    <row r="552" spans="1:14" s="3" customFormat="1" ht="12.2" customHeight="1" thickBot="1" x14ac:dyDescent="0.2">
      <c r="A552" s="21" t="s">
        <v>635</v>
      </c>
      <c r="B552" s="22">
        <v>21</v>
      </c>
      <c r="C552" s="22">
        <v>24</v>
      </c>
      <c r="D552" s="2" t="s">
        <v>432</v>
      </c>
      <c r="E552" s="22"/>
      <c r="F552" s="69">
        <f>L524</f>
        <v>2971233.2600000002</v>
      </c>
      <c r="G552" s="69">
        <f>L529</f>
        <v>225223.92</v>
      </c>
      <c r="H552" s="69">
        <f>L534</f>
        <v>132687.97999999998</v>
      </c>
      <c r="I552" s="69">
        <f>L539</f>
        <v>2766.81</v>
      </c>
      <c r="J552" s="69">
        <f>L544</f>
        <v>118930.13</v>
      </c>
      <c r="K552" s="69">
        <f>SUM(F552:J552)</f>
        <v>3450842.1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8771329.4399999995</v>
      </c>
      <c r="G553" s="70">
        <f t="shared" si="42"/>
        <v>1029288.66</v>
      </c>
      <c r="H553" s="70">
        <f t="shared" si="42"/>
        <v>425729.66</v>
      </c>
      <c r="I553" s="70">
        <f t="shared" si="42"/>
        <v>8877.32</v>
      </c>
      <c r="J553" s="70">
        <f t="shared" si="42"/>
        <v>166234.52000000002</v>
      </c>
      <c r="K553" s="70">
        <f t="shared" si="42"/>
        <v>10401459.6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15347</v>
      </c>
      <c r="I576" s="69">
        <f>SUM(F576:H576)</f>
        <v>15347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178418.61</v>
      </c>
      <c r="G583" s="18">
        <v>1048121.3</v>
      </c>
      <c r="H583" s="18">
        <v>1662689.73</v>
      </c>
      <c r="I583" s="69">
        <f t="shared" si="47"/>
        <v>2889229.64</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11537.4</v>
      </c>
      <c r="I585" s="69">
        <f t="shared" si="47"/>
        <v>11537.4</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653775.81999999995</v>
      </c>
      <c r="I592" s="18">
        <v>302582.42</v>
      </c>
      <c r="J592" s="18">
        <v>328977.67</v>
      </c>
      <c r="K592" s="80">
        <f t="shared" ref="K592:K598" si="48">SUM(H592:J592)</f>
        <v>1285335.9099999999</v>
      </c>
      <c r="L592" s="23" t="s">
        <v>288</v>
      </c>
      <c r="M592" s="8"/>
      <c r="N592" s="165"/>
    </row>
    <row r="593" spans="1:14" s="3" customFormat="1" ht="12.2" customHeight="1" x14ac:dyDescent="0.15">
      <c r="A593" s="3" t="s">
        <v>638</v>
      </c>
      <c r="B593" s="22">
        <v>23</v>
      </c>
      <c r="C593" s="22">
        <v>2</v>
      </c>
      <c r="D593" s="2" t="s">
        <v>432</v>
      </c>
      <c r="E593" s="22"/>
      <c r="F593" s="78">
        <v>2722</v>
      </c>
      <c r="G593" s="79" t="s">
        <v>97</v>
      </c>
      <c r="H593" s="18">
        <f>141.6+28276.44</f>
        <v>28418.039999999997</v>
      </c>
      <c r="I593" s="18">
        <v>18886.349999999999</v>
      </c>
      <c r="J593" s="18">
        <v>118930.13</v>
      </c>
      <c r="K593" s="80">
        <f t="shared" si="48"/>
        <v>166234.52000000002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v>8139.92</v>
      </c>
      <c r="K595" s="80">
        <f t="shared" si="48"/>
        <v>8139.92</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1002.59</v>
      </c>
      <c r="I596" s="18"/>
      <c r="J596" s="18"/>
      <c r="K596" s="80">
        <f t="shared" si="48"/>
        <v>1002.59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683196.45</v>
      </c>
      <c r="I599" s="81">
        <f>SUM(I592:I598)</f>
        <v>321468.76999999996</v>
      </c>
      <c r="J599" s="81">
        <f>SUM(J592:J598)</f>
        <v>456047.72</v>
      </c>
      <c r="K599" s="81">
        <f>SUM(K592:K598)</f>
        <v>1460712.94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177461.74+62648.54</f>
        <v>240110.28</v>
      </c>
      <c r="I605" s="18">
        <f>83504.34+26997.78</f>
        <v>110502.12</v>
      </c>
      <c r="J605" s="18">
        <f>127767.54+65270.55</f>
        <v>193038.09</v>
      </c>
      <c r="K605" s="80">
        <f>SUM(H605:J605)</f>
        <v>543650.49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240110.28</v>
      </c>
      <c r="I606" s="81">
        <f>SUM(I603:I605)</f>
        <v>110502.12</v>
      </c>
      <c r="J606" s="81">
        <f>SUM(J603:J605)</f>
        <v>193038.09</v>
      </c>
      <c r="K606" s="81">
        <f>SUM(K603:K605)</f>
        <v>543650.49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3408481.64</v>
      </c>
      <c r="H618" s="80">
        <f>SUM(F52)</f>
        <v>3408481.64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308559.95</v>
      </c>
      <c r="H619" s="80">
        <f>SUM(G52)</f>
        <v>308559.94999999995</v>
      </c>
      <c r="I619" s="87" t="s">
        <v>875</v>
      </c>
      <c r="J619" s="80">
        <f>G619-H619</f>
        <v>0</v>
      </c>
      <c r="K619" s="80"/>
      <c r="L619" s="80"/>
      <c r="M619" s="8"/>
    </row>
    <row r="620" spans="1:14" s="3" customFormat="1" ht="12.2" customHeight="1" x14ac:dyDescent="0.15">
      <c r="A620" s="74"/>
      <c r="B620" s="22"/>
      <c r="C620" s="22"/>
      <c r="D620" s="22"/>
      <c r="E620" s="22"/>
      <c r="F620" s="87" t="s">
        <v>685</v>
      </c>
      <c r="G620" s="80">
        <f>SUM(H19)</f>
        <v>1940585.46</v>
      </c>
      <c r="H620" s="80">
        <f>SUM(H52)</f>
        <v>1940585.4600000002</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9932054.4100000001</v>
      </c>
      <c r="H622" s="80">
        <f>SUM(J52)</f>
        <v>9932054.4100000001</v>
      </c>
      <c r="I622" s="87" t="s">
        <v>878</v>
      </c>
      <c r="J622" s="80">
        <f>G622-H622</f>
        <v>0</v>
      </c>
      <c r="K622" s="80"/>
      <c r="L622" s="80"/>
      <c r="M622" s="8"/>
    </row>
    <row r="623" spans="1:14" s="3" customFormat="1" ht="12.2" customHeight="1" x14ac:dyDescent="0.15">
      <c r="A623" s="74"/>
      <c r="B623" s="22"/>
      <c r="C623" s="22"/>
      <c r="D623" s="22"/>
      <c r="E623" s="22"/>
      <c r="F623" s="87" t="s">
        <v>864</v>
      </c>
      <c r="G623" s="80">
        <f>F51</f>
        <v>1614549.31</v>
      </c>
      <c r="H623" s="80">
        <f>F477</f>
        <v>1614549.3100000024</v>
      </c>
      <c r="I623" s="87" t="s">
        <v>101</v>
      </c>
      <c r="J623" s="80">
        <f t="shared" ref="J623:J656" si="50">G623-H623</f>
        <v>-2.3283064365386963E-9</v>
      </c>
      <c r="K623" s="80"/>
      <c r="L623" s="80"/>
      <c r="M623" s="8"/>
    </row>
    <row r="624" spans="1:14" s="3" customFormat="1" ht="12.2" customHeight="1" x14ac:dyDescent="0.15">
      <c r="A624" s="74"/>
      <c r="B624" s="22"/>
      <c r="C624" s="85"/>
      <c r="D624" s="85"/>
      <c r="E624" s="85"/>
      <c r="F624" s="85" t="s">
        <v>865</v>
      </c>
      <c r="G624" s="80">
        <f>G51</f>
        <v>-10306.709999999999</v>
      </c>
      <c r="H624" s="80">
        <f>G477</f>
        <v>-10306.709999999963</v>
      </c>
      <c r="I624" s="87" t="s">
        <v>102</v>
      </c>
      <c r="J624" s="80">
        <f t="shared" si="50"/>
        <v>-3.637978807091713E-11</v>
      </c>
      <c r="K624" s="80"/>
      <c r="L624" s="80"/>
      <c r="M624" s="8"/>
    </row>
    <row r="625" spans="1:13" s="3" customFormat="1" ht="12.2" customHeight="1" x14ac:dyDescent="0.15">
      <c r="A625" s="74"/>
      <c r="B625" s="22"/>
      <c r="C625" s="22"/>
      <c r="D625" s="22"/>
      <c r="E625" s="22"/>
      <c r="F625" s="86" t="s">
        <v>866</v>
      </c>
      <c r="G625" s="80">
        <f>H51</f>
        <v>-46115.73</v>
      </c>
      <c r="H625" s="80">
        <f>H477</f>
        <v>-46115.730000000447</v>
      </c>
      <c r="I625" s="87" t="s">
        <v>103</v>
      </c>
      <c r="J625" s="80">
        <f t="shared" si="50"/>
        <v>4.4383341446518898E-10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9932054.4100000001</v>
      </c>
      <c r="H627" s="80">
        <f>J477</f>
        <v>9932054.4100000001</v>
      </c>
      <c r="I627" s="87" t="s">
        <v>105</v>
      </c>
      <c r="J627" s="80">
        <f t="shared" si="50"/>
        <v>0</v>
      </c>
      <c r="K627" s="67"/>
      <c r="L627" s="69"/>
      <c r="M627" s="8"/>
    </row>
    <row r="628" spans="1:13" s="3" customFormat="1" ht="12.2" customHeight="1" x14ac:dyDescent="0.15">
      <c r="A628" s="21"/>
      <c r="B628" s="22"/>
      <c r="C628" s="22"/>
      <c r="D628" s="22"/>
      <c r="E628" s="22"/>
      <c r="F628" s="86" t="s">
        <v>658</v>
      </c>
      <c r="G628" s="80">
        <f>F194</f>
        <v>33528064.349999998</v>
      </c>
      <c r="H628" s="80">
        <f>SUM(F469)</f>
        <v>33528064.350000001</v>
      </c>
      <c r="I628" s="87" t="s">
        <v>106</v>
      </c>
      <c r="J628" s="80">
        <f>G628-H628</f>
        <v>0</v>
      </c>
      <c r="K628" s="67"/>
      <c r="L628" s="69"/>
      <c r="M628" s="8"/>
    </row>
    <row r="629" spans="1:13" s="3" customFormat="1" ht="12.2" customHeight="1" x14ac:dyDescent="0.15">
      <c r="A629" s="21"/>
      <c r="B629" s="22"/>
      <c r="C629" s="22"/>
      <c r="D629" s="22"/>
      <c r="E629" s="22"/>
      <c r="F629" s="86" t="s">
        <v>659</v>
      </c>
      <c r="G629" s="80">
        <f>G194</f>
        <v>730944.66999999993</v>
      </c>
      <c r="H629" s="80">
        <f>SUM(G469)</f>
        <v>730944.67</v>
      </c>
      <c r="I629" s="87" t="s">
        <v>107</v>
      </c>
      <c r="J629" s="80">
        <f>G629-H629</f>
        <v>0</v>
      </c>
      <c r="K629" s="67"/>
      <c r="L629" s="69"/>
      <c r="M629" s="8"/>
    </row>
    <row r="630" spans="1:13" s="3" customFormat="1" ht="12.2" customHeight="1" x14ac:dyDescent="0.15">
      <c r="A630" s="21"/>
      <c r="B630" s="22"/>
      <c r="C630" s="22"/>
      <c r="D630" s="22"/>
      <c r="E630" s="22"/>
      <c r="F630" s="86" t="s">
        <v>660</v>
      </c>
      <c r="G630" s="80">
        <f>H194</f>
        <v>5570680.4199999999</v>
      </c>
      <c r="H630" s="80">
        <f>SUM(H469)</f>
        <v>5570680.4199999999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293892.11</v>
      </c>
      <c r="H632" s="80">
        <f>SUM(J469)</f>
        <v>293892.11</v>
      </c>
      <c r="I632" s="87" t="s">
        <v>110</v>
      </c>
      <c r="J632" s="80">
        <f>G632-H632</f>
        <v>0</v>
      </c>
      <c r="K632" s="67"/>
      <c r="L632" s="69"/>
      <c r="M632" s="8"/>
    </row>
    <row r="633" spans="1:13" s="3" customFormat="1" ht="12.2" customHeight="1" x14ac:dyDescent="0.15">
      <c r="A633" s="21"/>
      <c r="B633" s="22"/>
      <c r="C633" s="22"/>
      <c r="D633" s="22"/>
      <c r="E633" s="22"/>
      <c r="F633" s="86" t="s">
        <v>394</v>
      </c>
      <c r="G633" s="80">
        <f>SUM(L272)</f>
        <v>34018271.990000002</v>
      </c>
      <c r="H633" s="80">
        <f>SUM(F473)</f>
        <v>34018271.990000002</v>
      </c>
      <c r="I633" s="87" t="s">
        <v>111</v>
      </c>
      <c r="J633" s="80">
        <f t="shared" si="50"/>
        <v>0</v>
      </c>
      <c r="K633" s="67"/>
      <c r="L633" s="69"/>
      <c r="M633" s="8"/>
    </row>
    <row r="634" spans="1:13" s="3" customFormat="1" ht="12.2" customHeight="1" x14ac:dyDescent="0.15">
      <c r="A634" s="21"/>
      <c r="B634" s="22"/>
      <c r="C634" s="22"/>
      <c r="D634" s="22"/>
      <c r="E634" s="22"/>
      <c r="F634" s="86" t="s">
        <v>395</v>
      </c>
      <c r="G634" s="80">
        <f>SUM(L353)</f>
        <v>5570680.4199999999</v>
      </c>
      <c r="H634" s="80">
        <f>SUM(H473)</f>
        <v>5570680.4199999999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14854.91</v>
      </c>
      <c r="H635" s="80">
        <f>I370</f>
        <v>14854.91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859918.41999999993</v>
      </c>
      <c r="H636" s="80">
        <f>SUM(G473)</f>
        <v>859918.42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293892.11000000004</v>
      </c>
      <c r="H638" s="108">
        <f>SUM(J469)</f>
        <v>293892.11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1503152.98</v>
      </c>
      <c r="H640" s="80">
        <f>SUM(F462)</f>
        <v>1503152.98</v>
      </c>
      <c r="I640" s="87" t="s">
        <v>840</v>
      </c>
      <c r="J640" s="80">
        <f t="shared" si="50"/>
        <v>0</v>
      </c>
      <c r="K640" s="67"/>
      <c r="L640" s="69"/>
      <c r="M640" s="8"/>
    </row>
    <row r="641" spans="1:13" s="3" customFormat="1" ht="12.2" customHeight="1" x14ac:dyDescent="0.15">
      <c r="A641" s="21"/>
      <c r="B641" s="22"/>
      <c r="C641" s="22"/>
      <c r="D641" s="22"/>
      <c r="E641" s="22"/>
      <c r="F641" s="86" t="s">
        <v>119</v>
      </c>
      <c r="G641" s="80">
        <f>SUM(G447)</f>
        <v>8428901.4299999997</v>
      </c>
      <c r="H641" s="80">
        <f>SUM(G462)</f>
        <v>8428901.4299999997</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9932054.4100000001</v>
      </c>
      <c r="H643" s="80">
        <f>SUM(I462)</f>
        <v>9932054.4100000001</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293892.11</v>
      </c>
      <c r="H645" s="80">
        <f>H409</f>
        <v>293892.11000000004</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293892.11</v>
      </c>
      <c r="H647" s="80">
        <f>L409</f>
        <v>293892.11000000004</v>
      </c>
      <c r="I647" s="87" t="s">
        <v>477</v>
      </c>
      <c r="J647" s="80">
        <f t="shared" si="50"/>
        <v>0</v>
      </c>
      <c r="K647" s="67"/>
      <c r="L647" s="69"/>
      <c r="M647" s="8"/>
    </row>
    <row r="648" spans="1:13" s="3" customFormat="1" ht="12.2" customHeight="1" x14ac:dyDescent="0.15">
      <c r="A648" s="21"/>
      <c r="B648" s="22"/>
      <c r="C648" s="22"/>
      <c r="D648" s="22"/>
      <c r="E648" s="22"/>
      <c r="F648" s="86" t="s">
        <v>51</v>
      </c>
      <c r="G648" s="80">
        <f>K599</f>
        <v>1460712.94</v>
      </c>
      <c r="H648" s="80">
        <f>L209+L227+L245</f>
        <v>1460712.94</v>
      </c>
      <c r="I648" s="87" t="s">
        <v>396</v>
      </c>
      <c r="J648" s="80">
        <f t="shared" si="50"/>
        <v>0</v>
      </c>
      <c r="K648" s="67"/>
      <c r="L648" s="69"/>
      <c r="M648" s="8"/>
    </row>
    <row r="649" spans="1:13" s="3" customFormat="1" ht="12.2" customHeight="1" x14ac:dyDescent="0.15">
      <c r="A649" s="21"/>
      <c r="B649" s="22"/>
      <c r="C649" s="22"/>
      <c r="D649" s="22"/>
      <c r="E649" s="22"/>
      <c r="F649" s="86" t="s">
        <v>52</v>
      </c>
      <c r="G649" s="80">
        <f>K606</f>
        <v>543650.49</v>
      </c>
      <c r="H649" s="80">
        <f>(J258+J339)-(J256+J337)</f>
        <v>543650.49</v>
      </c>
      <c r="I649" s="87" t="s">
        <v>699</v>
      </c>
      <c r="J649" s="80">
        <f t="shared" si="50"/>
        <v>0</v>
      </c>
      <c r="K649" s="67"/>
      <c r="L649" s="69"/>
      <c r="M649" s="8"/>
    </row>
    <row r="650" spans="1:13" s="3" customFormat="1" ht="12.2" customHeight="1" x14ac:dyDescent="0.15">
      <c r="A650" s="21"/>
      <c r="B650" s="22"/>
      <c r="C650" s="22"/>
      <c r="D650" s="22"/>
      <c r="E650" s="22"/>
      <c r="F650" s="86" t="s">
        <v>387</v>
      </c>
      <c r="G650" s="80">
        <f>L209</f>
        <v>683196.45000000007</v>
      </c>
      <c r="H650" s="80">
        <f>H599</f>
        <v>683196.45</v>
      </c>
      <c r="I650" s="87" t="s">
        <v>388</v>
      </c>
      <c r="J650" s="80">
        <f t="shared" si="50"/>
        <v>0</v>
      </c>
      <c r="K650" s="67"/>
      <c r="L650" s="69"/>
      <c r="M650" s="8"/>
    </row>
    <row r="651" spans="1:13" s="3" customFormat="1" ht="12.2" customHeight="1" x14ac:dyDescent="0.15">
      <c r="A651" s="21"/>
      <c r="B651" s="22"/>
      <c r="C651" s="22"/>
      <c r="D651" s="22"/>
      <c r="E651" s="22"/>
      <c r="F651" s="86" t="s">
        <v>392</v>
      </c>
      <c r="G651" s="80">
        <f>L227</f>
        <v>321468.76999999996</v>
      </c>
      <c r="H651" s="80">
        <f>I599</f>
        <v>321468.76999999996</v>
      </c>
      <c r="I651" s="87" t="s">
        <v>389</v>
      </c>
      <c r="J651" s="80">
        <f t="shared" si="50"/>
        <v>0</v>
      </c>
      <c r="K651" s="67"/>
      <c r="L651" s="69"/>
      <c r="M651" s="8"/>
    </row>
    <row r="652" spans="1:13" s="3" customFormat="1" ht="12.2" customHeight="1" x14ac:dyDescent="0.15">
      <c r="A652" s="21"/>
      <c r="B652" s="22"/>
      <c r="C652" s="22"/>
      <c r="D652" s="22"/>
      <c r="E652" s="22"/>
      <c r="F652" s="86" t="s">
        <v>393</v>
      </c>
      <c r="G652" s="80">
        <f>L245</f>
        <v>456047.72000000003</v>
      </c>
      <c r="H652" s="80">
        <f>J599</f>
        <v>456047.72</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18009909.670000002</v>
      </c>
      <c r="G661" s="13">
        <f>(L230+L310+L360)</f>
        <v>8509014.790000001</v>
      </c>
      <c r="H661" s="13">
        <f>(L248+L329+L361)</f>
        <v>12691944.01</v>
      </c>
      <c r="I661" s="13">
        <f>SUM(F661:H661)</f>
        <v>39210868.469999999</v>
      </c>
      <c r="J661" s="13"/>
      <c r="K661" s="13"/>
      <c r="L661" s="13"/>
      <c r="M661" s="9"/>
    </row>
    <row r="662" spans="1:13" s="3" customFormat="1" ht="12.2" customHeight="1" x14ac:dyDescent="0.2">
      <c r="A662" s="1" t="s">
        <v>127</v>
      </c>
      <c r="F662" s="13">
        <f>(L359/IF(SUM(L359:L361)=0,1,SUM(L359:L361))*(SUM(G97:G110)))</f>
        <v>67070.288468883125</v>
      </c>
      <c r="G662" s="13">
        <f>(L360/IF(SUM(L359:L361)=0,1,SUM(L359:L361))*(SUM(G97:G110)))</f>
        <v>31546.536669993537</v>
      </c>
      <c r="H662" s="13">
        <f>(L361/IF(SUM(L359:L361)=0,1,SUM(L359:L361))*(SUM(G97:G110)))</f>
        <v>44653.264861123345</v>
      </c>
      <c r="I662" s="13">
        <f>SUM(F662:H662)</f>
        <v>143270.09000000003</v>
      </c>
      <c r="J662"/>
      <c r="K662" s="13"/>
      <c r="L662" s="13"/>
      <c r="M662" s="8"/>
    </row>
    <row r="663" spans="1:13" s="3" customFormat="1" ht="12.2" customHeight="1" x14ac:dyDescent="0.2">
      <c r="A663" s="1" t="s">
        <v>128</v>
      </c>
      <c r="F663" s="13">
        <f>(L209+L288)-(J209+J288)</f>
        <v>664009.84000000008</v>
      </c>
      <c r="G663" s="13">
        <f>(L227+L307)-(J227+J307)</f>
        <v>312444.33999999997</v>
      </c>
      <c r="H663" s="13">
        <f>(L245+L326)-(J245+J326)</f>
        <v>443273.89</v>
      </c>
      <c r="I663" s="13">
        <f>SUM(F663:H663)</f>
        <v>1419728.07</v>
      </c>
      <c r="J663"/>
      <c r="K663" s="13"/>
      <c r="L663" s="13"/>
      <c r="M663" s="9"/>
    </row>
    <row r="664" spans="1:13" s="3" customFormat="1" ht="12.2" customHeight="1" x14ac:dyDescent="0.15">
      <c r="A664" s="142" t="s">
        <v>129</v>
      </c>
      <c r="B664" s="124"/>
      <c r="C664" s="124"/>
      <c r="D664" s="124"/>
      <c r="E664" s="124"/>
      <c r="F664" s="143">
        <f>SUM(F576:F588)+SUM(H603:H605)+SUM(L612)</f>
        <v>418528.89</v>
      </c>
      <c r="G664" s="143">
        <f>SUM(G576:G588)+SUM(I603:I605)+L613</f>
        <v>1158623.42</v>
      </c>
      <c r="H664" s="143">
        <f>SUM(H576:H588)+SUM(J603:J605)+L614</f>
        <v>1882612.22</v>
      </c>
      <c r="I664" s="13">
        <f>SUM(F664:H664)</f>
        <v>3459764.5300000003</v>
      </c>
      <c r="J664" s="13"/>
      <c r="K664" s="13"/>
      <c r="L664" s="13"/>
      <c r="M664" s="9"/>
    </row>
    <row r="665" spans="1:13" s="3" customFormat="1" ht="12.2" customHeight="1" x14ac:dyDescent="0.15">
      <c r="A665" s="1" t="s">
        <v>130</v>
      </c>
      <c r="F665" s="13">
        <f>F661-SUM(F662:F664)</f>
        <v>16860300.651531119</v>
      </c>
      <c r="G665" s="13">
        <f>G661-SUM(G662:G664)</f>
        <v>7006400.4933300074</v>
      </c>
      <c r="H665" s="13">
        <f>H661-SUM(H662:H664)</f>
        <v>10321404.635138877</v>
      </c>
      <c r="I665" s="13">
        <f>I661-SUM(I662:I664)</f>
        <v>34188105.780000001</v>
      </c>
      <c r="J665" s="13"/>
      <c r="K665" s="13"/>
      <c r="L665" s="13"/>
      <c r="M665" s="8"/>
    </row>
    <row r="666" spans="1:13" s="3" customFormat="1" ht="12.2" customHeight="1" x14ac:dyDescent="0.2">
      <c r="A666" s="1" t="s">
        <v>131</v>
      </c>
      <c r="F666" s="183">
        <v>741.02</v>
      </c>
      <c r="G666" s="184">
        <v>349.56</v>
      </c>
      <c r="H666" s="184">
        <v>494.19</v>
      </c>
      <c r="I666" s="13">
        <f>SUM(F666:H666)</f>
        <v>1584.77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22752.83</v>
      </c>
      <c r="G668" s="13">
        <f>ROUND(G665/G666,2)</f>
        <v>20043.48</v>
      </c>
      <c r="H668" s="13">
        <f>ROUND(H665/H666,2)</f>
        <v>20885.5</v>
      </c>
      <c r="I668" s="13">
        <f>ROUND(I665/I666,2)</f>
        <v>21572.91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-1.28</v>
      </c>
      <c r="I671" s="13">
        <f>SUM(F671:H671)</f>
        <v>-1.28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22752.83</v>
      </c>
      <c r="G673" s="13">
        <f>ROUND((G665+G670)/(G666+G671),2)</f>
        <v>20043.48</v>
      </c>
      <c r="H673" s="13">
        <f>ROUND((H665+H670)/(H666+H671),2)</f>
        <v>20939.73</v>
      </c>
      <c r="I673" s="13">
        <f>ROUND((I665+I670)/(I666+I671),2)</f>
        <v>21590.35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90" fitToHeight="0" orientation="landscape" r:id="rId1"/>
  <headerFooter alignWithMargins="0">
    <oddFooter>&amp;L&amp;F&amp;CPage &amp;P&amp;R&amp;D&amp;T</oddFooter>
  </headerFooter>
  <rowBreaks count="24" manualBreakCount="24">
    <brk id="52" max="16383" man="1"/>
    <brk id="79" max="16383" man="1"/>
    <brk id="112" max="16383" man="1"/>
    <brk id="140" max="16383" man="1"/>
    <brk id="170" max="16383" man="1"/>
    <brk id="194" max="16383" man="1"/>
    <brk id="212" max="16383" man="1"/>
    <brk id="230" max="16383" man="1"/>
    <brk id="248" max="16383" man="1"/>
    <brk id="272" max="16383" man="1"/>
    <brk id="291" max="16383" man="1"/>
    <brk id="310" max="16383" man="1"/>
    <brk id="329" max="16383" man="1"/>
    <brk id="353" max="16383" man="1"/>
    <brk id="383" max="16383" man="1"/>
    <brk id="409" max="16383" man="1"/>
    <brk id="435" max="16383" man="1"/>
    <brk id="462" max="16383" man="1"/>
    <brk id="486" max="16383" man="1"/>
    <brk id="518" max="16383" man="1"/>
    <brk id="553" max="16383" man="1"/>
    <brk id="589" max="16383" man="1"/>
    <brk id="616" max="16383" man="1"/>
    <brk id="657" max="16383"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9" sqref="C19"/>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340899.77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207466.42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107721.85</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v>25711.5</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Claremont</v>
      </c>
      <c r="C5" s="317"/>
      <c r="D5" s="317"/>
      <c r="E5" s="317"/>
      <c r="F5" s="317"/>
    </row>
    <row r="8" spans="1:9" ht="18" x14ac:dyDescent="0.25">
      <c r="A8" s="240" t="s">
        <v>1560</v>
      </c>
      <c r="F8" s="247" t="s">
        <v>1578</v>
      </c>
    </row>
    <row r="9" spans="1:9" ht="15" x14ac:dyDescent="0.2">
      <c r="A9" s="238" t="s">
        <v>1561</v>
      </c>
      <c r="B9" s="241">
        <f>'DOE25'!G97</f>
        <v>143270.09</v>
      </c>
      <c r="F9" s="238" t="s">
        <v>1574</v>
      </c>
    </row>
    <row r="10" spans="1:9" ht="15" x14ac:dyDescent="0.2">
      <c r="A10" s="238" t="s">
        <v>1562</v>
      </c>
      <c r="B10" s="241">
        <f>'DOE25'!G112-'DOE25'!G97</f>
        <v>0</v>
      </c>
      <c r="F10" s="238" t="s">
        <v>1575</v>
      </c>
    </row>
    <row r="11" spans="1:9" ht="15" x14ac:dyDescent="0.2">
      <c r="A11" s="238" t="s">
        <v>1563</v>
      </c>
      <c r="B11" s="241">
        <f>'DOE25'!G140</f>
        <v>9290.61</v>
      </c>
      <c r="F11" s="238" t="s">
        <v>1576</v>
      </c>
    </row>
    <row r="12" spans="1:9" ht="15" x14ac:dyDescent="0.2">
      <c r="A12" s="238" t="s">
        <v>1564</v>
      </c>
      <c r="B12" s="241">
        <f>'DOE25'!G170</f>
        <v>578383.97</v>
      </c>
      <c r="F12" s="238" t="s">
        <v>1577</v>
      </c>
    </row>
    <row r="13" spans="1:9" ht="15" x14ac:dyDescent="0.2">
      <c r="A13" s="238" t="s">
        <v>1565</v>
      </c>
      <c r="B13" s="241">
        <f>'DOE25'!G193-'DOE25'!G180</f>
        <v>0</v>
      </c>
      <c r="F13" s="238" t="s">
        <v>1587</v>
      </c>
    </row>
    <row r="14" spans="1:9" ht="18" x14ac:dyDescent="0.25">
      <c r="A14" s="240" t="s">
        <v>732</v>
      </c>
      <c r="B14" s="242">
        <f>SUM(B9:B13)</f>
        <v>730944.66999999993</v>
      </c>
    </row>
    <row r="16" spans="1:9" ht="18" x14ac:dyDescent="0.25">
      <c r="A16" s="240" t="s">
        <v>786</v>
      </c>
      <c r="F16" s="247" t="s">
        <v>1579</v>
      </c>
    </row>
    <row r="17" spans="1:6" ht="15" x14ac:dyDescent="0.2">
      <c r="A17" s="238" t="s">
        <v>1566</v>
      </c>
      <c r="B17" s="241">
        <f>'DOE25'!L363-'DOE25'!L362</f>
        <v>859918.41999999993</v>
      </c>
      <c r="F17" s="238" t="s">
        <v>1580</v>
      </c>
    </row>
    <row r="18" spans="1:6" ht="15" x14ac:dyDescent="0.2">
      <c r="A18" s="238" t="s">
        <v>1567</v>
      </c>
      <c r="B18" s="251"/>
      <c r="F18" s="247" t="s">
        <v>1604</v>
      </c>
    </row>
    <row r="19" spans="1:6" ht="18" x14ac:dyDescent="0.25">
      <c r="A19" s="240" t="s">
        <v>725</v>
      </c>
      <c r="B19" s="242">
        <f>SUM(B17:B18)</f>
        <v>859918.41999999993</v>
      </c>
    </row>
    <row r="21" spans="1:6" ht="18.75" thickBot="1" x14ac:dyDescent="0.3">
      <c r="A21" s="240" t="s">
        <v>1568</v>
      </c>
    </row>
    <row r="22" spans="1:6" ht="18.75" thickTop="1" x14ac:dyDescent="0.25">
      <c r="A22" s="240" t="s">
        <v>1569</v>
      </c>
      <c r="B22" s="246">
        <f>B14-B19</f>
        <v>-128973.75</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118667.04</v>
      </c>
      <c r="F31" s="238" t="s">
        <v>1584</v>
      </c>
    </row>
    <row r="33" spans="1:6" ht="15" x14ac:dyDescent="0.2">
      <c r="A33" s="238" t="s">
        <v>1798</v>
      </c>
      <c r="B33" s="241">
        <f>'DOE25'!G477</f>
        <v>-10306.709999999963</v>
      </c>
      <c r="F33" s="238" t="s">
        <v>1585</v>
      </c>
    </row>
    <row r="36" spans="1:6" ht="15" x14ac:dyDescent="0.2">
      <c r="A36" s="238" t="s">
        <v>1571</v>
      </c>
      <c r="B36" s="252">
        <v>15652.22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Claremont</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6341160.540000001</v>
      </c>
      <c r="C9" s="167">
        <f>'DOE25'!G198+'DOE25'!G216+'DOE25'!G234+'DOE25'!G277+'DOE25'!G296+'DOE25'!G315</f>
        <v>3982991.7100000004</v>
      </c>
    </row>
    <row r="10" spans="1:3" x14ac:dyDescent="0.2">
      <c r="A10" t="s">
        <v>775</v>
      </c>
      <c r="B10" s="177">
        <v>5968659.5700000003</v>
      </c>
      <c r="C10" s="177">
        <v>3784656.8</v>
      </c>
    </row>
    <row r="11" spans="1:3" x14ac:dyDescent="0.2">
      <c r="A11" t="s">
        <v>776</v>
      </c>
      <c r="B11" s="177">
        <v>355593.65</v>
      </c>
      <c r="C11" s="177">
        <v>197041.51</v>
      </c>
    </row>
    <row r="12" spans="1:3" x14ac:dyDescent="0.2">
      <c r="A12" t="s">
        <v>777</v>
      </c>
      <c r="B12" s="177">
        <v>16907.32</v>
      </c>
      <c r="C12" s="177">
        <v>1293.4000000000001</v>
      </c>
    </row>
    <row r="13" spans="1:3" x14ac:dyDescent="0.2">
      <c r="A13" t="str">
        <f>IF(B9=B13,IF(C9=C13,"Check Total OK","Check Total Error"),"Check Total Error")</f>
        <v>Check Total OK</v>
      </c>
      <c r="B13" s="169">
        <f>SUM(B10:B12)</f>
        <v>6341160.540000001</v>
      </c>
      <c r="C13" s="169">
        <f>SUM(C10:C12)</f>
        <v>3982991.7099999995</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3948648.6499999994</v>
      </c>
      <c r="C18" s="167">
        <f>'DOE25'!G199+'DOE25'!G217+'DOE25'!G235+'DOE25'!G278+'DOE25'!G297+'DOE25'!G316</f>
        <v>1902265.39</v>
      </c>
    </row>
    <row r="19" spans="1:3" x14ac:dyDescent="0.2">
      <c r="A19" t="s">
        <v>775</v>
      </c>
      <c r="B19" s="177">
        <v>2300253.96</v>
      </c>
      <c r="C19" s="177">
        <v>1198427.2</v>
      </c>
    </row>
    <row r="20" spans="1:3" x14ac:dyDescent="0.2">
      <c r="A20" t="s">
        <v>776</v>
      </c>
      <c r="B20" s="177">
        <v>1648394.69</v>
      </c>
      <c r="C20" s="177">
        <v>703838.19</v>
      </c>
    </row>
    <row r="21" spans="1:3" x14ac:dyDescent="0.2">
      <c r="A21" t="s">
        <v>777</v>
      </c>
      <c r="B21" s="177"/>
      <c r="C21" s="177"/>
    </row>
    <row r="22" spans="1:3" x14ac:dyDescent="0.2">
      <c r="A22" t="str">
        <f>IF(B18=B22,IF(C18=C22,"Check Total OK","Check Total Error"),"Check Total Error")</f>
        <v>Check Total OK</v>
      </c>
      <c r="B22" s="169">
        <f>SUM(B19:B21)</f>
        <v>3948648.65</v>
      </c>
      <c r="C22" s="169">
        <f>SUM(C19:C21)</f>
        <v>1902265.39</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340797.67000000004</v>
      </c>
      <c r="C27" s="172">
        <f>'DOE25'!G200+'DOE25'!G218+'DOE25'!G236+'DOE25'!G279+'DOE25'!G298+'DOE25'!G317</f>
        <v>162638.59</v>
      </c>
    </row>
    <row r="28" spans="1:3" x14ac:dyDescent="0.2">
      <c r="A28" t="s">
        <v>775</v>
      </c>
      <c r="B28" s="177">
        <v>340797.67</v>
      </c>
      <c r="C28" s="177">
        <v>162638.59</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340797.67</v>
      </c>
      <c r="C31" s="169">
        <f>SUM(C28:C30)</f>
        <v>162638.59</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570989.38000000012</v>
      </c>
      <c r="C36" s="173">
        <f>'DOE25'!G201+'DOE25'!G219+'DOE25'!G237+'DOE25'!G280+'DOE25'!G299+'DOE25'!G318</f>
        <v>124907.03</v>
      </c>
    </row>
    <row r="37" spans="1:3" x14ac:dyDescent="0.2">
      <c r="A37" t="s">
        <v>775</v>
      </c>
      <c r="B37" s="177">
        <v>309847.94</v>
      </c>
      <c r="C37" s="177">
        <v>89933.06</v>
      </c>
    </row>
    <row r="38" spans="1:3" x14ac:dyDescent="0.2">
      <c r="A38" t="s">
        <v>776</v>
      </c>
      <c r="B38" s="177">
        <v>112611.14</v>
      </c>
      <c r="C38" s="177">
        <v>21234.19</v>
      </c>
    </row>
    <row r="39" spans="1:3" x14ac:dyDescent="0.2">
      <c r="A39" t="s">
        <v>777</v>
      </c>
      <c r="B39" s="177">
        <v>148530.29999999999</v>
      </c>
      <c r="C39" s="177">
        <v>13739.78</v>
      </c>
    </row>
    <row r="40" spans="1:3" x14ac:dyDescent="0.2">
      <c r="A40" t="str">
        <f>IF(B36=B40,IF(C36=C40,"Check Total OK","Check Total Error"),"Check Total Error")</f>
        <v>Check Total OK</v>
      </c>
      <c r="B40" s="169">
        <f>SUM(B37:B39)</f>
        <v>570989.38</v>
      </c>
      <c r="C40" s="169">
        <f>SUM(C37:C39)</f>
        <v>124907.03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J36" sqref="J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Claremont</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20609314.82</v>
      </c>
      <c r="D5" s="19">
        <f>SUM('DOE25'!L198:L201)+SUM('DOE25'!L216:L219)+SUM('DOE25'!L234:L237)-F5-G5-H5</f>
        <v>20524006.510000002</v>
      </c>
      <c r="E5" s="180"/>
      <c r="F5" s="181"/>
      <c r="G5" s="19">
        <f>SUM('DOE25'!J198:J201)+SUM('DOE25'!J216:J219)+SUM('DOE25'!J234:J237)</f>
        <v>42924.63</v>
      </c>
      <c r="H5" s="19">
        <f>SUM('DOE25'!K198:K201)+SUM('DOE25'!K216:K219)+SUM('DOE25'!K234:K237)</f>
        <v>42383.68</v>
      </c>
      <c r="I5" s="192"/>
    </row>
    <row r="6" spans="1:9" x14ac:dyDescent="0.2">
      <c r="A6" s="31">
        <v>2100</v>
      </c>
      <c r="B6" t="s">
        <v>796</v>
      </c>
      <c r="C6" s="206">
        <f t="shared" si="0"/>
        <v>2431515.48</v>
      </c>
      <c r="D6" s="19">
        <f>'DOE25'!L203+'DOE25'!L221+'DOE25'!L239-F6-G6-H6</f>
        <v>2428683.02</v>
      </c>
      <c r="E6" s="180"/>
      <c r="F6" s="181"/>
      <c r="G6" s="19">
        <f>'DOE25'!J203+'DOE25'!J221+'DOE25'!J239</f>
        <v>1614.46</v>
      </c>
      <c r="H6" s="19">
        <f>'DOE25'!K203+'DOE25'!K221+'DOE25'!K239</f>
        <v>1218</v>
      </c>
      <c r="I6" s="192"/>
    </row>
    <row r="7" spans="1:9" x14ac:dyDescent="0.2">
      <c r="A7" s="31">
        <v>2200</v>
      </c>
      <c r="B7" t="s">
        <v>820</v>
      </c>
      <c r="C7" s="206">
        <f t="shared" si="0"/>
        <v>887610.95</v>
      </c>
      <c r="D7" s="19">
        <f>'DOE25'!L204+'DOE25'!L222+'DOE25'!L240-F7-G7-H7</f>
        <v>599431.37</v>
      </c>
      <c r="E7" s="180"/>
      <c r="F7" s="181"/>
      <c r="G7" s="19">
        <f>'DOE25'!J204+'DOE25'!J222+'DOE25'!J240</f>
        <v>288179.57999999996</v>
      </c>
      <c r="H7" s="19">
        <f>'DOE25'!K204+'DOE25'!K222+'DOE25'!K240</f>
        <v>0</v>
      </c>
      <c r="I7" s="192"/>
    </row>
    <row r="8" spans="1:9" x14ac:dyDescent="0.2">
      <c r="A8" s="31">
        <v>2300</v>
      </c>
      <c r="B8" t="s">
        <v>797</v>
      </c>
      <c r="C8" s="206">
        <f t="shared" si="0"/>
        <v>1620090.75</v>
      </c>
      <c r="D8" s="180"/>
      <c r="E8" s="19">
        <f>'DOE25'!L205+'DOE25'!L223+'DOE25'!L241-F8-G8-H8-D9-D11</f>
        <v>1588359.67</v>
      </c>
      <c r="F8" s="181"/>
      <c r="G8" s="19">
        <f>'DOE25'!J205+'DOE25'!J223+'DOE25'!J241</f>
        <v>0</v>
      </c>
      <c r="H8" s="19">
        <f>'DOE25'!K205+'DOE25'!K223+'DOE25'!K241</f>
        <v>31731.08</v>
      </c>
      <c r="I8" s="192"/>
    </row>
    <row r="9" spans="1:9" ht="14.25" x14ac:dyDescent="0.2">
      <c r="A9" s="31">
        <v>2310</v>
      </c>
      <c r="B9" s="71" t="s">
        <v>887</v>
      </c>
      <c r="C9" s="206">
        <f t="shared" si="0"/>
        <v>191369.12</v>
      </c>
      <c r="D9" s="181">
        <v>191369.12</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2948904.4099999997</v>
      </c>
      <c r="D12" s="19">
        <f>'DOE25'!L206+'DOE25'!L224+'DOE25'!L242-F12-G12-H12</f>
        <v>2915339.01</v>
      </c>
      <c r="E12" s="180"/>
      <c r="F12" s="181"/>
      <c r="G12" s="19">
        <f>'DOE25'!J206+'DOE25'!J224+'DOE25'!J242</f>
        <v>6540.08</v>
      </c>
      <c r="H12" s="19">
        <f>'DOE25'!K206+'DOE25'!K224+'DOE25'!K242</f>
        <v>27025.32</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2630751.16</v>
      </c>
      <c r="D14" s="19">
        <f>'DOE25'!L208+'DOE25'!L226+'DOE25'!L244-F14-G14-H14</f>
        <v>2453066.83</v>
      </c>
      <c r="E14" s="180"/>
      <c r="F14" s="181">
        <v>169194.33</v>
      </c>
      <c r="G14" s="19">
        <f>'DOE25'!J208+'DOE25'!J226+'DOE25'!J244</f>
        <v>8490</v>
      </c>
      <c r="H14" s="19">
        <f>'DOE25'!K208+'DOE25'!K226+'DOE25'!K244</f>
        <v>0</v>
      </c>
      <c r="I14" s="192"/>
    </row>
    <row r="15" spans="1:9" x14ac:dyDescent="0.2">
      <c r="A15" s="31">
        <v>2700</v>
      </c>
      <c r="B15" t="s">
        <v>799</v>
      </c>
      <c r="C15" s="206">
        <f t="shared" si="0"/>
        <v>1460712.94</v>
      </c>
      <c r="D15" s="19">
        <f>'DOE25'!L209+'DOE25'!L227+'DOE25'!L245-F15-G15-H15</f>
        <v>1418955.14</v>
      </c>
      <c r="E15" s="180"/>
      <c r="F15" s="181"/>
      <c r="G15" s="19">
        <f>'DOE25'!J209+'DOE25'!J227+'DOE25'!J245</f>
        <v>40984.870000000003</v>
      </c>
      <c r="H15" s="19">
        <f>'DOE25'!K209+'DOE25'!K227+'DOE25'!K245</f>
        <v>772.93</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1238002.3599999999</v>
      </c>
      <c r="D25" s="180"/>
      <c r="E25" s="180"/>
      <c r="F25" s="191"/>
      <c r="G25" s="180"/>
      <c r="H25" s="180"/>
      <c r="I25" s="190">
        <f>'DOE25'!L261+'DOE25'!L262+'DOE25'!L342+'DOE25'!L343</f>
        <v>1238002.3599999999</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502522.50999999989</v>
      </c>
      <c r="D29" s="212">
        <f>'DOE25'!L359+'DOE25'!L360+'DOE25'!L361-'DOE25'!I368-F29-G29-H29-F39</f>
        <v>471041.35999999987</v>
      </c>
      <c r="E29" s="180"/>
      <c r="F29" s="180"/>
      <c r="G29" s="19">
        <f>'DOE25'!J359+'DOE25'!J360+'DOE25'!J361</f>
        <v>31481.15</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5570680.4199999999</v>
      </c>
      <c r="D31" s="19">
        <f>'DOE25'!L291+'DOE25'!L310+'DOE25'!L329+'DOE25'!L334+'DOE25'!L335+'DOE25'!L336-F31-G31-H31</f>
        <v>5411993.2199999997</v>
      </c>
      <c r="E31" s="180"/>
      <c r="F31" s="181"/>
      <c r="G31" s="19">
        <f>'DOE25'!J291+'DOE25'!J310+'DOE25'!J329+'DOE25'!J334+'DOE25'!J335+'DOE25'!J336</f>
        <v>154916.87</v>
      </c>
      <c r="H31" s="19">
        <f>'DOE25'!K291+'DOE25'!K310+'DOE25'!K329+'DOE25'!K334+'DOE25'!K335+'DOE25'!K336</f>
        <v>3770.33</v>
      </c>
      <c r="I31" s="192"/>
    </row>
    <row r="32" spans="1:9" ht="12" thickBot="1" x14ac:dyDescent="0.25">
      <c r="C32" s="207"/>
      <c r="G32" s="188"/>
      <c r="H32" s="188"/>
      <c r="I32" s="194"/>
    </row>
    <row r="33" spans="1:9" ht="12" thickTop="1" x14ac:dyDescent="0.2">
      <c r="B33" t="s">
        <v>809</v>
      </c>
      <c r="D33" s="182">
        <f t="shared" ref="D33:I33" si="1">SUM(D5:D31)</f>
        <v>36413885.579999998</v>
      </c>
      <c r="E33" s="182">
        <f t="shared" si="1"/>
        <v>1588359.67</v>
      </c>
      <c r="F33" s="182">
        <f t="shared" si="1"/>
        <v>169194.33</v>
      </c>
      <c r="G33" s="182">
        <f t="shared" si="1"/>
        <v>575131.6399999999</v>
      </c>
      <c r="H33" s="182">
        <f t="shared" si="1"/>
        <v>106901.34000000001</v>
      </c>
      <c r="I33" s="182">
        <f t="shared" si="1"/>
        <v>1238002.3599999999</v>
      </c>
    </row>
    <row r="34" spans="1:9" ht="12" thickBot="1" x14ac:dyDescent="0.25"/>
    <row r="35" spans="1:9" ht="12" thickBot="1" x14ac:dyDescent="0.25">
      <c r="B35" s="188" t="s">
        <v>830</v>
      </c>
      <c r="D35" s="189">
        <f>E33</f>
        <v>1588359.67</v>
      </c>
      <c r="E35" s="185"/>
      <c r="F35" s="295" t="s">
        <v>1608</v>
      </c>
      <c r="G35" s="296"/>
      <c r="H35" s="296"/>
      <c r="I35" s="297"/>
    </row>
    <row r="36" spans="1:9" ht="12" thickTop="1" x14ac:dyDescent="0.2">
      <c r="B36" t="s">
        <v>810</v>
      </c>
      <c r="D36" s="19">
        <f>D33</f>
        <v>36413885.579999998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342541</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0</v>
      </c>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3" zoomScaleNormal="100" workbookViewId="0">
      <selection activeCell="K9" sqref="K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Claremont</v>
      </c>
      <c r="B2">
        <f>'DOE25'!B2</f>
        <v>101</v>
      </c>
      <c r="J2" s="224" t="s">
        <v>1808</v>
      </c>
      <c r="K2" s="309">
        <f>SUM('DOE25'!L198:L201)+SUM('DOE25'!L216:L219)+SUM('DOE25'!L234:L237)+SUM('DOE25'!L277:L280)+SUM('DOE25'!L296:L299)+SUM('DOE25'!L315:L318)</f>
        <v>23665422.68</v>
      </c>
      <c r="L2" s="309">
        <f>'DOE25'!L203+'DOE25'!L221+'DOE25'!L239+'DOE25'!L282+'DOE25'!L301+'DOE25'!L320</f>
        <v>3273436.8</v>
      </c>
      <c r="M2" s="309">
        <f>'DOE25'!L204+'DOE25'!L222+'DOE25'!L240+'DOE25'!L283+'DOE25'!L302+'DOE25'!L321</f>
        <v>2487939.36</v>
      </c>
      <c r="N2" s="309">
        <f>'DOE25'!L206+'DOE25'!L224+'DOE25'!L242+'DOE25'!L285+'DOE25'!L304+'DOE25'!L323</f>
        <v>2983957.7199999997</v>
      </c>
      <c r="O2" s="309">
        <f>'Salaries-Benefits'!B10+'Salaries-Benefits'!B12+'Salaries-Benefits'!B19+'Salaries-Benefits'!B21+'Salaries-Benefits'!B28+'Salaries-Benefits'!B30+'Salaries-Benefits'!B37+'Salaries-Benefits'!B39</f>
        <v>9084996.7600000016</v>
      </c>
      <c r="P2" s="309">
        <f>'Salaries-Benefits'!B11+'Salaries-Benefits'!B20+'Salaries-Benefits'!B29+'Salaries-Benefits'!B38</f>
        <v>2116599.48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-23665422.68</v>
      </c>
      <c r="L3" s="311">
        <f t="shared" ref="L3:P3" si="0">L21+L33+L43-L2</f>
        <v>-3273436.8</v>
      </c>
      <c r="M3" s="311">
        <f t="shared" si="0"/>
        <v>-2487939.36</v>
      </c>
      <c r="N3" s="311">
        <f t="shared" si="0"/>
        <v>-2983957.7199999997</v>
      </c>
      <c r="O3" s="311">
        <f t="shared" si="0"/>
        <v>-9084996.7600000016</v>
      </c>
      <c r="P3" s="311">
        <f t="shared" si="0"/>
        <v>-2116599.48</v>
      </c>
      <c r="Q3" s="310"/>
      <c r="R3" s="306"/>
      <c r="S3" s="215"/>
      <c r="T3" s="215"/>
      <c r="U3" s="216"/>
    </row>
    <row r="4" spans="1:21" ht="55.5" customHeight="1" thickBot="1" x14ac:dyDescent="0.25">
      <c r="A4" s="224" t="s">
        <v>1522</v>
      </c>
      <c r="B4" s="224" t="s">
        <v>1523</v>
      </c>
      <c r="C4" s="224" t="s">
        <v>896</v>
      </c>
      <c r="D4" s="224" t="s">
        <v>786</v>
      </c>
      <c r="E4" s="224" t="s">
        <v>786</v>
      </c>
      <c r="F4" s="228">
        <f>SUM(F5:F20)</f>
        <v>17607348.490000002</v>
      </c>
      <c r="G4" s="229">
        <f>'DOE25'!L212+'DOE25'!L291</f>
        <v>17607348.490000002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0</v>
      </c>
      <c r="E5" s="220"/>
      <c r="F5" s="232">
        <f>D5+E5</f>
        <v>0</v>
      </c>
      <c r="G5" s="223"/>
      <c r="H5" s="223"/>
      <c r="J5" s="223"/>
      <c r="K5" s="223"/>
      <c r="L5" s="223"/>
      <c r="M5" s="223"/>
      <c r="N5" s="223"/>
      <c r="O5" s="223"/>
      <c r="P5" s="223"/>
      <c r="Q5" s="223"/>
    </row>
    <row r="6" spans="1:21" x14ac:dyDescent="0.2">
      <c r="A6" t="str" cm="1">
        <f t="array" ref="A6">IFERROR(INDEX('School Tables'!$A$4:$G$325,'School Tables'!$J4,3),"")</f>
        <v>Bluff School</v>
      </c>
      <c r="B6" s="230">
        <f>IFERROR(VLOOKUP(A6,'School Tables'!$C$3:$D$365,2,FALSE),"")</f>
        <v>20145</v>
      </c>
      <c r="C6" s="223" t="str">
        <f>IFERROR(INDEX('School Tables'!$B$3:$B$365,MATCH('School Level Expenditures'!B6,'School Tables'!$D$3:$D$365,0)),"")</f>
        <v>Claremont</v>
      </c>
      <c r="D6" s="220">
        <v>4070981.34</v>
      </c>
      <c r="E6" s="220">
        <v>871351.33</v>
      </c>
      <c r="F6" s="232">
        <f t="shared" ref="F6:F20" si="1">D6+E6</f>
        <v>4942332.67</v>
      </c>
      <c r="G6" s="223"/>
      <c r="H6" s="223"/>
      <c r="J6" t="str">
        <f>A6</f>
        <v>Bluff School</v>
      </c>
      <c r="K6" s="20"/>
      <c r="L6" s="20"/>
      <c r="M6" s="308"/>
      <c r="N6" s="20"/>
      <c r="O6" s="20"/>
      <c r="P6" s="20"/>
      <c r="Q6" s="20"/>
    </row>
    <row r="7" spans="1:21" x14ac:dyDescent="0.2">
      <c r="A7" t="str" cm="1">
        <f t="array" ref="A7">IFERROR(INDEX('School Tables'!$A$4:$G$325,'School Tables'!$J5,3),"")</f>
        <v>Claremont Preschool Center</v>
      </c>
      <c r="B7" s="230">
        <f>IFERROR(VLOOKUP(A7,'School Tables'!$C$3:$D$365,2,FALSE),"")</f>
        <v>29184</v>
      </c>
      <c r="C7" s="223" t="str">
        <f>IFERROR(INDEX('School Tables'!$B$3:$B$365,MATCH('School Level Expenditures'!B7,'School Tables'!$D$3:$D$365,0)),"")</f>
        <v>Claremont</v>
      </c>
      <c r="D7" s="220">
        <v>472251.22</v>
      </c>
      <c r="E7" s="220">
        <v>199902.4</v>
      </c>
      <c r="F7" s="232">
        <f t="shared" si="1"/>
        <v>672153.62</v>
      </c>
      <c r="G7" s="223"/>
      <c r="H7" s="223"/>
      <c r="J7" t="str">
        <f t="shared" ref="J7:J20" si="2">A7</f>
        <v>Claremont Preschool Center</v>
      </c>
      <c r="K7" s="20"/>
      <c r="L7" s="20"/>
      <c r="M7" s="308"/>
      <c r="N7" s="20"/>
      <c r="O7" s="20"/>
      <c r="P7" s="20"/>
      <c r="Q7" s="20"/>
    </row>
    <row r="8" spans="1:21" x14ac:dyDescent="0.2">
      <c r="A8" t="str" cm="1">
        <f t="array" ref="A8">IFERROR(INDEX('School Tables'!$A$4:$G$325,'School Tables'!$J6,3),"")</f>
        <v>Disnard Elementary School</v>
      </c>
      <c r="B8" s="230">
        <f>IFERROR(VLOOKUP(A8,'School Tables'!$C$3:$D$365,2,FALSE),"")</f>
        <v>20165</v>
      </c>
      <c r="C8" s="223" t="str">
        <f>IFERROR(INDEX('School Tables'!$B$3:$B$365,MATCH('School Level Expenditures'!B8,'School Tables'!$D$3:$D$365,0)),"")</f>
        <v>Claremont</v>
      </c>
      <c r="D8" s="220">
        <v>4353756.58</v>
      </c>
      <c r="E8" s="220">
        <v>952267</v>
      </c>
      <c r="F8" s="232">
        <f t="shared" si="1"/>
        <v>5306023.58</v>
      </c>
      <c r="G8" s="223"/>
      <c r="H8" s="223"/>
      <c r="J8" t="str">
        <f t="shared" si="2"/>
        <v>Disnard Elementary School</v>
      </c>
      <c r="K8" s="20"/>
      <c r="L8" s="20"/>
      <c r="M8" s="308"/>
      <c r="N8" s="20"/>
      <c r="O8" s="20"/>
      <c r="P8" s="20"/>
      <c r="Q8" s="20"/>
    </row>
    <row r="9" spans="1:21" x14ac:dyDescent="0.2">
      <c r="A9" t="str" cm="1">
        <f t="array" ref="A9">IFERROR(INDEX('School Tables'!$A$4:$G$325,'School Tables'!$J7,3),"")</f>
        <v>Maple Avenue School (Claremont)</v>
      </c>
      <c r="B9" s="230">
        <f>IFERROR(VLOOKUP(A9,'School Tables'!$C$3:$D$365,2,FALSE),"")</f>
        <v>20160</v>
      </c>
      <c r="C9" s="223" t="str">
        <f>IFERROR(INDEX('School Tables'!$B$3:$B$365,MATCH('School Level Expenditures'!B9,'School Tables'!$D$3:$D$365,0)),"")</f>
        <v>Claremont</v>
      </c>
      <c r="D9" s="220">
        <v>5642875.2699999996</v>
      </c>
      <c r="E9" s="220">
        <v>1043963.35</v>
      </c>
      <c r="F9" s="232">
        <f t="shared" si="1"/>
        <v>6686838.6199999992</v>
      </c>
      <c r="G9" s="223"/>
      <c r="H9" s="223"/>
      <c r="J9" t="str">
        <f t="shared" si="2"/>
        <v>Maple Avenue School (Claremont)</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14539864.41</v>
      </c>
      <c r="E21" s="262">
        <f>SUM(E5:E20)</f>
        <v>3067484.08</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8319669.9799999995</v>
      </c>
      <c r="G24" s="229">
        <f>'DOE25'!L230+'DOE25'!L310</f>
        <v>8319669.9800000004</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Claremont Middle School</v>
      </c>
      <c r="B26" s="230">
        <f>IFERROR(VLOOKUP(A26,'School Tables'!$N$4:$O$75,2,FALSE),"")</f>
        <v>20115</v>
      </c>
      <c r="C26" s="223" t="str">
        <f>IFERROR(INDEX('School Tables'!$M$4:$M$75,MATCH('School Level Expenditures'!A26,'School Tables'!$N$4:$N$75,0)),"")</f>
        <v>Claremont</v>
      </c>
      <c r="D26" s="220">
        <v>7161039.5899999999</v>
      </c>
      <c r="E26" s="220">
        <v>1158630.3899999999</v>
      </c>
      <c r="F26" s="232">
        <f t="shared" ref="F26:F32" si="4">D26+E26</f>
        <v>8319669.9799999995</v>
      </c>
      <c r="G26" s="223"/>
      <c r="H26" s="223"/>
      <c r="J26" t="str">
        <f t="shared" ref="J26:J32" si="5">A26</f>
        <v>Claremont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7161039.5899999999</v>
      </c>
      <c r="E33" s="262">
        <f>SUM(E25:E32)</f>
        <v>1158630.3899999999</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12423931.58</v>
      </c>
      <c r="G36" s="229">
        <f>'DOE25'!L248+'DOE25'!L329</f>
        <v>12423931.58</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Stevens High School</v>
      </c>
      <c r="B38" s="230">
        <f>IFERROR(VLOOKUP(A38,'School Tables'!$Y$4:$Z$100,2,FALSE),"")</f>
        <v>20140</v>
      </c>
      <c r="C38" s="223" t="str">
        <f>IFERROR(INDEX('School Tables'!$X$4:$X$100,MATCH('School Level Expenditures'!A38,'School Tables'!$Y$4:$Y$100,0)),"")</f>
        <v>Claremont</v>
      </c>
      <c r="D38" s="220">
        <v>11079365.640000001</v>
      </c>
      <c r="E38" s="220">
        <v>1344565.94</v>
      </c>
      <c r="F38" s="232">
        <f t="shared" si="7"/>
        <v>12423931.58</v>
      </c>
      <c r="G38" s="223"/>
      <c r="H38" s="223"/>
      <c r="J38" t="str">
        <f t="shared" ref="J38:J42" si="8">A38</f>
        <v>Stevens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11079365.640000001</v>
      </c>
      <c r="E43" s="263">
        <f>SUM(E37:E42)</f>
        <v>1344565.94</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9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Claremont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1558071.63</v>
      </c>
      <c r="D8" s="73">
        <f>'DOE25'!G9</f>
        <v>0</v>
      </c>
      <c r="E8" s="73">
        <f>'DOE25'!H9</f>
        <v>0</v>
      </c>
      <c r="F8" s="73">
        <f>'DOE25'!I9</f>
        <v>0</v>
      </c>
      <c r="G8" s="73">
        <f>'DOE25'!J9</f>
        <v>0</v>
      </c>
      <c r="H8" s="13">
        <f>SUM(C8:G8)</f>
        <v>1558071.63</v>
      </c>
      <c r="I8" s="90"/>
    </row>
    <row r="9" spans="1:9" x14ac:dyDescent="0.2">
      <c r="A9" s="1" t="s">
        <v>140</v>
      </c>
      <c r="B9" s="6">
        <v>110</v>
      </c>
      <c r="C9" s="73">
        <f>'DOE25'!F10</f>
        <v>252152.99</v>
      </c>
      <c r="D9" s="73">
        <f>'DOE25'!G10</f>
        <v>0</v>
      </c>
      <c r="E9" s="73">
        <f>'DOE25'!H10</f>
        <v>0</v>
      </c>
      <c r="F9" s="73">
        <f>'DOE25'!I10</f>
        <v>0</v>
      </c>
      <c r="G9" s="73">
        <f>'DOE25'!J10</f>
        <v>9932054.4100000001</v>
      </c>
      <c r="H9" s="13">
        <f t="shared" ref="H9:H18" si="0">SUM(C9:G9)</f>
        <v>10184207.4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923930.29</v>
      </c>
      <c r="D11" s="73">
        <f>'DOE25'!G12</f>
        <v>90086.91</v>
      </c>
      <c r="E11" s="73">
        <f>'DOE25'!H12</f>
        <v>0</v>
      </c>
      <c r="F11" s="73">
        <f>'DOE25'!I12</f>
        <v>0</v>
      </c>
      <c r="G11" s="73">
        <f>'DOE25'!J12</f>
        <v>0</v>
      </c>
      <c r="H11" s="13">
        <f t="shared" si="0"/>
        <v>1014017.2000000001</v>
      </c>
      <c r="I11" s="90"/>
    </row>
    <row r="12" spans="1:9" x14ac:dyDescent="0.2">
      <c r="A12" s="1" t="s">
        <v>143</v>
      </c>
      <c r="B12" s="6">
        <v>140</v>
      </c>
      <c r="C12" s="73">
        <f>'DOE25'!F13</f>
        <v>264816.37</v>
      </c>
      <c r="D12" s="73">
        <f>'DOE25'!G13</f>
        <v>187237.41</v>
      </c>
      <c r="E12" s="73">
        <f>'DOE25'!H13</f>
        <v>1940585.46</v>
      </c>
      <c r="F12" s="73">
        <f>'DOE25'!I13</f>
        <v>0</v>
      </c>
      <c r="G12" s="73">
        <f>'DOE25'!J13</f>
        <v>0</v>
      </c>
      <c r="H12" s="13">
        <f t="shared" si="0"/>
        <v>2392639.2400000002</v>
      </c>
      <c r="I12" s="90"/>
    </row>
    <row r="13" spans="1:9" x14ac:dyDescent="0.2">
      <c r="A13" s="1" t="s">
        <v>144</v>
      </c>
      <c r="B13" s="6">
        <v>150</v>
      </c>
      <c r="C13" s="73">
        <f>'DOE25'!F14</f>
        <v>305288.75</v>
      </c>
      <c r="D13" s="73">
        <f>'DOE25'!G14</f>
        <v>0</v>
      </c>
      <c r="E13" s="73">
        <f>'DOE25'!H14</f>
        <v>0</v>
      </c>
      <c r="F13" s="73">
        <f>'DOE25'!I14</f>
        <v>0</v>
      </c>
      <c r="G13" s="73">
        <f>'DOE25'!J14</f>
        <v>0</v>
      </c>
      <c r="H13" s="13">
        <f t="shared" si="0"/>
        <v>305288.75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31235.63</v>
      </c>
      <c r="E15" s="73">
        <f>'DOE25'!H16</f>
        <v>0</v>
      </c>
      <c r="F15" s="73">
        <f>'DOE25'!I16</f>
        <v>0</v>
      </c>
      <c r="G15" s="23" t="s">
        <v>288</v>
      </c>
      <c r="H15" s="13">
        <f t="shared" si="0"/>
        <v>31235.63</v>
      </c>
      <c r="I15" s="90"/>
    </row>
    <row r="16" spans="1:9" x14ac:dyDescent="0.2">
      <c r="A16" s="1" t="s">
        <v>147</v>
      </c>
      <c r="B16" s="6">
        <v>180</v>
      </c>
      <c r="C16" s="73">
        <f>'DOE25'!F17</f>
        <v>104221.61</v>
      </c>
      <c r="D16" s="73">
        <f>'DOE25'!G17</f>
        <v>0</v>
      </c>
      <c r="E16" s="73">
        <f>'DOE25'!H17</f>
        <v>0</v>
      </c>
      <c r="F16" s="73">
        <f>'DOE25'!I17</f>
        <v>0</v>
      </c>
      <c r="G16" s="73">
        <f>'DOE25'!J17</f>
        <v>0</v>
      </c>
      <c r="H16" s="13">
        <f t="shared" si="0"/>
        <v>104221.61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3408481.64</v>
      </c>
      <c r="D18" s="38">
        <f>SUM(D8:D17)</f>
        <v>308559.95</v>
      </c>
      <c r="E18" s="38">
        <f>SUM(E8:E17)</f>
        <v>1940585.46</v>
      </c>
      <c r="F18" s="38">
        <f>SUM(F8:F17)</f>
        <v>0</v>
      </c>
      <c r="G18" s="38">
        <f>SUM(G8:G17)</f>
        <v>9932054.4100000001</v>
      </c>
      <c r="H18" s="38">
        <f t="shared" si="0"/>
        <v>15589681.460000001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11295.9</v>
      </c>
      <c r="D21" s="73">
        <f>'DOE25'!G22</f>
        <v>0</v>
      </c>
      <c r="E21" s="73">
        <f>'DOE25'!H22</f>
        <v>1783092.35</v>
      </c>
      <c r="F21" s="73">
        <f>'DOE25'!I22</f>
        <v>0</v>
      </c>
      <c r="G21" s="73">
        <f>'DOE25'!J22</f>
        <v>0</v>
      </c>
      <c r="H21" s="13">
        <f t="shared" ref="H21:H31" si="1">SUM(C21:G21)</f>
        <v>1794388.25</v>
      </c>
      <c r="I21" s="90"/>
    </row>
    <row r="22" spans="1:9" x14ac:dyDescent="0.2">
      <c r="A22" s="1" t="s">
        <v>151</v>
      </c>
      <c r="B22" s="6">
        <v>410</v>
      </c>
      <c r="C22" s="73">
        <f>'DOE25'!F23</f>
        <v>113452.16</v>
      </c>
      <c r="D22" s="73">
        <f>'DOE25'!G23</f>
        <v>115689.05</v>
      </c>
      <c r="E22" s="73">
        <f>'DOE25'!H23</f>
        <v>13095.19</v>
      </c>
      <c r="F22" s="73">
        <f>'DOE25'!I23</f>
        <v>0</v>
      </c>
      <c r="G22" s="73">
        <f>'DOE25'!J23</f>
        <v>0</v>
      </c>
      <c r="H22" s="13">
        <f t="shared" si="1"/>
        <v>242236.40000000002</v>
      </c>
      <c r="I22" s="90"/>
    </row>
    <row r="23" spans="1:9" x14ac:dyDescent="0.2">
      <c r="A23" s="1" t="s">
        <v>152</v>
      </c>
      <c r="B23" s="6">
        <v>420</v>
      </c>
      <c r="C23" s="73">
        <f>'DOE25'!F24</f>
        <v>883340.7</v>
      </c>
      <c r="D23" s="73">
        <f>'DOE25'!G24</f>
        <v>197486.68</v>
      </c>
      <c r="E23" s="73">
        <f>'DOE25'!H24</f>
        <v>148430.1</v>
      </c>
      <c r="F23" s="73">
        <f>'DOE25'!I24</f>
        <v>0</v>
      </c>
      <c r="G23" s="73">
        <f>'DOE25'!J24</f>
        <v>0</v>
      </c>
      <c r="H23" s="13">
        <f t="shared" si="1"/>
        <v>1229257.48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87283.520000000004</v>
      </c>
      <c r="D27" s="73">
        <f>'DOE25'!G28</f>
        <v>0</v>
      </c>
      <c r="E27" s="73">
        <f>'DOE25'!H28</f>
        <v>42083.55</v>
      </c>
      <c r="F27" s="73">
        <f>'DOE25'!I28</f>
        <v>0</v>
      </c>
      <c r="G27" s="23" t="s">
        <v>288</v>
      </c>
      <c r="H27" s="13">
        <f t="shared" si="1"/>
        <v>129367.07</v>
      </c>
      <c r="I27" s="90"/>
    </row>
    <row r="28" spans="1:9" x14ac:dyDescent="0.2">
      <c r="A28" s="1" t="s">
        <v>157</v>
      </c>
      <c r="B28" s="6">
        <v>470</v>
      </c>
      <c r="C28" s="73">
        <f>'DOE25'!F29</f>
        <v>698560.05</v>
      </c>
      <c r="D28" s="73">
        <f>'DOE25'!G29</f>
        <v>5690.93</v>
      </c>
      <c r="E28" s="73">
        <f>'DOE25'!H29</f>
        <v>0</v>
      </c>
      <c r="F28" s="73">
        <f>'DOE25'!I29</f>
        <v>0</v>
      </c>
      <c r="G28" s="23" t="s">
        <v>288</v>
      </c>
      <c r="H28" s="13">
        <f t="shared" si="1"/>
        <v>704250.9800000001</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1793932.33</v>
      </c>
      <c r="D31" s="38">
        <f>SUM(D21:D30)</f>
        <v>318866.65999999997</v>
      </c>
      <c r="E31" s="38">
        <f>SUM(E21:E30)</f>
        <v>1986701.1900000002</v>
      </c>
      <c r="F31" s="38">
        <f>SUM(F21:F30)</f>
        <v>0</v>
      </c>
      <c r="G31" s="38">
        <f>SUM(G21:G30)</f>
        <v>0</v>
      </c>
      <c r="H31" s="38">
        <f t="shared" si="1"/>
        <v>4099500.1800000006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420000</v>
      </c>
      <c r="D45" s="23" t="s">
        <v>288</v>
      </c>
      <c r="E45" s="23" t="s">
        <v>288</v>
      </c>
      <c r="F45" s="23" t="s">
        <v>288</v>
      </c>
      <c r="G45" s="23" t="s">
        <v>288</v>
      </c>
      <c r="H45" s="13">
        <f t="shared" si="2"/>
        <v>420000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877982.71</v>
      </c>
      <c r="D47" s="73">
        <f>'DOE25'!G48</f>
        <v>-10306.709999999999</v>
      </c>
      <c r="E47" s="73">
        <f>'DOE25'!H48</f>
        <v>-46115.73</v>
      </c>
      <c r="F47" s="73">
        <f>'DOE25'!I48</f>
        <v>0</v>
      </c>
      <c r="G47" s="73">
        <f>'DOE25'!J48</f>
        <v>9932054.4100000001</v>
      </c>
      <c r="H47" s="13">
        <f t="shared" si="2"/>
        <v>10753614.68</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316566.59999999998</v>
      </c>
      <c r="D49" s="23" t="s">
        <v>288</v>
      </c>
      <c r="E49" s="23" t="s">
        <v>288</v>
      </c>
      <c r="F49" s="23" t="s">
        <v>288</v>
      </c>
      <c r="G49" s="23" t="s">
        <v>288</v>
      </c>
      <c r="H49" s="13">
        <f t="shared" si="2"/>
        <v>316566.59999999998</v>
      </c>
      <c r="I49" s="90"/>
    </row>
    <row r="50" spans="1:9" ht="12.75" thickTop="1" thickBot="1" x14ac:dyDescent="0.25">
      <c r="A50" s="35" t="s">
        <v>883</v>
      </c>
      <c r="B50" s="44"/>
      <c r="C50" s="38">
        <f>SUM(C34:C49)</f>
        <v>1614549.31</v>
      </c>
      <c r="D50" s="38">
        <f>SUM(D34:D49)</f>
        <v>-10306.709999999999</v>
      </c>
      <c r="E50" s="38">
        <f>SUM(E34:E49)</f>
        <v>-46115.73</v>
      </c>
      <c r="F50" s="38">
        <f>SUM(F34:F49)</f>
        <v>0</v>
      </c>
      <c r="G50" s="38">
        <f>SUM(G34:G49)</f>
        <v>9932054.4100000001</v>
      </c>
      <c r="H50" s="38">
        <f t="shared" si="2"/>
        <v>11490181.280000001</v>
      </c>
      <c r="I50" s="90"/>
    </row>
    <row r="51" spans="1:9" ht="12" thickTop="1" x14ac:dyDescent="0.2">
      <c r="A51" s="35" t="s">
        <v>884</v>
      </c>
      <c r="B51" s="2"/>
      <c r="C51" s="38">
        <f>C50+C31</f>
        <v>3408481.64</v>
      </c>
      <c r="D51" s="38">
        <f>D50+D31</f>
        <v>308559.94999999995</v>
      </c>
      <c r="E51" s="38">
        <f>E50+E31</f>
        <v>1940585.4600000002</v>
      </c>
      <c r="F51" s="38">
        <f>F50+F31</f>
        <v>0</v>
      </c>
      <c r="G51" s="38">
        <f>G50+G31</f>
        <v>9932054.4100000001</v>
      </c>
      <c r="H51" s="38">
        <f t="shared" si="2"/>
        <v>15589681.460000001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15992143</v>
      </c>
      <c r="D56" s="73">
        <f>'DOE25'!G60</f>
        <v>0</v>
      </c>
      <c r="E56" s="73">
        <f>'DOE25'!H60</f>
        <v>0</v>
      </c>
      <c r="F56" s="73">
        <f>'DOE25'!I60</f>
        <v>0</v>
      </c>
      <c r="G56" s="73">
        <f>'DOE25'!J60</f>
        <v>0</v>
      </c>
      <c r="H56" s="13">
        <f t="shared" ref="H56:H63" si="3">SUM(C56:G56)</f>
        <v>15992143</v>
      </c>
      <c r="I56"/>
    </row>
    <row r="57" spans="1:9" x14ac:dyDescent="0.2">
      <c r="A57" s="1" t="s">
        <v>164</v>
      </c>
      <c r="B57" s="6" t="s">
        <v>165</v>
      </c>
      <c r="C57" s="73">
        <f>'DOE25'!F79</f>
        <v>506574.56</v>
      </c>
      <c r="D57" s="23" t="s">
        <v>288</v>
      </c>
      <c r="E57" s="73">
        <f>'DOE25'!H79</f>
        <v>0</v>
      </c>
      <c r="F57" s="23" t="s">
        <v>288</v>
      </c>
      <c r="G57" s="23" t="s">
        <v>288</v>
      </c>
      <c r="H57" s="13">
        <f t="shared" si="3"/>
        <v>506574.56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84027.23</v>
      </c>
      <c r="D59" s="73">
        <f>'DOE25'!G96</f>
        <v>0</v>
      </c>
      <c r="E59" s="73">
        <f>'DOE25'!H96</f>
        <v>0</v>
      </c>
      <c r="F59" s="73">
        <f>'DOE25'!I96</f>
        <v>0</v>
      </c>
      <c r="G59" s="73">
        <f>'DOE25'!J96</f>
        <v>293892.11</v>
      </c>
      <c r="H59" s="13">
        <f t="shared" si="3"/>
        <v>377919.33999999997</v>
      </c>
      <c r="I59"/>
    </row>
    <row r="60" spans="1:9" x14ac:dyDescent="0.2">
      <c r="A60" s="1" t="s">
        <v>170</v>
      </c>
      <c r="B60" s="22" t="s">
        <v>171</v>
      </c>
      <c r="C60" s="23" t="s">
        <v>288</v>
      </c>
      <c r="D60" s="73">
        <f>'DOE25'!G97</f>
        <v>143270.09</v>
      </c>
      <c r="E60" s="23" t="s">
        <v>288</v>
      </c>
      <c r="F60" s="23" t="s">
        <v>288</v>
      </c>
      <c r="G60" s="23" t="s">
        <v>288</v>
      </c>
      <c r="H60" s="13">
        <f t="shared" si="3"/>
        <v>143270.09</v>
      </c>
      <c r="I60"/>
    </row>
    <row r="61" spans="1:9" ht="12" thickBot="1" x14ac:dyDescent="0.25">
      <c r="A61" s="1" t="s">
        <v>172</v>
      </c>
      <c r="B61" s="22" t="s">
        <v>173</v>
      </c>
      <c r="C61" s="73">
        <f>SUM('DOE25'!F98:F110)</f>
        <v>127640.55</v>
      </c>
      <c r="D61" s="73">
        <f>SUM('DOE25'!G98:G110)</f>
        <v>0</v>
      </c>
      <c r="E61" s="73">
        <f>SUM('DOE25'!H98:H110)</f>
        <v>0</v>
      </c>
      <c r="F61" s="73">
        <f>SUM('DOE25'!I98:I110)</f>
        <v>0</v>
      </c>
      <c r="G61" s="73">
        <f>SUM('DOE25'!J98:J110)</f>
        <v>0</v>
      </c>
      <c r="H61" s="13">
        <f t="shared" si="3"/>
        <v>127640.55</v>
      </c>
      <c r="I61"/>
    </row>
    <row r="62" spans="1:9" ht="12.75" thickTop="1" thickBot="1" x14ac:dyDescent="0.25">
      <c r="A62" s="28" t="s">
        <v>174</v>
      </c>
      <c r="B62" s="6"/>
      <c r="C62" s="93">
        <f>SUM(C57:C61)</f>
        <v>718242.34000000008</v>
      </c>
      <c r="D62" s="93">
        <f>SUM(D57:D61)</f>
        <v>143270.09</v>
      </c>
      <c r="E62" s="93">
        <f>SUM(E57:E61)</f>
        <v>0</v>
      </c>
      <c r="F62" s="93">
        <f>SUM(F57:F61)</f>
        <v>0</v>
      </c>
      <c r="G62" s="93">
        <f>SUM(G57:G61)</f>
        <v>293892.11</v>
      </c>
      <c r="H62" s="13">
        <f t="shared" si="3"/>
        <v>1155404.54</v>
      </c>
      <c r="I62"/>
    </row>
    <row r="63" spans="1:9" ht="12" thickTop="1" x14ac:dyDescent="0.2">
      <c r="A63" s="28" t="s">
        <v>175</v>
      </c>
      <c r="B63" s="6"/>
      <c r="C63" s="21">
        <f>C56+C62</f>
        <v>16710385.34</v>
      </c>
      <c r="D63" s="21">
        <f>D56+D62</f>
        <v>143270.09</v>
      </c>
      <c r="E63" s="21">
        <f>E56+E62</f>
        <v>0</v>
      </c>
      <c r="F63" s="21">
        <f>F56+F62</f>
        <v>0</v>
      </c>
      <c r="G63" s="21">
        <f>G56+G62</f>
        <v>293892.11</v>
      </c>
      <c r="H63" s="13">
        <f t="shared" si="3"/>
        <v>17147547.539999999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14425557.17</v>
      </c>
      <c r="D66" s="23" t="s">
        <v>288</v>
      </c>
      <c r="E66" s="23" t="s">
        <v>288</v>
      </c>
      <c r="F66" s="23" t="s">
        <v>288</v>
      </c>
      <c r="G66" s="23" t="s">
        <v>288</v>
      </c>
      <c r="H66" s="13">
        <f t="shared" ref="H66:H81" si="4">SUM(C66:G66)</f>
        <v>14425557.17</v>
      </c>
      <c r="I66"/>
    </row>
    <row r="67" spans="1:9" x14ac:dyDescent="0.2">
      <c r="A67" s="1" t="s">
        <v>770</v>
      </c>
      <c r="B67" s="6">
        <v>3112</v>
      </c>
      <c r="C67" s="73">
        <f>'DOE25'!F118</f>
        <v>975244</v>
      </c>
      <c r="D67" s="23"/>
      <c r="E67" s="23"/>
      <c r="F67" s="23"/>
      <c r="G67" s="23"/>
      <c r="H67" s="13">
        <f t="shared" si="4"/>
        <v>975244</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165439.79999999999</v>
      </c>
      <c r="D69" s="73">
        <f>'DOE25'!G120</f>
        <v>0</v>
      </c>
      <c r="E69" s="73">
        <f>'DOE25'!H120</f>
        <v>0</v>
      </c>
      <c r="F69" s="73">
        <f>'DOE25'!I120</f>
        <v>0</v>
      </c>
      <c r="G69" s="73">
        <f>'DOE25'!J120</f>
        <v>0</v>
      </c>
      <c r="H69" s="13">
        <f t="shared" si="4"/>
        <v>165439.79999999999</v>
      </c>
      <c r="I69"/>
    </row>
    <row r="70" spans="1:9" ht="12" thickTop="1" x14ac:dyDescent="0.2">
      <c r="A70" s="28" t="s">
        <v>252</v>
      </c>
      <c r="B70" s="2"/>
      <c r="C70" s="97">
        <f>SUM(C66:C69)</f>
        <v>15566240.970000001</v>
      </c>
      <c r="D70" s="97">
        <f>D69</f>
        <v>0</v>
      </c>
      <c r="E70" s="97">
        <f>E69</f>
        <v>0</v>
      </c>
      <c r="F70" s="97">
        <f>F69</f>
        <v>0</v>
      </c>
      <c r="G70" s="97">
        <f>G69</f>
        <v>0</v>
      </c>
      <c r="H70" s="13">
        <f t="shared" si="4"/>
        <v>15566240.970000001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487277.25</v>
      </c>
      <c r="D75" s="23" t="s">
        <v>288</v>
      </c>
      <c r="E75" s="23" t="s">
        <v>288</v>
      </c>
      <c r="F75" s="23" t="s">
        <v>288</v>
      </c>
      <c r="G75" s="23" t="s">
        <v>288</v>
      </c>
      <c r="H75" s="13">
        <f t="shared" si="4"/>
        <v>487277.25</v>
      </c>
      <c r="I75"/>
    </row>
    <row r="76" spans="1:9" x14ac:dyDescent="0.2">
      <c r="A76" s="1" t="s">
        <v>257</v>
      </c>
      <c r="B76" s="6" t="s">
        <v>179</v>
      </c>
      <c r="C76" s="73">
        <f>SUM('DOE25'!F127:F130)</f>
        <v>28345.34</v>
      </c>
      <c r="D76" s="23" t="s">
        <v>288</v>
      </c>
      <c r="E76" s="73">
        <f>SUM('DOE25'!H127:H130)</f>
        <v>0</v>
      </c>
      <c r="F76" s="73">
        <f>SUM('DOE25'!I127:I130)</f>
        <v>0</v>
      </c>
      <c r="G76" s="23" t="s">
        <v>288</v>
      </c>
      <c r="H76" s="13">
        <f t="shared" si="4"/>
        <v>28345.34</v>
      </c>
      <c r="I76"/>
    </row>
    <row r="77" spans="1:9" ht="12" thickBot="1" x14ac:dyDescent="0.25">
      <c r="A77" s="1" t="s">
        <v>258</v>
      </c>
      <c r="B77" s="6" t="s">
        <v>180</v>
      </c>
      <c r="C77" s="73">
        <f>SUM('DOE25'!F131:F135)</f>
        <v>0</v>
      </c>
      <c r="D77" s="73">
        <f>SUM('DOE25'!G131:G135)</f>
        <v>9290.61</v>
      </c>
      <c r="E77" s="73">
        <f>SUM('DOE25'!H131:H135)</f>
        <v>0</v>
      </c>
      <c r="F77" s="73">
        <f>SUM('DOE25'!I131:I135)</f>
        <v>0</v>
      </c>
      <c r="G77" s="73">
        <f>SUM('DOE25'!J131:J135)</f>
        <v>0</v>
      </c>
      <c r="H77" s="13">
        <f t="shared" si="4"/>
        <v>9290.61</v>
      </c>
      <c r="I77"/>
    </row>
    <row r="78" spans="1:9" ht="12.75" thickTop="1" thickBot="1" x14ac:dyDescent="0.25">
      <c r="A78" s="28" t="s">
        <v>259</v>
      </c>
      <c r="B78" s="6"/>
      <c r="C78" s="93">
        <f>SUM(C72:C77)</f>
        <v>515622.59</v>
      </c>
      <c r="D78" s="93">
        <f>SUM(D72:D77)</f>
        <v>9290.61</v>
      </c>
      <c r="E78" s="93">
        <f>SUM(E72:E77)</f>
        <v>0</v>
      </c>
      <c r="F78" s="93">
        <f>SUM(F72:F77)</f>
        <v>0</v>
      </c>
      <c r="G78" s="93">
        <f>SUM(G72:G77)</f>
        <v>0</v>
      </c>
      <c r="H78" s="13">
        <f t="shared" si="4"/>
        <v>524913.20000000007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16081863.560000001</v>
      </c>
      <c r="D81" s="93">
        <f>SUM(D79:D80)+D78+D70</f>
        <v>9290.61</v>
      </c>
      <c r="E81" s="93">
        <f>SUM(E79:E80)+E78+E70</f>
        <v>0</v>
      </c>
      <c r="F81" s="93">
        <f>SUM(F79:F80)+F78+F70</f>
        <v>0</v>
      </c>
      <c r="G81" s="93">
        <f>SUM(G79:G80)+G78+G70</f>
        <v>0</v>
      </c>
      <c r="H81" s="93">
        <f t="shared" si="4"/>
        <v>16091154.17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735815.45</v>
      </c>
      <c r="D88" s="253">
        <f>SUM('DOE25'!G153:G162)</f>
        <v>578383.97</v>
      </c>
      <c r="E88" s="253">
        <f>SUM('DOE25'!H153:H162)</f>
        <v>5570680.4199999999</v>
      </c>
      <c r="F88" s="253">
        <f>SUM('DOE25'!I153:I162)</f>
        <v>0</v>
      </c>
      <c r="G88" s="23" t="s">
        <v>288</v>
      </c>
      <c r="H88" s="13">
        <f t="shared" si="5"/>
        <v>6884879.8399999999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735815.45</v>
      </c>
      <c r="D91" s="94">
        <f>SUM(D85:D90)</f>
        <v>578383.97</v>
      </c>
      <c r="E91" s="94">
        <f>SUM(E85:E90)</f>
        <v>5570680.4199999999</v>
      </c>
      <c r="F91" s="94">
        <f>SUM(F85:F90)</f>
        <v>0</v>
      </c>
      <c r="G91" s="23" t="s">
        <v>288</v>
      </c>
      <c r="H91" s="13">
        <f t="shared" si="5"/>
        <v>6884879.8399999999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33528064.349999998</v>
      </c>
      <c r="D104" s="68">
        <f>D63+D81+D91+D103</f>
        <v>730944.66999999993</v>
      </c>
      <c r="E104" s="68">
        <f>E63+E81+E91+E103</f>
        <v>5570680.4199999999</v>
      </c>
      <c r="F104" s="68">
        <f>F63+F81+F91+F103</f>
        <v>0</v>
      </c>
      <c r="G104" s="68">
        <f>G63+G81+G103</f>
        <v>293892.11</v>
      </c>
      <c r="H104" s="68">
        <f t="shared" si="5"/>
        <v>40123581.549999997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11191174.610000001</v>
      </c>
      <c r="D109" s="23" t="s">
        <v>288</v>
      </c>
      <c r="E109" s="73">
        <f>('DOE25'!L277)+('DOE25'!L296)+('DOE25'!L315)</f>
        <v>1060428.06</v>
      </c>
      <c r="F109" s="23" t="s">
        <v>288</v>
      </c>
      <c r="G109" s="23" t="s">
        <v>288</v>
      </c>
      <c r="H109" s="13">
        <f t="shared" ref="H109:H115" si="6">SUM(C109:G109)</f>
        <v>12251602.670000002</v>
      </c>
    </row>
    <row r="110" spans="1:8" x14ac:dyDescent="0.2">
      <c r="A110" t="s">
        <v>198</v>
      </c>
      <c r="B110" s="31" t="s">
        <v>199</v>
      </c>
      <c r="C110" s="73">
        <f>('DOE25'!L199)+('DOE25'!L217)+('DOE25'!L235)</f>
        <v>8263211.0200000005</v>
      </c>
      <c r="D110" s="23" t="s">
        <v>288</v>
      </c>
      <c r="E110" s="73">
        <f>('DOE25'!L278)+('DOE25'!L297)+('DOE25'!L316)</f>
        <v>1580828.0699999998</v>
      </c>
      <c r="F110" s="23" t="s">
        <v>288</v>
      </c>
      <c r="G110" s="23" t="s">
        <v>288</v>
      </c>
      <c r="H110" s="13">
        <f t="shared" si="6"/>
        <v>9844039.0899999999</v>
      </c>
    </row>
    <row r="111" spans="1:8" x14ac:dyDescent="0.2">
      <c r="A111" t="s">
        <v>200</v>
      </c>
      <c r="B111" s="31" t="s">
        <v>165</v>
      </c>
      <c r="C111" s="73">
        <f>('DOE25'!L200)+('DOE25'!L218)+('DOE25'!L236)</f>
        <v>567550.92000000004</v>
      </c>
      <c r="D111" s="23" t="s">
        <v>288</v>
      </c>
      <c r="E111" s="73">
        <f>('DOE25'!L279)+('DOE25'!L298)+('DOE25'!L317)</f>
        <v>121697.18000000001</v>
      </c>
      <c r="F111" s="23" t="s">
        <v>288</v>
      </c>
      <c r="G111" s="23" t="s">
        <v>288</v>
      </c>
      <c r="H111" s="13">
        <f t="shared" si="6"/>
        <v>689248.10000000009</v>
      </c>
    </row>
    <row r="112" spans="1:8" x14ac:dyDescent="0.2">
      <c r="A112" t="s">
        <v>201</v>
      </c>
      <c r="B112" s="31" t="s">
        <v>167</v>
      </c>
      <c r="C112" s="73">
        <f>('DOE25'!L201)+('DOE25'!L219)+('DOE25'!L237)</f>
        <v>587378.27</v>
      </c>
      <c r="D112" s="23" t="s">
        <v>288</v>
      </c>
      <c r="E112" s="73">
        <f>+('DOE25'!L280)+('DOE25'!L299)+('DOE25'!L318)</f>
        <v>293154.55</v>
      </c>
      <c r="F112" s="23" t="s">
        <v>288</v>
      </c>
      <c r="G112" s="23" t="s">
        <v>288</v>
      </c>
      <c r="H112" s="13">
        <f t="shared" si="6"/>
        <v>880532.82000000007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20609314.820000004</v>
      </c>
      <c r="D115" s="68">
        <f>SUM(D109:D114)</f>
        <v>0</v>
      </c>
      <c r="E115" s="68">
        <f>SUM(E109:E114)</f>
        <v>3056107.86</v>
      </c>
      <c r="F115" s="68">
        <f>SUM(F109:F114)</f>
        <v>0</v>
      </c>
      <c r="G115" s="68">
        <f>SUM(G109:G114)</f>
        <v>0</v>
      </c>
      <c r="H115" s="68">
        <f t="shared" si="6"/>
        <v>23665422.680000003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2431515.48</v>
      </c>
      <c r="D118" s="23" t="s">
        <v>288</v>
      </c>
      <c r="E118" s="73">
        <f>+('DOE25'!L282)+('DOE25'!L301)+('DOE25'!L320)</f>
        <v>841921.32</v>
      </c>
      <c r="F118" s="23" t="s">
        <v>288</v>
      </c>
      <c r="G118" s="23" t="s">
        <v>288</v>
      </c>
      <c r="H118" s="13">
        <f t="shared" ref="H118:H145" si="7">SUM(C118:G118)</f>
        <v>3273436.8</v>
      </c>
    </row>
    <row r="119" spans="1:8" x14ac:dyDescent="0.2">
      <c r="A119" t="s">
        <v>208</v>
      </c>
      <c r="B119" s="31" t="s">
        <v>209</v>
      </c>
      <c r="C119" s="73">
        <f>('DOE25'!L204)+('DOE25'!L222)+('DOE25'!L240)</f>
        <v>887610.95</v>
      </c>
      <c r="D119" s="23" t="s">
        <v>288</v>
      </c>
      <c r="E119" s="73">
        <f>+('DOE25'!L283)+('DOE25'!L302)+('DOE25'!L321)</f>
        <v>1600328.4100000001</v>
      </c>
      <c r="F119" s="23" t="s">
        <v>288</v>
      </c>
      <c r="G119" s="23" t="s">
        <v>288</v>
      </c>
      <c r="H119" s="13">
        <f t="shared" si="7"/>
        <v>2487939.3600000003</v>
      </c>
    </row>
    <row r="120" spans="1:8" x14ac:dyDescent="0.2">
      <c r="A120" t="s">
        <v>210</v>
      </c>
      <c r="B120" s="31" t="s">
        <v>211</v>
      </c>
      <c r="C120" s="73">
        <f>('DOE25'!L205)+('DOE25'!L223)+('DOE25'!L241)</f>
        <v>1811459.8699999999</v>
      </c>
      <c r="D120" s="23" t="s">
        <v>288</v>
      </c>
      <c r="E120" s="73">
        <f>+('DOE25'!L284)+('DOE25'!L303)+('DOE25'!L322)</f>
        <v>0</v>
      </c>
      <c r="F120" s="23" t="s">
        <v>288</v>
      </c>
      <c r="G120" s="23" t="s">
        <v>288</v>
      </c>
      <c r="H120" s="13">
        <f t="shared" si="7"/>
        <v>1811459.8699999999</v>
      </c>
    </row>
    <row r="121" spans="1:8" x14ac:dyDescent="0.2">
      <c r="A121" t="s">
        <v>212</v>
      </c>
      <c r="B121" s="31" t="s">
        <v>213</v>
      </c>
      <c r="C121" s="73">
        <f>('DOE25'!L206)+('DOE25'!L224)+('DOE25'!L242)</f>
        <v>2948904.4099999997</v>
      </c>
      <c r="D121" s="23" t="s">
        <v>288</v>
      </c>
      <c r="E121" s="73">
        <f>+('DOE25'!L285)+('DOE25'!L304)+('DOE25'!L323)</f>
        <v>35053.310000000005</v>
      </c>
      <c r="F121" s="23" t="s">
        <v>288</v>
      </c>
      <c r="G121" s="23" t="s">
        <v>288</v>
      </c>
      <c r="H121" s="13">
        <f t="shared" si="7"/>
        <v>2983957.7199999997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2630751.16</v>
      </c>
      <c r="D123" s="23" t="s">
        <v>288</v>
      </c>
      <c r="E123" s="73">
        <f>+('DOE25'!L287)+('DOE25'!L306)+('DOE25'!L325)</f>
        <v>37269.520000000004</v>
      </c>
      <c r="F123" s="23" t="s">
        <v>288</v>
      </c>
      <c r="G123" s="23" t="s">
        <v>288</v>
      </c>
      <c r="H123" s="13">
        <f t="shared" si="7"/>
        <v>2668020.6800000002</v>
      </c>
    </row>
    <row r="124" spans="1:8" x14ac:dyDescent="0.2">
      <c r="A124" t="s">
        <v>218</v>
      </c>
      <c r="B124" s="31" t="s">
        <v>219</v>
      </c>
      <c r="C124" s="73">
        <f>('DOE25'!L209)+('DOE25'!L227)+('DOE25'!L245+'DOE25'!L255)</f>
        <v>1460712.94</v>
      </c>
      <c r="D124" s="23" t="s">
        <v>288</v>
      </c>
      <c r="E124" s="73">
        <f>+('DOE25'!L288)+('DOE25'!L307)+('DOE25'!L326)</f>
        <v>0</v>
      </c>
      <c r="F124" s="23" t="s">
        <v>288</v>
      </c>
      <c r="G124" s="23" t="s">
        <v>288</v>
      </c>
      <c r="H124" s="13">
        <f t="shared" si="7"/>
        <v>1460712.94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859918.41999999993</v>
      </c>
      <c r="E127" s="23" t="s">
        <v>288</v>
      </c>
      <c r="F127" s="23" t="s">
        <v>288</v>
      </c>
      <c r="G127" s="23" t="s">
        <v>288</v>
      </c>
      <c r="H127" s="13">
        <f t="shared" si="7"/>
        <v>859918.41999999993</v>
      </c>
    </row>
    <row r="128" spans="1:8" ht="12.75" thickTop="1" thickBot="1" x14ac:dyDescent="0.25">
      <c r="A128" s="32" t="s">
        <v>226</v>
      </c>
      <c r="C128" s="68">
        <f>SUM(C118:C127)</f>
        <v>12170954.809999999</v>
      </c>
      <c r="D128" s="68">
        <f>SUM(D118:D127)</f>
        <v>859918.41999999993</v>
      </c>
      <c r="E128" s="68">
        <f>SUM(E118:E127)</f>
        <v>2514572.56</v>
      </c>
      <c r="F128" s="68">
        <f>SUM(F118:F127)</f>
        <v>0</v>
      </c>
      <c r="G128" s="68">
        <f>SUM(G118:G127)</f>
        <v>0</v>
      </c>
      <c r="H128" s="68">
        <f t="shared" si="7"/>
        <v>15545445.789999999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817658.84</v>
      </c>
      <c r="D131" s="23" t="s">
        <v>288</v>
      </c>
      <c r="E131" s="92">
        <f>'DOE25'!L342</f>
        <v>0</v>
      </c>
      <c r="F131" s="23" t="s">
        <v>288</v>
      </c>
      <c r="G131" s="23" t="s">
        <v>288</v>
      </c>
      <c r="H131" s="13">
        <f t="shared" si="7"/>
        <v>817658.84</v>
      </c>
    </row>
    <row r="132" spans="1:8" x14ac:dyDescent="0.2">
      <c r="A132" t="s">
        <v>230</v>
      </c>
      <c r="B132" s="31">
        <v>5120</v>
      </c>
      <c r="C132" s="73">
        <f>'DOE25'!L262</f>
        <v>420343.52</v>
      </c>
      <c r="D132" s="23" t="s">
        <v>288</v>
      </c>
      <c r="E132" s="92">
        <f>'DOE25'!L343</f>
        <v>0</v>
      </c>
      <c r="F132" s="23" t="s">
        <v>288</v>
      </c>
      <c r="G132" s="23" t="s">
        <v>288</v>
      </c>
      <c r="H132" s="13">
        <f t="shared" si="7"/>
        <v>420343.52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30087.4</v>
      </c>
      <c r="D138" s="23" t="s">
        <v>288</v>
      </c>
      <c r="E138" s="23" t="s">
        <v>288</v>
      </c>
      <c r="F138" s="23" t="s">
        <v>288</v>
      </c>
      <c r="G138" s="23" t="s">
        <v>288</v>
      </c>
      <c r="H138" s="13">
        <f t="shared" si="7"/>
        <v>30087.4</v>
      </c>
    </row>
    <row r="139" spans="1:8" x14ac:dyDescent="0.2">
      <c r="A139" t="s">
        <v>239</v>
      </c>
      <c r="B139" s="31">
        <v>5252</v>
      </c>
      <c r="C139" s="73">
        <f>'DOE25'!L402</f>
        <v>263804.71000000002</v>
      </c>
      <c r="D139" s="23" t="s">
        <v>288</v>
      </c>
      <c r="E139" s="23" t="s">
        <v>288</v>
      </c>
      <c r="F139" s="23" t="s">
        <v>288</v>
      </c>
      <c r="G139" s="23" t="s">
        <v>288</v>
      </c>
      <c r="H139" s="13">
        <f t="shared" si="7"/>
        <v>263804.71000000002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-293892.11000000004</v>
      </c>
      <c r="D141" s="23" t="s">
        <v>288</v>
      </c>
      <c r="E141" s="23" t="s">
        <v>288</v>
      </c>
      <c r="F141" s="23" t="s">
        <v>288</v>
      </c>
      <c r="G141" s="23" t="s">
        <v>288</v>
      </c>
      <c r="H141" s="13">
        <f t="shared" si="7"/>
        <v>-293892.11000000004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1238002.3599999996</v>
      </c>
      <c r="D144" s="98">
        <f>SUM(D130:D143)</f>
        <v>0</v>
      </c>
      <c r="E144" s="98">
        <f>SUM(E130:E143)</f>
        <v>0</v>
      </c>
      <c r="F144" s="98">
        <f>SUM(F130:F143)</f>
        <v>0</v>
      </c>
      <c r="G144" s="98">
        <f>SUM(G130:G143)</f>
        <v>0</v>
      </c>
      <c r="H144" s="98">
        <f t="shared" si="7"/>
        <v>1238002.3599999996</v>
      </c>
    </row>
    <row r="145" spans="1:9" ht="12.75" thickTop="1" thickBot="1" x14ac:dyDescent="0.25">
      <c r="A145" s="32" t="s">
        <v>244</v>
      </c>
      <c r="C145" s="68">
        <f>(C115+C128+C144)</f>
        <v>34018271.990000002</v>
      </c>
      <c r="D145" s="68">
        <f>(D115+D128+D144)</f>
        <v>859918.41999999993</v>
      </c>
      <c r="E145" s="68">
        <f>(E115+E128+E144)</f>
        <v>5570680.4199999999</v>
      </c>
      <c r="F145" s="68">
        <f>(F115+F128+F144)</f>
        <v>0</v>
      </c>
      <c r="G145" s="68">
        <f>(G115+G128+G144)</f>
        <v>0</v>
      </c>
      <c r="H145" s="68">
        <f t="shared" si="7"/>
        <v>40448870.830000006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8/13</v>
      </c>
      <c r="C152" s="109">
        <f>'DOE25'!G492</f>
        <v>0</v>
      </c>
      <c r="D152" s="109">
        <f>'DOE25'!H492</f>
        <v>0</v>
      </c>
      <c r="E152" s="109">
        <f>'DOE25'!I492</f>
        <v>0</v>
      </c>
      <c r="F152" s="109">
        <f>'DOE25'!J492</f>
        <v>0</v>
      </c>
      <c r="G152" s="23" t="s">
        <v>288</v>
      </c>
    </row>
    <row r="153" spans="1:9" x14ac:dyDescent="0.2">
      <c r="A153" s="21" t="s">
        <v>29</v>
      </c>
      <c r="B153" s="109" t="str">
        <f>'DOE25'!F493</f>
        <v>8/33</v>
      </c>
      <c r="C153" s="109">
        <f>'DOE25'!G493</f>
        <v>0</v>
      </c>
      <c r="D153" s="109">
        <f>'DOE25'!H493</f>
        <v>0</v>
      </c>
      <c r="E153" s="109">
        <f>'DOE25'!I493</f>
        <v>0</v>
      </c>
      <c r="F153" s="109">
        <f>'DOE25'!J493</f>
        <v>0</v>
      </c>
      <c r="G153" s="23" t="s">
        <v>288</v>
      </c>
    </row>
    <row r="154" spans="1:9" x14ac:dyDescent="0.2">
      <c r="A154" s="21" t="s">
        <v>30</v>
      </c>
      <c r="B154" s="19">
        <f>'DOE25'!F494</f>
        <v>11195000</v>
      </c>
      <c r="C154" s="19">
        <f>'DOE25'!G494</f>
        <v>0</v>
      </c>
      <c r="D154" s="19">
        <f>'DOE25'!H494</f>
        <v>0</v>
      </c>
      <c r="E154" s="19">
        <f>'DOE25'!I494</f>
        <v>0</v>
      </c>
      <c r="F154" s="19">
        <f>'DOE25'!J494</f>
        <v>0</v>
      </c>
      <c r="G154" s="23" t="s">
        <v>288</v>
      </c>
    </row>
    <row r="155" spans="1:9" x14ac:dyDescent="0.2">
      <c r="A155" s="21" t="s">
        <v>31</v>
      </c>
      <c r="B155" s="19">
        <f>'DOE25'!F495</f>
        <v>3.58</v>
      </c>
      <c r="C155" s="19">
        <f>'DOE25'!G495</f>
        <v>0</v>
      </c>
      <c r="D155" s="19">
        <f>'DOE25'!H495</f>
        <v>0</v>
      </c>
      <c r="E155" s="19">
        <f>'DOE25'!I495</f>
        <v>0</v>
      </c>
      <c r="F155" s="19">
        <f>'DOE25'!J495</f>
        <v>0</v>
      </c>
      <c r="G155" s="23" t="s">
        <v>288</v>
      </c>
    </row>
    <row r="156" spans="1:9" x14ac:dyDescent="0.2">
      <c r="A156" s="21" t="s">
        <v>32</v>
      </c>
      <c r="B156" s="19">
        <f>'DOE25'!F496</f>
        <v>6710000</v>
      </c>
      <c r="C156" s="19">
        <f>'DOE25'!G496</f>
        <v>0</v>
      </c>
      <c r="D156" s="19">
        <f>'DOE25'!H496</f>
        <v>0</v>
      </c>
      <c r="E156" s="19">
        <f>'DOE25'!I496</f>
        <v>0</v>
      </c>
      <c r="F156" s="19">
        <f>'DOE25'!J496</f>
        <v>0</v>
      </c>
      <c r="G156" s="96">
        <f>SUM(B156:F156)</f>
        <v>6710000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560000</v>
      </c>
      <c r="C158" s="19">
        <f>'DOE25'!G498</f>
        <v>0</v>
      </c>
      <c r="D158" s="19">
        <f>'DOE25'!H498</f>
        <v>0</v>
      </c>
      <c r="E158" s="19">
        <f>'DOE25'!I498</f>
        <v>0</v>
      </c>
      <c r="F158" s="19">
        <f>'DOE25'!J498</f>
        <v>0</v>
      </c>
      <c r="G158" s="96">
        <f t="shared" si="8"/>
        <v>560000</v>
      </c>
    </row>
    <row r="159" spans="1:9" x14ac:dyDescent="0.2">
      <c r="A159" s="21" t="s">
        <v>35</v>
      </c>
      <c r="B159" s="19">
        <f>'DOE25'!F499</f>
        <v>6150000</v>
      </c>
      <c r="C159" s="19">
        <f>'DOE25'!G499</f>
        <v>0</v>
      </c>
      <c r="D159" s="19">
        <f>'DOE25'!H499</f>
        <v>0</v>
      </c>
      <c r="E159" s="19">
        <f>'DOE25'!I499</f>
        <v>0</v>
      </c>
      <c r="F159" s="19">
        <f>'DOE25'!J499</f>
        <v>0</v>
      </c>
      <c r="G159" s="96">
        <f t="shared" si="8"/>
        <v>6150000</v>
      </c>
    </row>
    <row r="160" spans="1:9" x14ac:dyDescent="0.2">
      <c r="A160" s="21" t="s">
        <v>36</v>
      </c>
      <c r="B160" s="19">
        <f>'DOE25'!F500</f>
        <v>1431275</v>
      </c>
      <c r="C160" s="19">
        <f>'DOE25'!G500</f>
        <v>0</v>
      </c>
      <c r="D160" s="19">
        <f>'DOE25'!H500</f>
        <v>0</v>
      </c>
      <c r="E160" s="19">
        <f>'DOE25'!I500</f>
        <v>0</v>
      </c>
      <c r="F160" s="19">
        <f>'DOE25'!J500</f>
        <v>0</v>
      </c>
      <c r="G160" s="96">
        <f t="shared" si="8"/>
        <v>1431275</v>
      </c>
    </row>
    <row r="161" spans="1:7" x14ac:dyDescent="0.2">
      <c r="A161" s="21" t="s">
        <v>37</v>
      </c>
      <c r="B161" s="19">
        <f>'DOE25'!F501</f>
        <v>7581275</v>
      </c>
      <c r="C161" s="19">
        <f>'DOE25'!G501</f>
        <v>0</v>
      </c>
      <c r="D161" s="19">
        <f>'DOE25'!H501</f>
        <v>0</v>
      </c>
      <c r="E161" s="19">
        <f>'DOE25'!I501</f>
        <v>0</v>
      </c>
      <c r="F161" s="19">
        <f>'DOE25'!J501</f>
        <v>0</v>
      </c>
      <c r="G161" s="96">
        <f t="shared" si="8"/>
        <v>7581275</v>
      </c>
    </row>
    <row r="162" spans="1:7" x14ac:dyDescent="0.2">
      <c r="A162" s="21" t="s">
        <v>38</v>
      </c>
      <c r="B162" s="19">
        <f>'DOE25'!F502</f>
        <v>560000</v>
      </c>
      <c r="C162" s="19">
        <f>'DOE25'!G502</f>
        <v>0</v>
      </c>
      <c r="D162" s="19">
        <f>'DOE25'!H502</f>
        <v>0</v>
      </c>
      <c r="E162" s="19">
        <f>'DOE25'!I502</f>
        <v>0</v>
      </c>
      <c r="F162" s="19">
        <f>'DOE25'!J502</f>
        <v>0</v>
      </c>
      <c r="G162" s="96">
        <f t="shared" si="8"/>
        <v>560000</v>
      </c>
    </row>
    <row r="163" spans="1:7" x14ac:dyDescent="0.2">
      <c r="A163" s="21" t="s">
        <v>39</v>
      </c>
      <c r="B163" s="19">
        <f>'DOE25'!F503</f>
        <v>288870</v>
      </c>
      <c r="C163" s="19">
        <f>'DOE25'!G503</f>
        <v>0</v>
      </c>
      <c r="D163" s="19">
        <f>'DOE25'!H503</f>
        <v>0</v>
      </c>
      <c r="E163" s="19">
        <f>'DOE25'!I503</f>
        <v>0</v>
      </c>
      <c r="F163" s="19">
        <f>'DOE25'!J503</f>
        <v>0</v>
      </c>
      <c r="G163" s="96">
        <f t="shared" si="8"/>
        <v>288870</v>
      </c>
    </row>
    <row r="164" spans="1:7" x14ac:dyDescent="0.2">
      <c r="A164" s="21" t="s">
        <v>246</v>
      </c>
      <c r="B164" s="19">
        <f>'DOE25'!F504</f>
        <v>848870</v>
      </c>
      <c r="C164" s="19">
        <f>'DOE25'!G504</f>
        <v>0</v>
      </c>
      <c r="D164" s="19">
        <f>'DOE25'!H504</f>
        <v>0</v>
      </c>
      <c r="E164" s="19">
        <f>'DOE25'!I504</f>
        <v>0</v>
      </c>
      <c r="F164" s="19">
        <f>'DOE25'!J504</f>
        <v>0</v>
      </c>
      <c r="G164" s="96">
        <f t="shared" si="8"/>
        <v>848870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Claremont</v>
      </c>
    </row>
    <row r="3" spans="1:4" x14ac:dyDescent="0.2">
      <c r="B3" s="137" t="s">
        <v>1799</v>
      </c>
    </row>
    <row r="4" spans="1:4" x14ac:dyDescent="0.2">
      <c r="B4" t="s">
        <v>61</v>
      </c>
      <c r="C4" s="129">
        <f>IF('DOE25'!F666+'DOE25'!F671=0,0,ROUND('DOE25'!F673,0))</f>
        <v>22753</v>
      </c>
    </row>
    <row r="5" spans="1:4" x14ac:dyDescent="0.2">
      <c r="B5" t="s">
        <v>700</v>
      </c>
      <c r="C5" s="129">
        <f>IF('DOE25'!G666+'DOE25'!G671=0,0,ROUND('DOE25'!G673,0))</f>
        <v>20043</v>
      </c>
    </row>
    <row r="6" spans="1:4" x14ac:dyDescent="0.2">
      <c r="B6" t="s">
        <v>62</v>
      </c>
      <c r="C6" s="129">
        <f>IF('DOE25'!H666+'DOE25'!H671=0,0,ROUND('DOE25'!H673,0))</f>
        <v>20940</v>
      </c>
    </row>
    <row r="7" spans="1:4" x14ac:dyDescent="0.2">
      <c r="B7" t="s">
        <v>701</v>
      </c>
      <c r="C7" s="129">
        <f>IF('DOE25'!I666+'DOE25'!I671=0,0,ROUND('DOE25'!I673,0))</f>
        <v>21590</v>
      </c>
    </row>
    <row r="9" spans="1:4" x14ac:dyDescent="0.2">
      <c r="A9" s="136" t="s">
        <v>94</v>
      </c>
      <c r="B9" s="137" t="s">
        <v>1800</v>
      </c>
      <c r="C9" s="131" t="s">
        <v>720</v>
      </c>
      <c r="D9" s="131" t="s">
        <v>721</v>
      </c>
    </row>
    <row r="10" spans="1:4" x14ac:dyDescent="0.2">
      <c r="A10">
        <v>1100</v>
      </c>
      <c r="B10" t="s">
        <v>702</v>
      </c>
      <c r="C10" s="129">
        <f>ROUND('DOE25'!L198+'DOE25'!L216+'DOE25'!L234+'DOE25'!L277+'DOE25'!L296+'DOE25'!L315,0)</f>
        <v>12251603</v>
      </c>
      <c r="D10" s="132">
        <f>ROUND((C10/$C$28)*100,1)</f>
        <v>31</v>
      </c>
    </row>
    <row r="11" spans="1:4" x14ac:dyDescent="0.2">
      <c r="A11">
        <v>1200</v>
      </c>
      <c r="B11" t="s">
        <v>703</v>
      </c>
      <c r="C11" s="129">
        <f>ROUND('DOE25'!L199+'DOE25'!L217+'DOE25'!L235+'DOE25'!L278+'DOE25'!L297+'DOE25'!L316,0)</f>
        <v>9844039</v>
      </c>
      <c r="D11" s="132">
        <f>ROUND((C11/$C$28)*100,1)</f>
        <v>24.9</v>
      </c>
    </row>
    <row r="12" spans="1:4" x14ac:dyDescent="0.2">
      <c r="A12">
        <v>1300</v>
      </c>
      <c r="B12" t="s">
        <v>704</v>
      </c>
      <c r="C12" s="129">
        <f>ROUND('DOE25'!L200+'DOE25'!L218+'DOE25'!L236+'DOE25'!L279+'DOE25'!L298+'DOE25'!L317,0)</f>
        <v>689248</v>
      </c>
      <c r="D12" s="132">
        <f>ROUND((C12/$C$28)*100,1)</f>
        <v>1.7</v>
      </c>
    </row>
    <row r="13" spans="1:4" x14ac:dyDescent="0.2">
      <c r="A13">
        <v>1400</v>
      </c>
      <c r="B13" t="s">
        <v>705</v>
      </c>
      <c r="C13" s="129">
        <f>ROUND('DOE25'!L201+'DOE25'!L219+'DOE25'!L237+'DOE25'!L280+'DOE25'!L299+'DOE25'!L318,0)</f>
        <v>880533</v>
      </c>
      <c r="D13" s="132">
        <f>ROUND((C13/$C$28)*100,1)</f>
        <v>2.2000000000000002</v>
      </c>
    </row>
    <row r="14" spans="1:4" x14ac:dyDescent="0.2">
      <c r="D14" s="132"/>
    </row>
    <row r="15" spans="1:4" x14ac:dyDescent="0.2">
      <c r="A15">
        <v>2100</v>
      </c>
      <c r="B15" t="s">
        <v>706</v>
      </c>
      <c r="C15" s="129">
        <f>ROUND('DOE25'!L203+'DOE25'!L221+'DOE25'!L239+'DOE25'!L282+'DOE25'!L301+'DOE25'!L320,0)</f>
        <v>3273437</v>
      </c>
      <c r="D15" s="132">
        <f t="shared" ref="D15:D27" si="0">ROUND((C15/$C$28)*100,1)</f>
        <v>8.3000000000000007</v>
      </c>
    </row>
    <row r="16" spans="1:4" x14ac:dyDescent="0.2">
      <c r="A16">
        <v>2200</v>
      </c>
      <c r="B16" t="s">
        <v>707</v>
      </c>
      <c r="C16" s="129">
        <f>ROUND('DOE25'!L204+'DOE25'!L222+'DOE25'!L240+'DOE25'!L283+'DOE25'!L302+'DOE25'!L321,0)</f>
        <v>2487939</v>
      </c>
      <c r="D16" s="132">
        <f t="shared" si="0"/>
        <v>6.3</v>
      </c>
    </row>
    <row r="17" spans="1:4" x14ac:dyDescent="0.2">
      <c r="A17" s="133" t="s">
        <v>723</v>
      </c>
      <c r="B17" t="s">
        <v>738</v>
      </c>
      <c r="C17" s="129">
        <f>ROUND('DOE25'!L205+'DOE25'!L210+'DOE25'!L223+'DOE25'!L228+'DOE25'!L241+'DOE25'!L246+'DOE25'!L284+'DOE25'!L289+'DOE25'!L303+'DOE25'!L308+'DOE25'!L322+'DOE25'!L327,0)</f>
        <v>1811460</v>
      </c>
      <c r="D17" s="132">
        <f t="shared" si="0"/>
        <v>4.5999999999999996</v>
      </c>
    </row>
    <row r="18" spans="1:4" x14ac:dyDescent="0.2">
      <c r="A18">
        <v>2400</v>
      </c>
      <c r="B18" t="s">
        <v>711</v>
      </c>
      <c r="C18" s="129">
        <f>ROUND('DOE25'!L206+'DOE25'!L224+'DOE25'!L242+'DOE25'!L285+'DOE25'!L304+'DOE25'!L323,0)</f>
        <v>2983958</v>
      </c>
      <c r="D18" s="132">
        <f t="shared" si="0"/>
        <v>7.6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2668021</v>
      </c>
      <c r="D20" s="132">
        <f t="shared" si="0"/>
        <v>6.8</v>
      </c>
    </row>
    <row r="21" spans="1:4" x14ac:dyDescent="0.2">
      <c r="A21">
        <v>2700</v>
      </c>
      <c r="B21" t="s">
        <v>710</v>
      </c>
      <c r="C21" s="129">
        <f>ROUND('DOE25'!L209+'DOE25'!L227+'DOE25'!L245+'DOE25'!L288+'DOE25'!L307+'DOE25'!L326,0)</f>
        <v>1460713</v>
      </c>
      <c r="D21" s="132">
        <f t="shared" si="0"/>
        <v>3.7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420344</v>
      </c>
      <c r="D25" s="132">
        <f t="shared" si="0"/>
        <v>1.1000000000000001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716647.91</v>
      </c>
      <c r="D27" s="132">
        <f t="shared" si="0"/>
        <v>1.8</v>
      </c>
    </row>
    <row r="28" spans="1:4" x14ac:dyDescent="0.2">
      <c r="B28" s="136" t="s">
        <v>719</v>
      </c>
      <c r="C28" s="130">
        <f>SUM(C10:C27)</f>
        <v>39487942.909999996</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39487942.909999996</v>
      </c>
    </row>
    <row r="31" spans="1:4" x14ac:dyDescent="0.2">
      <c r="B31" s="32"/>
      <c r="C31" s="130"/>
    </row>
    <row r="32" spans="1:4" x14ac:dyDescent="0.2">
      <c r="A32">
        <v>5100</v>
      </c>
      <c r="B32" s="32" t="s">
        <v>726</v>
      </c>
      <c r="C32" s="130">
        <f>ROUND('DOE25'!L261+'DOE25'!L342,0)</f>
        <v>817659</v>
      </c>
    </row>
    <row r="34" spans="1:4" x14ac:dyDescent="0.2">
      <c r="A34" s="136" t="s">
        <v>94</v>
      </c>
      <c r="B34" s="137" t="s">
        <v>1801</v>
      </c>
      <c r="C34" s="131" t="s">
        <v>720</v>
      </c>
      <c r="D34" s="131" t="s">
        <v>721</v>
      </c>
    </row>
    <row r="35" spans="1:4" x14ac:dyDescent="0.2">
      <c r="A35">
        <v>1100</v>
      </c>
      <c r="B35" s="71" t="s">
        <v>727</v>
      </c>
      <c r="C35" s="129">
        <f>ROUND('DOE25'!F60+'DOE25'!G60+'DOE25'!H60+'DOE25'!I60+'DOE25'!J60,0)</f>
        <v>15992143</v>
      </c>
      <c r="D35" s="132">
        <f t="shared" ref="D35:D40" si="1">ROUND((C35/$C$41)*100,1)</f>
        <v>40</v>
      </c>
    </row>
    <row r="36" spans="1:4" x14ac:dyDescent="0.2">
      <c r="B36" s="71" t="s">
        <v>739</v>
      </c>
      <c r="C36" s="129">
        <f>SUM('DOE25'!F112:J112)-SUM('DOE25'!G97:G110)+('DOE25'!F175+'DOE25'!F176+'DOE25'!I175+'DOE25'!I176)-C35</f>
        <v>1012134.4499999993</v>
      </c>
      <c r="D36" s="132">
        <f t="shared" si="1"/>
        <v>2.5</v>
      </c>
    </row>
    <row r="37" spans="1:4" x14ac:dyDescent="0.2">
      <c r="A37" s="133" t="s">
        <v>834</v>
      </c>
      <c r="B37" s="71" t="s">
        <v>728</v>
      </c>
      <c r="C37" s="129">
        <f>ROUND('DOE25'!F117+'DOE25'!F118,0)</f>
        <v>15400801</v>
      </c>
      <c r="D37" s="132">
        <f t="shared" si="1"/>
        <v>38.5</v>
      </c>
    </row>
    <row r="38" spans="1:4" x14ac:dyDescent="0.2">
      <c r="A38" s="133" t="s">
        <v>734</v>
      </c>
      <c r="B38" s="71" t="s">
        <v>729</v>
      </c>
      <c r="C38" s="129">
        <f>ROUND(SUM('DOE25'!F140:J140)-SUM('DOE25'!F117:F119),0)</f>
        <v>690353</v>
      </c>
      <c r="D38" s="132">
        <f t="shared" si="1"/>
        <v>1.7</v>
      </c>
    </row>
    <row r="39" spans="1:4" x14ac:dyDescent="0.2">
      <c r="A39">
        <v>4000</v>
      </c>
      <c r="B39" s="71" t="s">
        <v>730</v>
      </c>
      <c r="C39" s="129">
        <f>ROUND('DOE25'!F170+'DOE25'!G170+'DOE25'!H170+'DOE25'!I170,0)</f>
        <v>6884880</v>
      </c>
      <c r="D39" s="132">
        <f t="shared" si="1"/>
        <v>17.2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39980311.450000003</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V22" sqref="V22"/>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Claremont</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9</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87</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48</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63</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170</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f>IF('School Level Expenditures'!$B$2='School Tables'!L12,'School Tables'!S12,"")</f>
        <v>9</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f>IF('School Level Expenditures'!$B$2=A30,'School Tables'!H30,"")</f>
        <v>27</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f>IF('School Level Expenditures'!$B$2=A51,'School Tables'!H51,"")</f>
        <v>48</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f>IF('School Level Expenditures'!$B$2=A66,'School Tables'!H66,"")</f>
        <v>63</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f>IF('School Level Expenditures'!$B$2='School Tables'!W90,'School Tables'!AD90,"")</f>
        <v>87</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f>IF('School Level Expenditures'!$B$2=A173,'School Tables'!H173,"")</f>
        <v>170</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2023-11-20T15:31:21Z</cp:lastPrinted>
  <dcterms:created xsi:type="dcterms:W3CDTF">1997-12-04T19:04:30Z</dcterms:created>
  <dcterms:modified xsi:type="dcterms:W3CDTF">2023-12-28T16:21:11Z</dcterms:modified>
</cp:coreProperties>
</file>