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FBACD08E-E7AC-4B35-A2EE-A2C38EC034D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 i="14" l="1"/>
  <c r="D5" i="14"/>
  <c r="G243" i="1"/>
  <c r="F243" i="1"/>
  <c r="G225" i="1"/>
  <c r="F225" i="1"/>
  <c r="G207" i="1"/>
  <c r="F207" i="1"/>
  <c r="G241" i="1"/>
  <c r="F241" i="1"/>
  <c r="G223" i="1"/>
  <c r="F223" i="1"/>
  <c r="G205" i="1"/>
  <c r="F205" i="1"/>
  <c r="H614" i="1" l="1"/>
  <c r="G614" i="1"/>
  <c r="F614" i="1"/>
  <c r="H613" i="1"/>
  <c r="G613" i="1"/>
  <c r="F613" i="1"/>
  <c r="H612" i="1"/>
  <c r="G612" i="1"/>
  <c r="F612" i="1"/>
  <c r="B30" i="12"/>
  <c r="B21" i="12"/>
  <c r="B12" i="12"/>
  <c r="B11" i="12"/>
  <c r="I565" i="1" l="1"/>
  <c r="H565" i="1"/>
  <c r="G565" i="1"/>
  <c r="F565" i="1"/>
  <c r="I564" i="1"/>
  <c r="H564" i="1"/>
  <c r="G564" i="1"/>
  <c r="F564" i="1"/>
  <c r="I563" i="1"/>
  <c r="H563" i="1"/>
  <c r="G563" i="1"/>
  <c r="F563" i="1"/>
  <c r="I605" i="1"/>
  <c r="H605" i="1"/>
  <c r="G210" i="1"/>
  <c r="G209" i="1"/>
  <c r="K243" i="1"/>
  <c r="K267" i="1"/>
  <c r="H206" i="1"/>
  <c r="K239" i="1"/>
  <c r="H198" i="1"/>
  <c r="G252" i="1"/>
  <c r="G244" i="1"/>
  <c r="G242" i="1"/>
  <c r="G240" i="1"/>
  <c r="G239" i="1"/>
  <c r="G237" i="1"/>
  <c r="G236" i="1"/>
  <c r="G235" i="1"/>
  <c r="G234" i="1"/>
  <c r="G226" i="1"/>
  <c r="G224" i="1"/>
  <c r="G222" i="1"/>
  <c r="G221" i="1"/>
  <c r="G219" i="1"/>
  <c r="G217" i="1"/>
  <c r="G216" i="1"/>
  <c r="G208" i="1"/>
  <c r="G206" i="1"/>
  <c r="G204" i="1"/>
  <c r="G203" i="1"/>
  <c r="G201" i="1"/>
  <c r="G199" i="1"/>
  <c r="G198" i="1"/>
  <c r="F252" i="1"/>
  <c r="F234" i="1"/>
  <c r="F216" i="1"/>
  <c r="F198" i="1"/>
  <c r="K269" i="1"/>
  <c r="K264" i="1"/>
  <c r="K262" i="1"/>
  <c r="K261" i="1"/>
  <c r="H256" i="1"/>
  <c r="H245" i="1"/>
  <c r="H227" i="1"/>
  <c r="I209" i="1"/>
  <c r="H209" i="1"/>
  <c r="F209" i="1"/>
  <c r="K244" i="1"/>
  <c r="J244" i="1"/>
  <c r="I244" i="1"/>
  <c r="H244" i="1"/>
  <c r="F244" i="1"/>
  <c r="K226" i="1"/>
  <c r="J226" i="1"/>
  <c r="I226" i="1"/>
  <c r="H226" i="1"/>
  <c r="F226" i="1"/>
  <c r="K208" i="1"/>
  <c r="J208" i="1"/>
  <c r="I208" i="1"/>
  <c r="H208" i="1"/>
  <c r="F208" i="1"/>
  <c r="J243" i="1"/>
  <c r="I243" i="1"/>
  <c r="H243" i="1"/>
  <c r="K225" i="1"/>
  <c r="J225" i="1"/>
  <c r="I225" i="1"/>
  <c r="H225" i="1"/>
  <c r="K207" i="1"/>
  <c r="J207" i="1"/>
  <c r="I207" i="1"/>
  <c r="H207" i="1"/>
  <c r="K242" i="1"/>
  <c r="H242" i="1"/>
  <c r="F242" i="1"/>
  <c r="K224" i="1"/>
  <c r="H224" i="1"/>
  <c r="F224" i="1"/>
  <c r="K206" i="1"/>
  <c r="F206" i="1"/>
  <c r="K241" i="1"/>
  <c r="I241" i="1"/>
  <c r="H241" i="1"/>
  <c r="K223" i="1"/>
  <c r="I223" i="1"/>
  <c r="H223" i="1"/>
  <c r="K205" i="1"/>
  <c r="I205" i="1"/>
  <c r="H205" i="1"/>
  <c r="K240" i="1"/>
  <c r="J240" i="1"/>
  <c r="I240" i="1"/>
  <c r="H240" i="1"/>
  <c r="F240" i="1"/>
  <c r="K222" i="1"/>
  <c r="J222" i="1"/>
  <c r="I222" i="1"/>
  <c r="H222" i="1"/>
  <c r="F222" i="1"/>
  <c r="K204" i="1"/>
  <c r="J204" i="1"/>
  <c r="I204" i="1"/>
  <c r="H204" i="1"/>
  <c r="F204" i="1"/>
  <c r="I239" i="1"/>
  <c r="H239" i="1"/>
  <c r="F239" i="1"/>
  <c r="K221" i="1"/>
  <c r="I221" i="1"/>
  <c r="H221" i="1"/>
  <c r="F221" i="1"/>
  <c r="K203" i="1"/>
  <c r="I203" i="1"/>
  <c r="H203" i="1"/>
  <c r="F203" i="1"/>
  <c r="F237" i="1"/>
  <c r="F219" i="1"/>
  <c r="F201" i="1"/>
  <c r="J235" i="1"/>
  <c r="I235" i="1"/>
  <c r="H235" i="1"/>
  <c r="F235" i="1"/>
  <c r="J217" i="1"/>
  <c r="I217" i="1"/>
  <c r="H217" i="1"/>
  <c r="F217" i="1"/>
  <c r="J199" i="1"/>
  <c r="I199" i="1"/>
  <c r="H199" i="1"/>
  <c r="F199" i="1"/>
  <c r="K234" i="1"/>
  <c r="I234" i="1"/>
  <c r="H234" i="1"/>
  <c r="K216" i="1"/>
  <c r="I216" i="1"/>
  <c r="H216" i="1"/>
  <c r="K198" i="1"/>
  <c r="I198" i="1"/>
  <c r="G534" i="1"/>
  <c r="F534" i="1"/>
  <c r="G533" i="1"/>
  <c r="F533" i="1"/>
  <c r="G532" i="1"/>
  <c r="F532" i="1"/>
  <c r="K544" i="1"/>
  <c r="I544" i="1"/>
  <c r="H544" i="1"/>
  <c r="G544" i="1"/>
  <c r="F544" i="1"/>
  <c r="K543" i="1"/>
  <c r="I543" i="1"/>
  <c r="H543" i="1"/>
  <c r="G543" i="1"/>
  <c r="F543" i="1"/>
  <c r="K542" i="1"/>
  <c r="I542" i="1"/>
  <c r="H542" i="1"/>
  <c r="G542" i="1"/>
  <c r="F542" i="1"/>
  <c r="K529" i="1"/>
  <c r="J529" i="1"/>
  <c r="I529" i="1"/>
  <c r="H529" i="1"/>
  <c r="G529" i="1"/>
  <c r="F529" i="1"/>
  <c r="K528" i="1"/>
  <c r="I528" i="1"/>
  <c r="H528" i="1"/>
  <c r="G528" i="1"/>
  <c r="F528" i="1"/>
  <c r="K527" i="1"/>
  <c r="J527" i="1"/>
  <c r="I527" i="1"/>
  <c r="H527" i="1"/>
  <c r="G527" i="1"/>
  <c r="F527" i="1"/>
  <c r="H537" i="1"/>
  <c r="H539" i="1"/>
  <c r="H538" i="1"/>
  <c r="J524" i="1"/>
  <c r="I524" i="1"/>
  <c r="H524" i="1"/>
  <c r="G524" i="1"/>
  <c r="F524" i="1"/>
  <c r="J523" i="1"/>
  <c r="I523" i="1"/>
  <c r="H523" i="1"/>
  <c r="G523" i="1"/>
  <c r="F523" i="1"/>
  <c r="J522" i="1"/>
  <c r="I522" i="1"/>
  <c r="H522" i="1"/>
  <c r="G522" i="1"/>
  <c r="F522" i="1"/>
  <c r="K524" i="1"/>
  <c r="J598" i="1" l="1"/>
  <c r="J597" i="1"/>
  <c r="J596" i="1"/>
  <c r="J595" i="1"/>
  <c r="J594" i="1"/>
  <c r="J593" i="1"/>
  <c r="J592" i="1"/>
  <c r="I598" i="1"/>
  <c r="I597" i="1"/>
  <c r="I596" i="1"/>
  <c r="I595" i="1"/>
  <c r="I594" i="1"/>
  <c r="I593" i="1"/>
  <c r="I592" i="1"/>
  <c r="H598" i="1"/>
  <c r="H597" i="1"/>
  <c r="H596" i="1"/>
  <c r="H595" i="1"/>
  <c r="H594" i="1"/>
  <c r="H593" i="1"/>
  <c r="H592" i="1"/>
  <c r="I252" i="1" l="1"/>
  <c r="H252" i="1"/>
  <c r="I236" i="1"/>
  <c r="H236" i="1"/>
  <c r="K236" i="1"/>
  <c r="F236" i="1"/>
  <c r="I242" i="1"/>
  <c r="J242" i="1"/>
  <c r="I237" i="1"/>
  <c r="K237" i="1"/>
  <c r="J237" i="1"/>
  <c r="H237" i="1"/>
  <c r="K235" i="1"/>
  <c r="J234" i="1"/>
  <c r="I224" i="1"/>
  <c r="K219" i="1"/>
  <c r="J219" i="1"/>
  <c r="I219" i="1"/>
  <c r="H219" i="1"/>
  <c r="J216" i="1"/>
  <c r="I206" i="1" l="1"/>
  <c r="J198" i="1"/>
  <c r="F500" i="1" l="1"/>
  <c r="F503" i="1"/>
  <c r="F502" i="1"/>
  <c r="F499" i="1"/>
  <c r="J474" i="1" l="1"/>
  <c r="I277" i="1"/>
  <c r="H473" i="1"/>
  <c r="J473" i="1"/>
  <c r="J469" i="1"/>
  <c r="I473" i="1"/>
  <c r="I469" i="1"/>
  <c r="F473" i="1"/>
  <c r="F469" i="1"/>
  <c r="H469" i="1"/>
  <c r="H430" i="1"/>
  <c r="K427" i="1"/>
  <c r="J381" i="1"/>
  <c r="I381" i="1"/>
  <c r="H381" i="1"/>
  <c r="K381" i="1"/>
  <c r="K345" i="1" l="1"/>
  <c r="H307" i="1"/>
  <c r="I322" i="1"/>
  <c r="H322" i="1"/>
  <c r="G322" i="1"/>
  <c r="F322" i="1"/>
  <c r="I303" i="1"/>
  <c r="H303" i="1"/>
  <c r="G303" i="1"/>
  <c r="F303" i="1"/>
  <c r="I284" i="1"/>
  <c r="H284" i="1"/>
  <c r="G284" i="1"/>
  <c r="F284" i="1"/>
  <c r="J325" i="1"/>
  <c r="I325" i="1"/>
  <c r="H325" i="1"/>
  <c r="J306" i="1"/>
  <c r="I306" i="1"/>
  <c r="H306" i="1"/>
  <c r="J284" i="1"/>
  <c r="I321" i="1"/>
  <c r="H321" i="1"/>
  <c r="G321" i="1"/>
  <c r="F321" i="1"/>
  <c r="I302" i="1"/>
  <c r="H302" i="1"/>
  <c r="G302" i="1"/>
  <c r="F302" i="1"/>
  <c r="I283" i="1"/>
  <c r="H283" i="1"/>
  <c r="G283" i="1"/>
  <c r="F283" i="1"/>
  <c r="I320" i="1"/>
  <c r="H320" i="1"/>
  <c r="G320" i="1"/>
  <c r="F320" i="1"/>
  <c r="I301" i="1"/>
  <c r="H301" i="1"/>
  <c r="G301" i="1"/>
  <c r="F301" i="1"/>
  <c r="I282" i="1"/>
  <c r="H282" i="1"/>
  <c r="G282" i="1"/>
  <c r="F282" i="1"/>
  <c r="H334" i="1"/>
  <c r="I333" i="1"/>
  <c r="H333" i="1"/>
  <c r="I318" i="1"/>
  <c r="H318" i="1"/>
  <c r="G318" i="1"/>
  <c r="F318" i="1"/>
  <c r="I299" i="1"/>
  <c r="H299" i="1"/>
  <c r="G299" i="1"/>
  <c r="F299" i="1"/>
  <c r="I280" i="1"/>
  <c r="H280" i="1"/>
  <c r="G280" i="1"/>
  <c r="F280" i="1"/>
  <c r="I316" i="1"/>
  <c r="H316" i="1"/>
  <c r="G316" i="1"/>
  <c r="F316" i="1"/>
  <c r="I297" i="1"/>
  <c r="H297" i="1"/>
  <c r="G297" i="1"/>
  <c r="F297" i="1"/>
  <c r="I278" i="1"/>
  <c r="H278" i="1"/>
  <c r="G278" i="1"/>
  <c r="F278" i="1"/>
  <c r="I315" i="1"/>
  <c r="H315" i="1"/>
  <c r="I296" i="1"/>
  <c r="H296" i="1"/>
  <c r="H277" i="1"/>
  <c r="I317" i="1"/>
  <c r="G317" i="1"/>
  <c r="F317" i="1"/>
  <c r="H317" i="1"/>
  <c r="J317" i="1"/>
  <c r="G315" i="1"/>
  <c r="F315" i="1"/>
  <c r="J315" i="1"/>
  <c r="H337" i="1"/>
  <c r="H326" i="1"/>
  <c r="J316" i="1"/>
  <c r="J296" i="1"/>
  <c r="G296" i="1"/>
  <c r="F296" i="1"/>
  <c r="J278" i="1"/>
  <c r="H288" i="1"/>
  <c r="H287" i="1"/>
  <c r="I285" i="1"/>
  <c r="G285" i="1"/>
  <c r="F285" i="1"/>
  <c r="K280" i="1"/>
  <c r="J277" i="1"/>
  <c r="G277" i="1"/>
  <c r="F277" i="1"/>
  <c r="J466" i="1" l="1"/>
  <c r="G473" i="1"/>
  <c r="G469" i="1"/>
  <c r="H466" i="1"/>
  <c r="F466" i="1"/>
  <c r="G466" i="1"/>
  <c r="J361" i="1" l="1"/>
  <c r="I359" i="1"/>
  <c r="H369" i="1"/>
  <c r="H368" i="1"/>
  <c r="G369" i="1"/>
  <c r="G368" i="1"/>
  <c r="F369" i="1"/>
  <c r="F368" i="1"/>
  <c r="K361" i="1"/>
  <c r="I361" i="1"/>
  <c r="H361" i="1"/>
  <c r="G361" i="1"/>
  <c r="F361" i="1"/>
  <c r="K360" i="1"/>
  <c r="J360" i="1"/>
  <c r="I360" i="1"/>
  <c r="H360" i="1"/>
  <c r="G360" i="1"/>
  <c r="F360" i="1"/>
  <c r="K359" i="1"/>
  <c r="J359" i="1"/>
  <c r="H359" i="1"/>
  <c r="G359" i="1"/>
  <c r="F359" i="1"/>
  <c r="E9" i="17"/>
  <c r="E15" i="17"/>
  <c r="E11" i="17"/>
  <c r="E13" i="17"/>
  <c r="I401" i="1" l="1"/>
  <c r="H401" i="1"/>
  <c r="G401" i="1"/>
  <c r="J102" i="1"/>
  <c r="J96" i="1"/>
  <c r="J183" i="1"/>
  <c r="J180" i="1"/>
  <c r="I187" i="1"/>
  <c r="H154" i="1"/>
  <c r="H135" i="1"/>
  <c r="H162" i="1"/>
  <c r="H161" i="1"/>
  <c r="H164" i="1" l="1"/>
  <c r="H159" i="1"/>
  <c r="H156" i="1"/>
  <c r="H155" i="1"/>
  <c r="H130" i="1"/>
  <c r="H102" i="1"/>
  <c r="G97" i="1"/>
  <c r="G180" i="1"/>
  <c r="G161" i="1"/>
  <c r="G158" i="1"/>
  <c r="G132" i="1"/>
  <c r="G96" i="1"/>
  <c r="F86" i="1"/>
  <c r="F68" i="1"/>
  <c r="F187" i="1"/>
  <c r="F182" i="1"/>
  <c r="F161" i="1"/>
  <c r="F160" i="1"/>
  <c r="F145" i="1"/>
  <c r="F127" i="1"/>
  <c r="F126" i="1"/>
  <c r="F123" i="1"/>
  <c r="F118" i="1"/>
  <c r="F117" i="1"/>
  <c r="F110" i="1"/>
  <c r="F109" i="1"/>
  <c r="F101" i="1"/>
  <c r="F98" i="1"/>
  <c r="F96" i="1"/>
  <c r="F93" i="1"/>
  <c r="F83" i="1"/>
  <c r="F70" i="1"/>
  <c r="F69" i="1"/>
  <c r="F63" i="1"/>
  <c r="F59" i="1"/>
  <c r="G460" i="1" l="1"/>
  <c r="H14" i="1"/>
  <c r="H22" i="1"/>
  <c r="G449" i="1" l="1"/>
  <c r="G441" i="1"/>
  <c r="G442" i="1"/>
  <c r="I48" i="1" l="1"/>
  <c r="I22" i="1"/>
  <c r="I28" i="1"/>
  <c r="I9" i="1"/>
  <c r="I12" i="1"/>
  <c r="H48" i="1"/>
  <c r="H28" i="1"/>
  <c r="H12" i="1"/>
  <c r="H45" i="1"/>
  <c r="H9" i="1"/>
  <c r="G48" i="1"/>
  <c r="G45" i="1"/>
  <c r="G28" i="1"/>
  <c r="G22" i="1"/>
  <c r="G30" i="1"/>
  <c r="G14" i="1"/>
  <c r="G16" i="1"/>
  <c r="G12" i="1"/>
  <c r="G9" i="1"/>
  <c r="F50" i="1"/>
  <c r="F45" i="1"/>
  <c r="F29" i="1"/>
  <c r="F28" i="1"/>
  <c r="F22" i="1"/>
  <c r="F30" i="1"/>
  <c r="F12" i="1"/>
  <c r="F18" i="1"/>
  <c r="F17" i="1"/>
  <c r="F14" i="1"/>
  <c r="F9" i="1"/>
  <c r="F10" i="1"/>
  <c r="H137" i="2"/>
  <c r="H138" i="2"/>
  <c r="H140"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143" i="2"/>
  <c r="H99" i="2"/>
  <c r="H101" i="2"/>
  <c r="H102" i="2"/>
  <c r="H94" i="2"/>
  <c r="H93" i="2"/>
  <c r="H90" i="2"/>
  <c r="H87" i="2"/>
  <c r="H73" i="2"/>
  <c r="H74" i="2"/>
  <c r="H79" i="2"/>
  <c r="H80" i="2"/>
  <c r="H48" i="2"/>
  <c r="H43" i="2"/>
  <c r="H45" i="2"/>
  <c r="H42" i="2"/>
  <c r="H40" i="2"/>
  <c r="H39" i="2"/>
  <c r="H38" i="2"/>
  <c r="H36" i="2"/>
  <c r="H35" i="2"/>
  <c r="H34" i="2"/>
  <c r="H22" i="2"/>
  <c r="H23" i="2"/>
  <c r="H24" i="2"/>
  <c r="H25" i="2"/>
  <c r="H26" i="2"/>
  <c r="H30" i="2"/>
  <c r="H10" i="2"/>
  <c r="H14"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H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D11" i="2"/>
  <c r="E11" i="2"/>
  <c r="F11" i="2"/>
  <c r="I442" i="1"/>
  <c r="J12" i="1" s="1"/>
  <c r="G11" i="2" s="1"/>
  <c r="C12" i="2"/>
  <c r="H12" i="2" s="1"/>
  <c r="D12" i="2"/>
  <c r="E12" i="2"/>
  <c r="F12" i="2"/>
  <c r="I443" i="1"/>
  <c r="J13" i="1" s="1"/>
  <c r="G12" i="2" s="1"/>
  <c r="C13" i="2"/>
  <c r="D13" i="2"/>
  <c r="E13" i="2"/>
  <c r="F13" i="2"/>
  <c r="I444" i="1"/>
  <c r="J14" i="1" s="1"/>
  <c r="G13" i="2" s="1"/>
  <c r="F14" i="2"/>
  <c r="C15" i="2"/>
  <c r="D15" i="2"/>
  <c r="H15" i="2" s="1"/>
  <c r="E15" i="2"/>
  <c r="F15" i="2"/>
  <c r="C16" i="2"/>
  <c r="H16" i="2" s="1"/>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E76" i="2"/>
  <c r="F76" i="2"/>
  <c r="C77" i="2"/>
  <c r="D77" i="2"/>
  <c r="D78" i="2" s="1"/>
  <c r="E77" i="2"/>
  <c r="F77" i="2"/>
  <c r="G77" i="2"/>
  <c r="G78" i="2" s="1"/>
  <c r="C79" i="2"/>
  <c r="D79" i="2"/>
  <c r="E79" i="2"/>
  <c r="C80" i="2"/>
  <c r="E80" i="2"/>
  <c r="C85" i="2"/>
  <c r="H85" i="2" s="1"/>
  <c r="F85" i="2"/>
  <c r="C87" i="2"/>
  <c r="E87" i="2"/>
  <c r="F87" i="2"/>
  <c r="C89" i="2"/>
  <c r="D89" i="2"/>
  <c r="E89" i="2"/>
  <c r="H89" i="2" s="1"/>
  <c r="F89" i="2"/>
  <c r="C90" i="2"/>
  <c r="C93" i="2"/>
  <c r="F93" i="2"/>
  <c r="C94" i="2"/>
  <c r="F94" i="2"/>
  <c r="D96" i="2"/>
  <c r="H96" i="2" s="1"/>
  <c r="E96" i="2"/>
  <c r="F96" i="2"/>
  <c r="G96" i="2"/>
  <c r="C97" i="2"/>
  <c r="H97" i="2" s="1"/>
  <c r="D97" i="2"/>
  <c r="E97" i="2"/>
  <c r="F97" i="2"/>
  <c r="G97" i="2"/>
  <c r="C98" i="2"/>
  <c r="D98" i="2"/>
  <c r="E98" i="2"/>
  <c r="G98" i="2"/>
  <c r="H98" i="2" s="1"/>
  <c r="C99" i="2"/>
  <c r="D99" i="2"/>
  <c r="E99" i="2"/>
  <c r="F99" i="2"/>
  <c r="C100" i="2"/>
  <c r="H100" i="2" s="1"/>
  <c r="D100" i="2"/>
  <c r="E100" i="2"/>
  <c r="F100" i="2"/>
  <c r="C101" i="2"/>
  <c r="D101" i="2"/>
  <c r="E101" i="2"/>
  <c r="F101" i="2"/>
  <c r="C102" i="2"/>
  <c r="D102" i="2"/>
  <c r="E102" i="2"/>
  <c r="F102" i="2"/>
  <c r="D115" i="2"/>
  <c r="F115" i="2"/>
  <c r="G115" i="2"/>
  <c r="E125" i="2"/>
  <c r="F128" i="2"/>
  <c r="G128"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H653" i="1"/>
  <c r="G654" i="1"/>
  <c r="H654" i="1"/>
  <c r="H655" i="1"/>
  <c r="H656" i="1"/>
  <c r="I170" i="1"/>
  <c r="C125" i="2" l="1"/>
  <c r="H125" i="2" s="1"/>
  <c r="C120" i="2"/>
  <c r="J652" i="1"/>
  <c r="E13" i="13"/>
  <c r="C13" i="13" s="1"/>
  <c r="G663" i="1"/>
  <c r="D15" i="13"/>
  <c r="C15" i="13" s="1"/>
  <c r="C119" i="2"/>
  <c r="C112" i="2"/>
  <c r="C110" i="2"/>
  <c r="C121" i="2"/>
  <c r="D6" i="13"/>
  <c r="C6" i="13" s="1"/>
  <c r="E120" i="2"/>
  <c r="C12" i="10"/>
  <c r="E124" i="2"/>
  <c r="M2" i="14"/>
  <c r="M3" i="14" s="1"/>
  <c r="L2" i="14"/>
  <c r="L3" i="14" s="1"/>
  <c r="C13" i="10"/>
  <c r="E121" i="2"/>
  <c r="N2" i="14"/>
  <c r="N3" i="14" s="1"/>
  <c r="A40" i="12"/>
  <c r="E112" i="2"/>
  <c r="K2" i="14"/>
  <c r="K3" i="14" s="1"/>
  <c r="D29" i="13"/>
  <c r="C29" i="13" s="1"/>
  <c r="G662" i="1"/>
  <c r="I409" i="1"/>
  <c r="G409" i="1"/>
  <c r="H646" i="1" s="1"/>
  <c r="J646" i="1" s="1"/>
  <c r="G646" i="1"/>
  <c r="G62" i="2"/>
  <c r="H76" i="2"/>
  <c r="H77" i="2"/>
  <c r="H61" i="2"/>
  <c r="H59" i="2"/>
  <c r="H47" i="2"/>
  <c r="H9" i="2"/>
  <c r="H44" i="2"/>
  <c r="H29" i="2"/>
  <c r="H13" i="2"/>
  <c r="H11" i="2"/>
  <c r="H8" i="2"/>
  <c r="H27" i="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120" i="2"/>
  <c r="H114" i="2"/>
  <c r="H112" i="2"/>
  <c r="H110" i="2"/>
  <c r="H121" i="2"/>
  <c r="H119" i="2"/>
  <c r="H124" i="2"/>
  <c r="H123" i="2"/>
  <c r="H134" i="2"/>
  <c r="G24" i="14"/>
  <c r="H24" i="14" s="1"/>
  <c r="I24" i="14" s="1"/>
  <c r="E128" i="2"/>
  <c r="H118" i="2"/>
  <c r="D128" i="2"/>
  <c r="H127" i="2"/>
  <c r="H103" i="2"/>
  <c r="H78" i="2"/>
  <c r="H91" i="2"/>
  <c r="I662" i="1"/>
  <c r="H62" i="2"/>
  <c r="C81" i="2"/>
  <c r="H81" i="2" s="1"/>
  <c r="F194" i="1"/>
  <c r="G628" i="1" s="1"/>
  <c r="J628" i="1" s="1"/>
  <c r="H21" i="2"/>
  <c r="E51" i="2"/>
  <c r="H50" i="2"/>
  <c r="D51" i="2"/>
  <c r="H18" i="2"/>
  <c r="H31"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D145" i="2"/>
  <c r="H128" i="2"/>
  <c r="C144" i="2"/>
  <c r="C145"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H144"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<sst xmlns="http://schemas.openxmlformats.org/spreadsheetml/2006/main" count="6562" uniqueCount="1816">
  <si>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</si>
  <si>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</si>
  <si>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</si>
  <si>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</si>
  <si>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</si>
  <si>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</si>
  <si>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</si>
  <si>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</si>
  <si>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</si>
  <si>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</si>
  <si>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</si>
  <si>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</si>
  <si>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</si>
  <si>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</si>
  <si>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</si>
  <si>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</si>
  <si>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</si>
  <si>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</si>
  <si>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</si>
  <si>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</si>
  <si>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</si>
  <si>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</si>
  <si>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</si>
  <si>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</si>
  <si>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</si>
  <si>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</si>
  <si>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</si>
  <si>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</si>
  <si>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</si>
  <si>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</si>
  <si>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</si>
  <si>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</si>
  <si>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</si>
  <si>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</si>
  <si>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</si>
  <si>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</si>
  <si>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</si>
  <si>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</si>
  <si>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</si>
  <si>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</si>
  <si>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</si>
  <si>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</si>
  <si>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</si>
  <si>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</si>
  <si>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</si>
  <si>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</si>
  <si>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</si>
  <si>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</si>
  <si>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</si>
  <si>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</si>
  <si>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</si>
  <si>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</si>
  <si>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</si>
  <si>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</si>
  <si>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</si>
  <si>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</si>
  <si>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</si>
  <si>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</si>
  <si>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</si>
  <si>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</si>
  <si>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</si>
  <si>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</si>
  <si>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</si>
  <si>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</si>
  <si>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</si>
  <si>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</si>
  <si>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</si>
  <si>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</si>
  <si>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</si>
  <si>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</si>
  <si>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</si>
  <si>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</si>
  <si>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</si>
  <si>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</si>
  <si>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</si>
  <si>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</si>
  <si>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</si>
  <si>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</si>
  <si>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</si>
  <si>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</si>
  <si>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</si>
  <si>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</si>
  <si>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</si>
  <si>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</si>
  <si>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</si>
  <si>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</si>
  <si>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</si>
  <si>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</si>
  <si>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</si>
  <si>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</si>
  <si>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</si>
  <si>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</si>
  <si>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</si>
  <si>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</si>
  <si>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</si>
  <si>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</si>
  <si>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</si>
  <si>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</si>
  <si>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</si>
  <si>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</si>
  <si>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</si>
  <si>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</si>
  <si>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</si>
  <si>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</si>
  <si>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</si>
  <si>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</si>
  <si>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</si>
  <si>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</si>
  <si>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</si>
  <si>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</si>
  <si>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</si>
  <si>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</si>
  <si>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</si>
  <si>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</si>
  <si>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</si>
  <si>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</si>
  <si>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</si>
  <si>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</si>
  <si>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</si>
  <si>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</si>
  <si>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</si>
  <si>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</si>
  <si>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</si>
  <si>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</si>
  <si>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</si>
  <si>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</si>
  <si>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</si>
  <si>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</si>
  <si>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</si>
  <si>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</si>
  <si>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</si>
  <si>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</si>
  <si>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</si>
  <si>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</si>
  <si>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</si>
  <si>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</si>
  <si>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</si>
  <si>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</si>
  <si>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</si>
  <si>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</si>
  <si>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</si>
  <si>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</si>
  <si>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</si>
  <si>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</si>
  <si>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</si>
  <si>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</si>
  <si>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</si>
  <si>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</si>
  <si>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</si>
  <si>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</si>
  <si>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</si>
  <si>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</si>
  <si>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</si>
  <si>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</si>
  <si>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</si>
  <si>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</si>
  <si>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</si>
  <si>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</si>
  <si>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</si>
  <si>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</si>
  <si>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</si>
  <si>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</si>
  <si>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</si>
  <si>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</si>
  <si>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</si>
  <si>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</si>
  <si>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</si>
  <si>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</si>
  <si>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</si>
  <si>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</si>
  <si>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</si>
  <si>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</si>
  <si>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</si>
  <si>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</si>
  <si>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</si>
  <si>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</si>
  <si>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</si>
  <si>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</si>
  <si>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</si>
  <si>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</si>
  <si>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</si>
  <si>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</si>
  <si>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</si>
  <si>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</si>
  <si>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</si>
  <si>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</si>
  <si>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</si>
  <si>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</si>
  <si>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</si>
  <si>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</si>
  <si>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</si>
  <si>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</si>
  <si>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</si>
  <si>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</si>
  <si>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</si>
  <si>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</si>
  <si>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</si>
  <si>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</si>
  <si>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</si>
  <si>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</si>
  <si>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</si>
  <si>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</si>
  <si>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</si>
  <si>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</si>
  <si>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</si>
  <si>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</si>
  <si>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</si>
  <si>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</si>
  <si>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</si>
  <si>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</si>
  <si>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</si>
  <si>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</si>
  <si>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</si>
  <si>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</si>
  <si>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</si>
  <si>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</si>
  <si>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</si>
  <si>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</si>
  <si>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</si>
  <si>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</si>
  <si>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</si>
  <si>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</si>
  <si>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</si>
  <si>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</si>
  <si>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</si>
  <si>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</si>
  <si>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</si>
  <si>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</si>
  <si>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</si>
  <si>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</si>
  <si>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</si>
  <si>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</si>
  <si>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</si>
  <si>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</si>
  <si>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</si>
  <si>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</si>
  <si>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</si>
  <si>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</si>
  <si>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</si>
  <si>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</si>
  <si>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</si>
  <si>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</si>
  <si>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</si>
  <si>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</si>
  <si>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</si>
  <si>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</si>
  <si>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</si>
  <si>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</si>
  <si>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</si>
  <si>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</si>
  <si>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</si>
  <si>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</si>
  <si>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</si>
  <si>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</si>
  <si>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</si>
  <si>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</si>
  <si>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</si>
  <si>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</si>
  <si>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</si>
  <si>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</si>
  <si>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</si>
  <si>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</si>
  <si>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</si>
  <si>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</si>
  <si>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</si>
  <si>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</si>
  <si>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</si>
  <si>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</si>
  <si>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</si>
  <si>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</si>
  <si>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</si>
  <si>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</si>
  <si>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</si>
  <si>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</si>
  <si>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</si>
  <si>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</si>
  <si>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</si>
  <si>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</si>
  <si>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</si>
  <si>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</si>
  <si>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</si>
  <si>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</si>
  <si>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</si>
  <si>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</si>
  <si>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</si>
  <si>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</si>
  <si>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</si>
  <si>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</si>
  <si>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</si>
  <si>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</si>
  <si>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</si>
  <si>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</si>
  <si>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</si>
  <si>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</si>
  <si>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</si>
  <si>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</si>
  <si>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</si>
  <si>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</si>
  <si>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</si>
  <si>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</si>
  <si>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</si>
  <si>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</si>
  <si>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</si>
  <si>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</si>
  <si>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</si>
  <si>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</si>
  <si>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</si>
  <si>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</si>
  <si>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</si>
  <si>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</si>
  <si>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</si>
  <si>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</si>
  <si>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</si>
  <si>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</si>
  <si>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</si>
  <si>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</si>
  <si>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</si>
  <si>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</si>
  <si>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</si>
  <si>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</si>
  <si>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</si>
  <si>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</si>
  <si>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</si>
  <si>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</si>
  <si>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</si>
  <si>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</si>
  <si>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</si>
  <si>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</si>
  <si>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</si>
  <si>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</si>
  <si>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</si>
  <si>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</si>
  <si>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</si>
  <si>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</si>
  <si>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</si>
  <si>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</si>
  <si>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</si>
  <si>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</si>
  <si>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</si>
  <si>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</si>
  <si>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</si>
  <si>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</si>
  <si>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</si>
  <si>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</si>
  <si>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</si>
  <si>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</si>
  <si>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</si>
  <si>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</si>
  <si>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</si>
  <si>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</si>
  <si>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</si>
  <si>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</si>
  <si>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</si>
  <si>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</si>
  <si>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</si>
  <si>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</si>
  <si>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</si>
  <si>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</si>
  <si>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</si>
  <si>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</si>
  <si>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</si>
  <si>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</si>
  <si>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</si>
  <si>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</si>
  <si>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</si>
  <si>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</si>
  <si>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</si>
  <si>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</si>
  <si>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</si>
  <si>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</si>
  <si>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</si>
  <si>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</si>
  <si>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</si>
  <si>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</si>
  <si>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</si>
  <si>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</si>
  <si>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</si>
  <si>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</si>
  <si>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</si>
  <si>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</si>
  <si>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</si>
  <si>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</si>
  <si>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</si>
  <si>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</si>
  <si>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</si>
  <si>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</si>
  <si>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</si>
  <si>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</si>
  <si>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</si>
  <si>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</si>
  <si>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</si>
  <si>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</si>
  <si>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</si>
  <si>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</si>
  <si>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</si>
  <si>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</si>
  <si>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</si>
  <si>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</si>
  <si>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</si>
  <si>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</si>
  <si>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</si>
  <si>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</si>
  <si>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</si>
  <si>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</si>
  <si>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</si>
  <si>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</si>
  <si>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</si>
  <si>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</si>
  <si>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</si>
  <si>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</si>
  <si>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</si>
  <si>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</si>
  <si>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</si>
  <si>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</si>
  <si>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</si>
  <si>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</si>
  <si>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</si>
  <si>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</si>
  <si>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</si>
  <si>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</si>
  <si>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</si>
  <si>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</si>
  <si>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</si>
  <si>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</si>
  <si>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</si>
  <si>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</si>
  <si>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</si>
  <si>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</si>
  <si>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</si>
  <si>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</si>
  <si>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</si>
  <si>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</si>
  <si>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</si>
  <si>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</si>
  <si>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</si>
  <si>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</si>
  <si>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</si>
  <si>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</si>
  <si>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</si>
  <si>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</si>
  <si>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</si>
  <si>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</si>
  <si>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</si>
  <si>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</si>
  <si>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</si>
  <si>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</si>
  <si>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</si>
  <si>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</si>
  <si>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</si>
  <si>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</si>
  <si>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</si>
  <si>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</si>
  <si>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</si>
  <si>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</si>
  <si>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</si>
  <si>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</si>
  <si>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</si>
  <si>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</si>
  <si>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</si>
  <si>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</si>
  <si>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</si>
  <si>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</si>
  <si>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</si>
  <si>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</si>
  <si>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</si>
  <si>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</si>
  <si>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</si>
  <si>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</si>
  <si>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</si>
  <si>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</si>
  <si>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</si>
  <si>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</si>
  <si>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</si>
  <si>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</si>
  <si>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</si>
  <si>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</si>
  <si>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</si>
  <si>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</si>
  <si>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</si>
  <si>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</si>
  <si>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</si>
  <si>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</si>
  <si>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</si>
  <si>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</si>
  <si>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</si>
  <si>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</si>
  <si>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</si>
  <si>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</si>
  <si>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</si>
  <si>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</si>
  <si>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</si>
  <si>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</si>
  <si>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</si>
  <si>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</si>
  <si>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</si>
  <si>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</si>
  <si>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</si>
  <si>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</si>
  <si>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</si>
  <si>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</si>
  <si>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</si>
  <si>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</si>
  <si>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</si>
  <si>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</si>
  <si>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</si>
  <si>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</si>
  <si>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</si>
  <si>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</si>
  <si>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</si>
  <si>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</si>
  <si>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</si>
  <si>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</si>
  <si>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</si>
  <si>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</si>
  <si>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</si>
  <si>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</si>
  <si>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</si>
  <si>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</si>
  <si>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</si>
  <si>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</si>
  <si>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</si>
  <si>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</si>
  <si>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</si>
  <si>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</si>
  <si>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</si>
  <si>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</si>
  <si>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</si>
  <si>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</si>
  <si>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</si>
  <si>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</si>
  <si>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</si>
  <si>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</si>
  <si>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</si>
  <si>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</si>
  <si>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</si>
  <si>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</si>
  <si>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</si>
  <si>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</si>
  <si>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</si>
  <si>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</si>
  <si>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</si>
  <si>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</si>
  <si>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</si>
  <si>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</si>
  <si>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</si>
  <si>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</si>
  <si>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</si>
  <si>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</si>
  <si>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</si>
  <si>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</si>
  <si>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</si>
  <si>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</si>
  <si>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</si>
  <si>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</si>
  <si>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</si>
  <si>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</si>
  <si>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</si>
  <si>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</si>
  <si>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</si>
  <si>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</si>
  <si>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</si>
  <si>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</si>
  <si>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</si>
  <si>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</si>
  <si>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</si>
  <si>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</si>
  <si>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</si>
  <si>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</si>
  <si>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</si>
  <si>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</si>
  <si>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</si>
  <si>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</si>
  <si>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</si>
  <si>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</si>
  <si>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</si>
  <si>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</si>
  <si>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</si>
  <si>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</si>
  <si>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</si>
  <si>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</si>
  <si>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</si>
  <si>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</si>
  <si>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</si>
  <si>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</si>
  <si>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</si>
  <si>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</si>
  <si>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</si>
  <si>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</si>
  <si>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</si>
  <si>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</si>
  <si>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</si>
  <si>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</si>
  <si>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</si>
  <si>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</si>
  <si>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</si>
  <si>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</si>
  <si>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</si>
  <si>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</si>
  <si>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</si>
  <si>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</si>
  <si>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</si>
  <si>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</si>
  <si>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</si>
  <si>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</si>
  <si>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</si>
  <si>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</si>
  <si>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</si>
  <si>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</si>
  <si>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</si>
  <si>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</si>
  <si>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</si>
  <si>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</si>
  <si>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</si>
  <si>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</si>
  <si>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</si>
  <si>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</si>
  <si>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</si>
  <si>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</si>
  <si>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</si>
  <si>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</si>
  <si>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</si>
  <si>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</si>
  <si>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</si>
  <si>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</si>
  <si>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</si>
  <si>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</si>
  <si>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</si>
  <si>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</si>
  <si>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</si>
  <si>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</si>
  <si>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</si>
  <si>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</si>
  <si>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</si>
  <si>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</si>
  <si>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</si>
  <si>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</si>
  <si>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</si>
  <si>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</si>
  <si>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</si>
  <si>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</si>
  <si>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</si>
  <si>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</si>
  <si>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</si>
  <si>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</si>
  <si>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</si>
  <si>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</si>
  <si>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</si>
  <si>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</si>
  <si>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</si>
  <si>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</si>
  <si>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</si>
  <si>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</si>
  <si>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</si>
  <si>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</si>
  <si>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</si>
  <si>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</si>
  <si>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</si>
  <si>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</si>
  <si>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</si>
  <si>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</si>
  <si>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</si>
  <si>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</si>
  <si>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</si>
  <si>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</si>
  <si>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</si>
  <si>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</si>
  <si>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</si>
  <si>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</si>
  <si>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</si>
  <si>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</si>
  <si>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</si>
  <si>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</si>
  <si>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</si>
  <si>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</si>
  <si>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</si>
  <si>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</si>
  <si>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</si>
  <si>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</si>
  <si>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</si>
  <si>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</si>
  <si>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</si>
  <si>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</si>
  <si>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</si>
  <si>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</si>
  <si>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</si>
  <si>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</si>
  <si>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</si>
  <si>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</si>
  <si>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</si>
  <si>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</si>
  <si>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</si>
  <si>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</si>
  <si>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</si>
  <si>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</si>
  <si>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</si>
  <si>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</si>
  <si>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</si>
  <si>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</si>
  <si>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</si>
  <si>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</si>
  <si>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</si>
  <si>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</si>
  <si>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</si>
  <si>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</si>
  <si>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</si>
  <si>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</si>
  <si>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</si>
  <si>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</si>
  <si>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</si>
  <si>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</si>
  <si>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</si>
  <si>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</si>
  <si>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</si>
  <si>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</si>
  <si>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</si>
  <si>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</si>
  <si>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</si>
  <si>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</si>
  <si>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</si>
  <si>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</si>
  <si>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</si>
  <si>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</si>
  <si>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</si>
  <si>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</si>
  <si>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</si>
  <si>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</si>
  <si>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</si>
  <si>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</si>
  <si>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</si>
  <si>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</si>
  <si>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</si>
  <si>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</si>
  <si>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</si>
  <si>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</si>
  <si>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</si>
  <si>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</si>
  <si>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</si>
  <si>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</si>
  <si>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</si>
  <si>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</si>
  <si>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</si>
  <si>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</si>
  <si>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</si>
  <si>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</si>
  <si>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</si>
  <si>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</si>
  <si>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</si>
  <si>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</si>
  <si>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</si>
  <si>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</si>
  <si>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</si>
  <si>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</si>
  <si>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</si>
  <si>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</si>
  <si>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</si>
  <si>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</si>
  <si>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</si>
  <si>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</si>
  <si>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</si>
  <si>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</si>
  <si>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</si>
  <si>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</si>
  <si>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</si>
  <si>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</si>
  <si>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</si>
  <si>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</si>
  <si>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</si>
  <si>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</si>
  <si>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</si>
  <si>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</si>
  <si>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</si>
  <si>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</si>
  <si>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</si>
  <si>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</si>
  <si>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</si>
  <si>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</si>
  <si>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</si>
  <si>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</si>
  <si>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</si>
  <si>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</si>
  <si>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</si>
  <si>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</si>
  <si>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</si>
  <si>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</si>
  <si>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</si>
  <si>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</si>
  <si>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</si>
  <si>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</si>
  <si>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</si>
  <si>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</si>
  <si>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</si>
  <si>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</si>
  <si>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</si>
  <si>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</si>
  <si>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</si>
  <si>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</si>
  <si>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</si>
  <si>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</si>
  <si>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</si>
  <si>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</si>
  <si>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</si>
  <si>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</si>
  <si>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</si>
  <si>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</si>
  <si>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</si>
  <si>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</si>
  <si>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</si>
  <si>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</si>
  <si>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</si>
  <si>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</si>
  <si>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</si>
  <si>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</si>
  <si>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</si>
  <si>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</si>
  <si>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</si>
  <si>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</si>
  <si>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</si>
  <si>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</si>
  <si>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</si>
  <si>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</si>
  <si>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</si>
  <si>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</si>
  <si>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</si>
  <si>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</si>
  <si>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</si>
  <si>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</si>
  <si>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</si>
  <si>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</si>
  <si>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</si>
  <si>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</si>
  <si>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</si>
  <si>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</si>
  <si>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</si>
  <si>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</si>
  <si>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</si>
  <si>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</si>
  <si>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</si>
  <si>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</si>
  <si>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</si>
  <si>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</si>
  <si>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</si>
  <si>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</si>
  <si>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</si>
  <si>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</si>
  <si>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</si>
  <si>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</si>
  <si>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</si>
  <si>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</si>
  <si>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</si>
  <si>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</si>
  <si>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</si>
  <si>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</si>
  <si>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</si>
  <si>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</si>
  <si>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</si>
  <si>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</si>
  <si>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</si>
  <si>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</si>
  <si>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</si>
  <si>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</si>
  <si>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</si>
  <si>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</si>
  <si>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</si>
  <si>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</si>
  <si>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</si>
  <si>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</si>
  <si>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</si>
  <si>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</si>
  <si>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</si>
  <si>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</si>
  <si>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</si>
  <si>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</si>
  <si>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</si>
  <si>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</si>
  <si>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</si>
  <si>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</si>
  <si>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</si>
  <si>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</si>
  <si>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</si>
  <si>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</si>
  <si>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</si>
  <si>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</si>
  <si>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</si>
  <si>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</si>
  <si>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</si>
  <si>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</si>
  <si>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</si>
  <si>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</si>
  <si>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</si>
  <si>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</si>
  <si>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</si>
  <si>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</si>
  <si>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</si>
  <si>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</si>
  <si>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</si>
  <si>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</si>
  <si>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</si>
  <si>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</si>
  <si>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</si>
  <si>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</si>
  <si>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</si>
  <si>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</si>
  <si>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</si>
  <si>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</si>
  <si>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</si>
  <si>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</si>
  <si>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</si>
  <si>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</si>
  <si>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</si>
  <si>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</si>
  <si>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</si>
  <si>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</si>
  <si>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</si>
  <si>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</si>
  <si>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</si>
  <si>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</si>
  <si>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</si>
  <si>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</si>
  <si>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</si>
  <si>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</si>
  <si>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</si>
  <si>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</si>
  <si>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</si>
  <si>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</si>
  <si>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</si>
  <si>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</si>
  <si>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</si>
  <si>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</si>
  <si>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</si>
  <si>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</si>
  <si>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</si>
  <si>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</si>
  <si>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</si>
  <si>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</si>
  <si>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</si>
  <si>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</si>
  <si>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</si>
  <si>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</si>
  <si>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</si>
  <si>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</si>
  <si>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</si>
  <si>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</si>
  <si>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</si>
  <si>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</si>
  <si>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</si>
  <si>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</si>
  <si>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</si>
  <si>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</si>
  <si>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</si>
  <si>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</si>
  <si>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</si>
  <si>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</si>
  <si>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</si>
  <si>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</si>
  <si>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</si>
  <si>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</si>
  <si>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</si>
  <si>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</si>
  <si>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</si>
  <si>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</si>
  <si>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</si>
  <si>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</si>
  <si>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</si>
  <si>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</si>
  <si>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</si>
  <si>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</si>
  <si>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</si>
  <si>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</si>
  <si>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</si>
  <si>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</si>
  <si>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</si>
  <si>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</si>
  <si>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</si>
  <si>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</si>
  <si>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</si>
  <si>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</si>
  <si>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</si>
  <si>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</si>
  <si>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</si>
  <si>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</si>
  <si>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</si>
  <si>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</si>
  <si>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</si>
  <si>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</si>
  <si>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</si>
  <si>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</si>
  <si>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</si>
  <si>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</si>
  <si>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</si>
  <si>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</si>
  <si>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</si>
  <si>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</si>
  <si>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</si>
  <si>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</si>
  <si>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</si>
  <si>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</si>
  <si>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</si>
  <si>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</si>
  <si>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</si>
  <si>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</si>
  <si>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</si>
  <si>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</si>
  <si>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</si>
  <si>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</si>
  <si>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</si>
  <si>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</si>
  <si>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</si>
  <si>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</si>
  <si>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</si>
  <si>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</si>
  <si>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</si>
  <si>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</si>
  <si>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</si>
  <si>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</si>
  <si>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</si>
  <si>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</si>
  <si>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</si>
  <si>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</si>
  <si>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</si>
  <si>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</si>
  <si>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</si>
  <si>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</si>
  <si>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</si>
  <si>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</si>
  <si>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</si>
  <si>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</si>
  <si>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</si>
  <si>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</si>
  <si>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</si>
  <si>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</si>
  <si>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</si>
  <si>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</si>
  <si>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</si>
  <si>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</si>
  <si>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</si>
  <si>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</si>
  <si>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</si>
  <si>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</si>
  <si>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</si>
  <si>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</si>
  <si>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</si>
  <si>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</si>
  <si>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</si>
  <si>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</si>
  <si>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</si>
  <si>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</si>
  <si>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</si>
  <si>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</si>
  <si>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</si>
  <si>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</si>
  <si>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</si>
  <si>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</si>
  <si>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</si>
  <si>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</si>
  <si>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</si>
  <si>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</si>
  <si>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</si>
  <si>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</si>
  <si>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</si>
  <si>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</si>
  <si>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</si>
  <si>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</si>
  <si>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</si>
  <si>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</si>
  <si>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</si>
  <si>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</si>
  <si>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</si>
  <si>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</si>
  <si>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</si>
  <si>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</si>
  <si>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</si>
  <si>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</si>
  <si>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</si>
  <si>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</si>
  <si>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</si>
  <si>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</si>
  <si>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</si>
  <si>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</si>
  <si>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</si>
  <si>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</si>
  <si>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</si>
  <si>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</si>
  <si>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</si>
  <si>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</si>
  <si>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</si>
  <si>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</si>
  <si>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</si>
  <si>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</si>
  <si>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</si>
  <si>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</si>
  <si>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</si>
  <si>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</si>
  <si>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</si>
  <si>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</si>
  <si>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</si>
  <si>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</si>
  <si>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</si>
  <si>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</si>
  <si>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</si>
  <si>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</si>
  <si>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</si>
  <si>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</si>
  <si>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</si>
  <si>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</si>
  <si>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</si>
  <si>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</si>
  <si>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</si>
  <si>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</si>
  <si>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</si>
  <si>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</si>
  <si>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</si>
  <si>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</si>
  <si>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</si>
  <si>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</si>
  <si>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</si>
  <si>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</si>
  <si>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</si>
  <si>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</si>
  <si>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</si>
  <si>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</si>
  <si>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</si>
  <si>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</si>
  <si>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</si>
  <si>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</si>
  <si>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</si>
  <si>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</si>
  <si>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</si>
  <si>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</si>
  <si>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</si>
  <si>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</si>
  <si>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</si>
  <si>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</si>
  <si>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</si>
  <si>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</si>
  <si>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</si>
  <si>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</si>
  <si>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</si>
  <si>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</si>
  <si>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</si>
  <si>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</si>
  <si>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</si>
  <si>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</si>
  <si>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</si>
  <si>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</si>
  <si>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</si>
  <si>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</si>
  <si>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</si>
  <si>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</si>
  <si>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</si>
  <si>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</si>
  <si>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</si>
  <si>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</si>
  <si>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</si>
  <si>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</si>
  <si>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</si>
  <si>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</si>
  <si>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</si>
  <si>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</si>
  <si>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</si>
  <si>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</si>
  <si>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</si>
  <si>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</si>
  <si>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</si>
  <si>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</si>
  <si>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</si>
  <si>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</si>
  <si>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</si>
  <si>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</si>
  <si>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</si>
  <si>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</si>
  <si>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</si>
  <si>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</si>
  <si>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</si>
  <si>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</si>
  <si>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</si>
  <si>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</si>
  <si>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</si>
  <si>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</si>
  <si>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</si>
  <si>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</si>
  <si>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</si>
  <si>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</si>
  <si>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</si>
  <si>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</si>
  <si>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</si>
  <si>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</si>
  <si>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</si>
  <si>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</si>
  <si>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</si>
  <si>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</si>
  <si>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</si>
  <si>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</si>
  <si>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</si>
  <si>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</si>
  <si>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</si>
  <si>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</si>
  <si>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</si>
  <si>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</si>
  <si>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</si>
  <si>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</si>
  <si>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</si>
  <si>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</si>
  <si>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</si>
  <si>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</si>
  <si>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</si>
  <si>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</si>
  <si>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</si>
  <si>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</si>
  <si>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</si>
  <si>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</si>
  <si>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</si>
  <si>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</si>
  <si>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</si>
  <si>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</si>
  <si>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</si>
  <si>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</si>
  <si>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</si>
  <si>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</si>
  <si>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</si>
  <si>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</si>
  <si>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</si>
  <si>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</si>
  <si>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</si>
  <si>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</si>
  <si>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</si>
  <si>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</si>
  <si>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</si>
  <si>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</si>
  <si>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</si>
  <si>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</si>
  <si>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</si>
  <si>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</si>
  <si>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</si>
  <si>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</si>
  <si>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</si>
  <si>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</si>
  <si>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</si>
  <si>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</si>
  <si>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</si>
  <si>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</si>
  <si>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</si>
  <si>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</si>
  <si>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</si>
  <si>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</si>
  <si>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</si>
  <si>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</si>
  <si>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</si>
  <si>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</si>
  <si>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</si>
  <si>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</si>
  <si>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</si>
  <si>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</si>
  <si>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</si>
  <si>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</si>
  <si>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</si>
  <si>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</si>
  <si>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</si>
  <si>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</si>
  <si>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</si>
  <si>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</si>
  <si>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</si>
  <si>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</si>
  <si>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</si>
  <si>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</si>
  <si>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</si>
  <si>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</si>
  <si>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</si>
  <si>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</si>
  <si>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</si>
  <si>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</si>
  <si>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</si>
  <si>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</si>
  <si>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</si>
  <si>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</si>
  <si>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</si>
  <si>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</si>
  <si>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</si>
  <si>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</si>
  <si>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</si>
  <si>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</si>
  <si>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</si>
  <si>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</si>
  <si>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</si>
  <si>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</si>
  <si>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</si>
  <si>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</si>
  <si>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</si>
  <si>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</si>
  <si>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</si>
  <si>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</si>
  <si>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</si>
  <si>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</si>
  <si>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</si>
  <si>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</si>
  <si>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</si>
  <si>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</si>
  <si>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</si>
  <si>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</si>
  <si>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</si>
  <si>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</si>
  <si>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</si>
  <si>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</si>
  <si>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</si>
  <si>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</si>
  <si>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</si>
  <si>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</si>
  <si>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</si>
  <si>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</si>
  <si>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</si>
  <si>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</si>
  <si>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</si>
  <si>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</si>
  <si>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</si>
  <si>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</si>
  <si>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</si>
  <si>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</si>
  <si>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</si>
  <si>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</si>
  <si>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</si>
  <si>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</si>
  <si>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</si>
  <si>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</si>
  <si>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</si>
  <si>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</si>
  <si>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</si>
  <si>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</si>
  <si>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</si>
  <si>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</si>
  <si>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</si>
  <si>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</si>
  <si>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</si>
  <si>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</si>
  <si>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</si>
  <si>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</si>
  <si>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</si>
  <si>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</si>
  <si>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</si>
  <si>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</si>
  <si>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</si>
  <si>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</si>
  <si>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</si>
  <si>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</si>
  <si>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</si>
  <si>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</si>
  <si>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</si>
  <si>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</si>
  <si>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</si>
  <si>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</si>
  <si>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</si>
  <si>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</si>
  <si>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</si>
  <si>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</si>
  <si>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</si>
  <si>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</si>
  <si>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</si>
  <si>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</si>
  <si>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</si>
  <si>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</si>
  <si>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</si>
  <si>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</si>
  <si>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</si>
  <si>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</si>
  <si>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</si>
  <si>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</si>
  <si>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</si>
  <si>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</si>
  <si>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</si>
  <si>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</si>
  <si>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</si>
  <si>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</si>
  <si>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</si>
  <si>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</si>
  <si>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</si>
  <si>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</si>
  <si>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</si>
  <si>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</si>
  <si>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</si>
  <si>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</si>
  <si>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</si>
  <si>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</si>
  <si>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</si>
  <si>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</si>
  <si>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</si>
  <si>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</si>
  <si>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</si>
  <si>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</si>
  <si>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</si>
  <si>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</si>
  <si>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</si>
  <si>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</si>
  <si>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</si>
  <si>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</si>
  <si>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</si>
  <si>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</si>
  <si>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</si>
  <si>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</si>
  <si>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</si>
  <si>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</si>
  <si>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</si>
  <si>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</si>
  <si>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</si>
  <si>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</si>
  <si>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</si>
  <si>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</si>
  <si>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</si>
  <si>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</si>
  <si>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</si>
  <si>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</si>
  <si>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</si>
  <si>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</si>
  <si>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</si>
  <si>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</si>
  <si>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</si>
  <si>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</si>
  <si>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</si>
  <si>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</si>
  <si>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</si>
  <si>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</si>
  <si>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</si>
  <si>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</si>
  <si>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</si>
  <si>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</si>
  <si>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</si>
  <si>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</si>
  <si>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</si>
  <si>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</si>
  <si>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</si>
  <si>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</si>
  <si>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</si>
  <si>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</si>
  <si>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</si>
  <si>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</si>
  <si>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</si>
  <si>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</si>
  <si>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</si>
  <si>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</si>
  <si>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</si>
  <si>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</si>
  <si>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</si>
  <si>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</si>
  <si>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</si>
  <si>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</si>
  <si>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</si>
  <si>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</si>
  <si>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</si>
  <si>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</si>
  <si>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</si>
  <si>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</si>
  <si>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</si>
  <si>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</si>
  <si>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</si>
  <si>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</si>
  <si>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</si>
  <si>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</si>
  <si>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</si>
  <si>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</si>
  <si>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</si>
  <si>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</si>
  <si>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</si>
  <si>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</si>
  <si>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</si>
  <si>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</si>
  <si>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</si>
  <si>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</si>
  <si>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</si>
  <si>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</si>
  <si>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</si>
  <si>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</si>
  <si>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</si>
  <si>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</si>
  <si>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</si>
  <si>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</si>
  <si>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</si>
  <si>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</si>
  <si>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</si>
  <si>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</si>
  <si>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</si>
  <si>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</si>
  <si>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</si>
  <si>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</si>
  <si>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</si>
  <si>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</si>
  <si>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</si>
  <si>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</si>
  <si>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</si>
  <si>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</si>
  <si>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</si>
  <si>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</si>
  <si>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</si>
  <si>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</si>
  <si>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</si>
  <si>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</si>
  <si>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</si>
  <si>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</si>
  <si>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</si>
  <si>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</si>
  <si>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</si>
  <si>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</si>
  <si>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</si>
  <si>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</si>
  <si>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</si>
  <si>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</si>
  <si>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</si>
  <si>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</si>
  <si>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</si>
  <si>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</si>
  <si>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</si>
  <si>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</si>
  <si>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</si>
  <si>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</si>
  <si>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</si>
  <si>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</si>
  <si>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</si>
  <si>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</si>
  <si>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</si>
  <si>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</si>
  <si>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</si>
  <si>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</si>
  <si>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</si>
  <si>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</si>
  <si>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</si>
  <si>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</si>
  <si>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</si>
  <si>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</si>
  <si>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</si>
  <si>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</si>
  <si>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</si>
  <si>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</si>
  <si>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</si>
  <si>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</si>
  <si>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</si>
  <si>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</si>
  <si>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</si>
  <si>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</si>
  <si>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</si>
  <si>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</si>
  <si>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</si>
  <si>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</si>
  <si>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</si>
  <si>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</si>
  <si>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</si>
  <si>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</si>
  <si>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</si>
  <si>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</si>
  <si>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</si>
  <si>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</si>
  <si>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</si>
  <si>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</si>
  <si>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</si>
  <si>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</si>
  <si>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</si>
  <si>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</si>
  <si>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</si>
  <si>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</si>
  <si>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</si>
  <si>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</si>
  <si>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</si>
  <si>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</si>
  <si>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</si>
  <si>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</si>
  <si>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</si>
  <si>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</si>
  <si>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</si>
  <si>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</si>
  <si>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</si>
  <si>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</si>
  <si>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</si>
  <si>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</si>
  <si>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</si>
  <si>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</si>
  <si>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</si>
  <si>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</si>
  <si>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</si>
  <si>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</si>
  <si>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</si>
  <si>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</si>
  <si>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</si>
  <si>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</si>
  <si>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</si>
  <si>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</si>
  <si>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</si>
  <si>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</si>
  <si>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</si>
  <si>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</si>
  <si>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</si>
  <si>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</si>
  <si>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</si>
  <si>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</si>
  <si>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</si>
  <si>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</si>
  <si>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</si>
  <si>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</si>
  <si>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</si>
  <si>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</si>
  <si>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</si>
  <si>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</si>
  <si>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</si>
  <si>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</si>
  <si>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</si>
  <si>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</si>
  <si>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</si>
  <si>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</si>
  <si>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</si>
  <si>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</si>
  <si>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</si>
  <si>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</si>
  <si>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</si>
  <si>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</si>
  <si>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</si>
  <si>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</si>
  <si>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</si>
  <si>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</si>
  <si>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</si>
  <si>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</si>
  <si>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</si>
  <si>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</si>
  <si>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</si>
  <si>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</si>
  <si>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</si>
  <si>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</si>
  <si>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</si>
  <si>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</si>
  <si>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</si>
  <si>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</si>
  <si>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</si>
  <si>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</si>
  <si>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</si>
  <si>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</si>
  <si>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</si>
  <si>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</si>
  <si>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</si>
  <si>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</si>
  <si>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</si>
  <si>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</si>
  <si>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</si>
  <si>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</si>
  <si>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</si>
  <si>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</si>
  <si>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</si>
  <si>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</si>
  <si>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</si>
  <si>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</si>
  <si>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</si>
  <si>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</si>
  <si>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</si>
  <si>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</si>
  <si>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</si>
  <si>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</si>
  <si>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</si>
  <si>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</si>
  <si>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</si>
  <si>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</si>
  <si>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</si>
  <si>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</si>
  <si>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</si>
  <si>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</si>
  <si>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</si>
  <si>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</si>
  <si>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</si>
  <si>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</si>
  <si>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</si>
  <si>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</si>
  <si>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</si>
  <si>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</si>
  <si>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</si>
  <si>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</si>
  <si>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</si>
  <si>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</si>
  <si>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</si>
  <si>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</si>
  <si>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</si>
  <si>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</si>
  <si>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</si>
  <si>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</si>
  <si>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</si>
  <si>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</si>
  <si>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</si>
  <si>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</si>
  <si>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</si>
  <si>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</si>
  <si>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</si>
  <si>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</si>
  <si>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</si>
  <si>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</si>
  <si>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</si>
  <si>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</si>
  <si>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</si>
  <si>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</si>
  <si>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</si>
  <si>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</si>
  <si>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</si>
  <si>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</si>
  <si>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</si>
  <si>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</si>
  <si>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</si>
  <si>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</si>
  <si>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</si>
  <si>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</si>
  <si>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</si>
  <si>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</si>
  <si>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</si>
  <si>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</si>
  <si>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</si>
  <si>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</si>
  <si>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</si>
  <si>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</si>
  <si>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</si>
  <si>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</si>
  <si>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</si>
  <si>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</si>
  <si>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</si>
  <si>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</si>
  <si>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</si>
  <si>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</si>
  <si>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</si>
  <si>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</si>
  <si>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</si>
  <si>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</si>
  <si>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</si>
  <si>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</si>
  <si>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</si>
  <si>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</si>
  <si>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</si>
  <si>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</si>
  <si>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</si>
  <si>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</si>
  <si>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</si>
  <si>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</si>
  <si>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</si>
  <si>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</si>
  <si>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</si>
  <si>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</si>
  <si>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</si>
  <si>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</si>
  <si>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</si>
  <si>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</si>
  <si>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</si>
  <si>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</si>
  <si>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</si>
  <si>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</si>
  <si>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</si>
  <si>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</si>
  <si>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</si>
  <si>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</si>
  <si>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</si>
  <si>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</si>
  <si>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</si>
  <si>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</si>
  <si>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</si>
  <si>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</si>
  <si>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</si>
  <si>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</si>
  <si>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</si>
  <si>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</si>
  <si>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</si>
  <si>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</si>
  <si>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</si>
  <si>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</si>
  <si>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</si>
  <si>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</si>
  <si>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</si>
  <si>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</si>
  <si>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</si>
  <si>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</si>
  <si>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</si>
  <si>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</si>
  <si>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</si>
  <si>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</si>
  <si>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</si>
  <si>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</si>
  <si>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</si>
  <si>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</si>
  <si>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</si>
  <si>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</si>
  <si>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</si>
  <si>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</si>
  <si>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</si>
  <si>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</si>
  <si>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</si>
  <si>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</si>
  <si>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</si>
  <si>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</si>
  <si>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</si>
  <si>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</si>
  <si>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</si>
  <si>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</si>
  <si>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</si>
  <si>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</si>
  <si>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</si>
  <si>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</si>
  <si>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</si>
  <si>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</si>
  <si>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</si>
  <si>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</si>
  <si>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</si>
  <si>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</si>
  <si>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</si>
  <si>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</si>
  <si>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</si>
  <si>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</si>
  <si>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</si>
  <si>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</si>
  <si>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</si>
  <si>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</si>
  <si>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</si>
  <si>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</si>
  <si>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</si>
  <si>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</si>
  <si>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</si>
  <si>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</si>
  <si>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</si>
  <si>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</si>
  <si>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FY 21-22 audit AJE - transfer to GF</t>
  </si>
  <si>
    <t>various</t>
  </si>
  <si>
    <t>6/10 - 8/20</t>
  </si>
  <si>
    <t>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</si>
</sst>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0" fontId="15" fillId="41" borderId="44" xfId="0"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7" zoomScale="148" zoomScaleNormal="148"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961</v>
      </c>
      <c r="B2">
        <f>INDEX('School Tables'!$AH$3:$AH$209,MATCH('DOE25'!A2,'School Tables'!$AJ$3:$AJ$209,0))</f>
        <v>111</v>
      </c>
      <c r="C2">
        <f>INDEX('School Tables'!$AI$3:$AI$209,MATCH('DOE25'!A2,'School Tables'!$AJ$3:$AJ$209,0))</f>
        <v>111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9575099.68-6793264.44-20238.91+5100188.49+200-870</f>
        <v>7861114.8199999994</v>
      </c>
      <c r="G9" s="18">
        <f>-48009.72+1172326.28+100+370</f>
        <v>1124786.56</v>
      </c>
      <c r="H9" s="18">
        <f>-9686786.05+9486445.06</f>
        <v>-200340.99000000022</v>
      </c>
      <c r="I9" s="18">
        <f>-7024.39+198190.43</f>
        <v>191166.03999999998</v>
      </c>
      <c r="J9" s="13">
        <f>SUM(I440)</f>
        <v>0</v>
      </c>
      <c r="K9" s="23" t="s">
        <v>288</v>
      </c>
      <c r="L9" s="23" t="s">
        <v>288</v>
      </c>
      <c r="M9" s="8"/>
      <c r="N9" s="165"/>
    </row>
    <row r="10" spans="1:14" s="3" customFormat="1" ht="12.2" customHeight="1" x14ac:dyDescent="0.15">
      <c r="A10" s="1" t="s">
        <v>562</v>
      </c>
      <c r="B10" s="2" t="s">
        <v>289</v>
      </c>
      <c r="C10" s="6">
        <v>2</v>
      </c>
      <c r="D10" s="2" t="s">
        <v>428</v>
      </c>
      <c r="E10" s="6">
        <v>110</v>
      </c>
      <c r="F10" s="18">
        <f>198.89</f>
        <v>198.89</v>
      </c>
      <c r="G10" s="18"/>
      <c r="H10" s="18"/>
      <c r="I10" s="18"/>
      <c r="J10" s="13">
        <f>SUM(I441)</f>
        <v>17776274.350000001</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279254.48+6975698.76+76933405.4+67774928.46-3292.58-4555798.11</f>
        <v>147404196.40999997</v>
      </c>
      <c r="G12" s="18">
        <f>6884107.62</f>
        <v>6884107.6200000001</v>
      </c>
      <c r="H12" s="18">
        <f>-286984.16+75478351.24+38829.75</f>
        <v>75230196.829999998</v>
      </c>
      <c r="I12" s="18">
        <f>500+67575812.77</f>
        <v>67576312.769999996</v>
      </c>
      <c r="J12" s="13">
        <f>SUM(I442)</f>
        <v>-1703384.8</v>
      </c>
      <c r="K12" s="23" t="s">
        <v>288</v>
      </c>
      <c r="L12" s="23" t="s">
        <v>288</v>
      </c>
      <c r="M12" s="8"/>
      <c r="N12" s="165"/>
    </row>
    <row r="13" spans="1:14" s="3" customFormat="1" ht="12.2" customHeight="1" x14ac:dyDescent="0.15">
      <c r="A13" s="1" t="s">
        <v>604</v>
      </c>
      <c r="B13" s="2" t="s">
        <v>289</v>
      </c>
      <c r="C13" s="6">
        <v>5</v>
      </c>
      <c r="D13" s="2" t="s">
        <v>428</v>
      </c>
      <c r="E13" s="6">
        <v>140</v>
      </c>
      <c r="F13" s="18">
        <v>0</v>
      </c>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f>11460.61+3387820.53+1526.69</f>
        <v>3400807.8299999996</v>
      </c>
      <c r="G14" s="18">
        <f>245748.97</f>
        <v>245748.97</v>
      </c>
      <c r="H14" s="18">
        <f>2403836.23</f>
        <v>2403836.23</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f>65612.59</f>
        <v>65612.59</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f>1000</f>
        <v>1000</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f>120300</f>
        <v>120300</v>
      </c>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158787617.94999999</v>
      </c>
      <c r="G19" s="38">
        <f>SUM(G9:G18)</f>
        <v>8320255.7399999993</v>
      </c>
      <c r="H19" s="38">
        <f>SUM(H9:H18)</f>
        <v>77433692.070000008</v>
      </c>
      <c r="I19" s="38">
        <f>SUM(I9:I18)</f>
        <v>67767478.810000002</v>
      </c>
      <c r="J19" s="38">
        <f>SUM(J9:J18)</f>
        <v>16072889.550000001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6884107.62+75478351.24+67575812.77-1703384.8+38829.75</f>
        <v>148273716.57999998</v>
      </c>
      <c r="G22" s="18">
        <f>6975698.76</f>
        <v>6975698.7599999998</v>
      </c>
      <c r="H22" s="18">
        <f>76933405.4-3292.58</f>
        <v>76930112.820000008</v>
      </c>
      <c r="I22" s="18">
        <f>0.35+67767478.46</f>
        <v>67767478.809999987</v>
      </c>
      <c r="J22" s="13">
        <f>SUM(I449)</f>
        <v>-4555798.1100000003</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1751132.38+119838.05</f>
        <v>1870970.43</v>
      </c>
      <c r="G28" s="18">
        <f>14772.82+13565.45</f>
        <v>28338.27</v>
      </c>
      <c r="H28" s="18">
        <f>157139.05+206.2</f>
        <v>157345.25</v>
      </c>
      <c r="I28" s="18">
        <f>13586.15</f>
        <v>13586.15</v>
      </c>
      <c r="J28" s="23" t="s">
        <v>288</v>
      </c>
      <c r="K28" s="23" t="s">
        <v>288</v>
      </c>
      <c r="L28" s="23" t="s">
        <v>288</v>
      </c>
      <c r="M28" s="8"/>
      <c r="N28" s="165"/>
    </row>
    <row r="29" spans="1:14" s="3" customFormat="1" ht="12.2" customHeight="1" x14ac:dyDescent="0.15">
      <c r="A29" s="1" t="s">
        <v>575</v>
      </c>
      <c r="B29" s="2" t="s">
        <v>289</v>
      </c>
      <c r="C29" s="6">
        <v>19</v>
      </c>
      <c r="D29" s="2" t="s">
        <v>429</v>
      </c>
      <c r="E29" s="6">
        <v>470</v>
      </c>
      <c r="F29" s="18">
        <f>194170+2770801.68+7881.82+4292.14+87498.2+25975.2+4.01</f>
        <v>3090623.0500000003</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f>11632.35</f>
        <v>11632.35</v>
      </c>
      <c r="G30" s="18">
        <f>207043.25</f>
        <v>207043.25</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153246942.41</v>
      </c>
      <c r="G32" s="38">
        <f>SUM(G22:G31)</f>
        <v>7211080.2799999993</v>
      </c>
      <c r="H32" s="38">
        <f>SUM(H22:H31)</f>
        <v>77087458.070000008</v>
      </c>
      <c r="I32" s="38">
        <f>SUM(I22:I31)</f>
        <v>67781064.959999993</v>
      </c>
      <c r="J32" s="38">
        <f>SUM(J22:J31)</f>
        <v>-4555798.1100000003</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f>993621.45</f>
        <v>993621.45</v>
      </c>
      <c r="G45" s="18">
        <f>730</f>
        <v>730</v>
      </c>
      <c r="H45" s="18">
        <f>145437.16</f>
        <v>145437.16</v>
      </c>
      <c r="I45" s="18">
        <v>9671</v>
      </c>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1109175.46-730</f>
        <v>1108445.46</v>
      </c>
      <c r="H48" s="18">
        <f>304317.87-145437.16+41916.13</f>
        <v>200796.84</v>
      </c>
      <c r="I48" s="18">
        <f>-13586.15-9671</f>
        <v>-23257.15</v>
      </c>
      <c r="J48" s="13">
        <f>SUM(I460)</f>
        <v>20628687.66</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5540675.54-993621.45</f>
        <v>4547054.09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5540675.54</v>
      </c>
      <c r="G51" s="38">
        <f>SUM(G35:G50)</f>
        <v>1109175.46</v>
      </c>
      <c r="H51" s="38">
        <f>SUM(H35:H50)</f>
        <v>346234</v>
      </c>
      <c r="I51" s="38">
        <f>SUM(I35:I50)</f>
        <v>-13586.150000000001</v>
      </c>
      <c r="J51" s="38">
        <f>SUM(J35:J50)</f>
        <v>20628687.66</v>
      </c>
      <c r="K51" s="42" t="s">
        <v>288</v>
      </c>
      <c r="L51" s="42" t="s">
        <v>288</v>
      </c>
      <c r="N51" s="131"/>
    </row>
    <row r="52" spans="1:14" s="3" customFormat="1" ht="12.2" customHeight="1" thickTop="1" x14ac:dyDescent="0.15">
      <c r="A52" s="35" t="s">
        <v>455</v>
      </c>
      <c r="B52" s="36" t="s">
        <v>289</v>
      </c>
      <c r="C52" s="6">
        <v>37</v>
      </c>
      <c r="D52" s="36" t="s">
        <v>653</v>
      </c>
      <c r="E52" s="36"/>
      <c r="F52" s="38">
        <f>F51+F32</f>
        <v>158787617.94999999</v>
      </c>
      <c r="G52" s="38">
        <f>G51+G32</f>
        <v>8320255.7399999993</v>
      </c>
      <c r="H52" s="38">
        <f>H51+H32</f>
        <v>77433692.070000008</v>
      </c>
      <c r="I52" s="38">
        <f>I51+I32</f>
        <v>67767478.809999987</v>
      </c>
      <c r="J52" s="38">
        <f>J51+J32</f>
        <v>16072889.550000001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62520992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f>103485.65</f>
        <v>103485.65</v>
      </c>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62624477.649999999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96689.52+74078</f>
        <v>170767.52000000002</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8565</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2516368.22</f>
        <v>2516368.2200000002</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f>1004804.07+25786.04</f>
        <v>1030590.11</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f>1399298.88</f>
        <v>1399298.88</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5125589.7300000004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f>3105.44</f>
        <v>3105.44</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f>106087.14</f>
        <v>106087.14</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f>170611.01</f>
        <v>170611.01</v>
      </c>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279803.59000000003</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89542.6</f>
        <v>89542.6</v>
      </c>
      <c r="G96" s="18">
        <f>135.69</f>
        <v>135.69</v>
      </c>
      <c r="H96" s="18"/>
      <c r="I96" s="18">
        <v>1.47</v>
      </c>
      <c r="J96" s="18">
        <f>92104.25+7301.95</f>
        <v>99406.2</v>
      </c>
      <c r="K96" s="23" t="s">
        <v>288</v>
      </c>
      <c r="L96" s="23" t="s">
        <v>288</v>
      </c>
      <c r="M96" s="8"/>
      <c r="N96" s="165"/>
    </row>
    <row r="97" spans="1:14" s="3" customFormat="1" ht="12.2" customHeight="1" x14ac:dyDescent="0.15">
      <c r="A97" s="1" t="s">
        <v>503</v>
      </c>
      <c r="B97" s="2" t="s">
        <v>315</v>
      </c>
      <c r="C97" s="6">
        <v>12</v>
      </c>
      <c r="D97" s="2" t="s">
        <v>430</v>
      </c>
      <c r="E97" s="6">
        <v>1600</v>
      </c>
      <c r="F97" s="23" t="s">
        <v>288</v>
      </c>
      <c r="G97" s="18">
        <f>844155.94+164.25+14453.07</f>
        <v>858773.25999999989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f>16454+70815.34+31.99</f>
        <v>87301.33</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f>117291.88</f>
        <v>117291.88</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1793+89944.45</f>
        <v>91737.45</v>
      </c>
      <c r="I102" s="18"/>
      <c r="J102" s="18">
        <f>42532.92</f>
        <v>42532.92</v>
      </c>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445550.48</f>
        <v>445550.48</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113911.84+2377.85</f>
        <v>116289.69</v>
      </c>
      <c r="G110" s="18">
        <v>4331.53</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855975.98</v>
      </c>
      <c r="G111" s="38">
        <f>SUM(G96:G110)</f>
        <v>863240.47999999986</v>
      </c>
      <c r="H111" s="38">
        <f>SUM(H96:H110)</f>
        <v>91737.45</v>
      </c>
      <c r="I111" s="38">
        <f>SUM(I96:I110)</f>
        <v>1.47</v>
      </c>
      <c r="J111" s="38">
        <f>SUM(J96:J110)</f>
        <v>141939.12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68885846.950000003</v>
      </c>
      <c r="G112" s="38">
        <f>G60+G111</f>
        <v>863240.47999999986</v>
      </c>
      <c r="H112" s="38">
        <f>H60+H79+H94+H111</f>
        <v>91737.45</v>
      </c>
      <c r="I112" s="38">
        <f>I60+I111</f>
        <v>1.47</v>
      </c>
      <c r="J112" s="38">
        <f>J60+J111</f>
        <v>141939.12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f>16475899.51</f>
        <v>16475899.51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5353321</f>
        <v>5353321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589753.85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22418974.359999999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f>932752.76</f>
        <v>932752.76</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f>822567.95</f>
        <v>822567.95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f>1563812.74+156386.53</f>
        <v>1720199.27</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f>34866.74+68322</f>
        <v>103188.73999999999</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31334.2</f>
        <v>31334.2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f>33998.57</f>
        <v>33998.57</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3475519.98</v>
      </c>
      <c r="G136" s="38">
        <f>SUM(G123:G135)</f>
        <v>31334.2</v>
      </c>
      <c r="H136" s="38">
        <f>SUM(H123:H135)</f>
        <v>137187.31</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25894494.34</v>
      </c>
      <c r="G140" s="38">
        <f>G121+SUM(G136:G137)</f>
        <v>31334.2</v>
      </c>
      <c r="H140" s="38">
        <f>H121+SUM(H136:H139)</f>
        <v>137187.31</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f>62158.6</f>
        <v>62158.6</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62158.6</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1457645.3</f>
        <v>1457645.3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682053.67</f>
        <v>682053.67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f>418203.82</f>
        <v>418203.82</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1147462.23</f>
        <v>1147462.23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1639281.46</f>
        <v>1639281.46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f>654146.18</f>
        <v>654146.18000000005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f>224755.98</f>
        <v>224755.98</v>
      </c>
      <c r="G161" s="18">
        <f>67435.65</f>
        <v>67435.649999999994</v>
      </c>
      <c r="H161" s="18">
        <f>60952.84+27105.23+13607.22+28189.25</f>
        <v>129854.54</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953726.72+6138169.25</f>
        <v>7091895.9699999997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878902.16</v>
      </c>
      <c r="G163" s="38">
        <f>SUM(G150:G162)</f>
        <v>1214897.8799999999</v>
      </c>
      <c r="H163" s="38">
        <f>SUM(H150:H162)</f>
        <v>11418934.76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f>185.92</f>
        <v>185.92</v>
      </c>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941060.76</v>
      </c>
      <c r="G170" s="38">
        <f>G147+G163+SUM(G164:G169)</f>
        <v>1214897.8799999999</v>
      </c>
      <c r="H170" s="38">
        <f>H147+H163+SUM(H164:H169)</f>
        <v>11419120.68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f>75757.01</f>
        <v>75757.009999999995</v>
      </c>
      <c r="H180" s="18"/>
      <c r="I180" s="18"/>
      <c r="J180" s="18">
        <f>3010693.33</f>
        <v>3010693.33</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f>264750.16</f>
        <v>264750.15999999997</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f>1325.74</f>
        <v>1325.74</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264750.15999999997</v>
      </c>
      <c r="G184" s="38">
        <f>SUM(G180:G183)</f>
        <v>75757.009999999995</v>
      </c>
      <c r="H184" s="38">
        <f>SUM(H180:H183)</f>
        <v>0</v>
      </c>
      <c r="I184" s="38">
        <f>SUM(I180:I183)</f>
        <v>0</v>
      </c>
      <c r="J184" s="38">
        <f>SUM(J180:J183)</f>
        <v>3012019.0700000003</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f>1220000+0.21</f>
        <v>1220000.21</v>
      </c>
      <c r="G187" s="18"/>
      <c r="H187" s="18"/>
      <c r="I187" s="18">
        <f>158542.8</f>
        <v>158542.79999999999</v>
      </c>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1220000.21</v>
      </c>
      <c r="G189" s="38">
        <f>SUM(G186:G188)</f>
        <v>0</v>
      </c>
      <c r="H189" s="38">
        <f>SUM(H186:H188)</f>
        <v>0</v>
      </c>
      <c r="I189" s="38">
        <f>SUM(I186:I188)</f>
        <v>158542.79999999999</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1484750.3699999999</v>
      </c>
      <c r="G193" s="38">
        <f>G184+SUM(G189:G192)</f>
        <v>75757.009999999995</v>
      </c>
      <c r="H193" s="38">
        <f>+H184+SUM(H189:H192)</f>
        <v>0</v>
      </c>
      <c r="I193" s="38">
        <f>I178+I184+SUM(I189:I192)</f>
        <v>158542.79999999999</v>
      </c>
      <c r="J193" s="38">
        <f>J184</f>
        <v>3012019.0700000003</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97206152.420000017</v>
      </c>
      <c r="G194" s="38">
        <f>G112+G140+G170+G193</f>
        <v>2185229.5699999994</v>
      </c>
      <c r="H194" s="38">
        <f>H112+H140+H170+H193</f>
        <v>11648045.439999999</v>
      </c>
      <c r="I194" s="38">
        <f>I112+I140+I170+I193</f>
        <v>158544.26999999999</v>
      </c>
      <c r="J194" s="38">
        <f>J112+J140+J193</f>
        <v>3153958.1900000004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9651362.69+69345.95+414870.3</f>
        <v>10135578.939999999</v>
      </c>
      <c r="G198" s="18">
        <f>4731785.98+12444.32+295582.01</f>
        <v>5039812.3100000005</v>
      </c>
      <c r="H198" s="18">
        <f>86667.39+1015.77+1803.92</f>
        <v>89487.08</v>
      </c>
      <c r="I198" s="18">
        <f>176180.62+109472.84</f>
        <v>285653.45999999996</v>
      </c>
      <c r="J198" s="18">
        <f>58263.65</f>
        <v>58263.65</v>
      </c>
      <c r="K198" s="18">
        <f>393+2647.2</f>
        <v>3040.2</v>
      </c>
      <c r="L198" s="13">
        <f>SUM(F198:K198)</f>
        <v>15611835.639999999</v>
      </c>
      <c r="M198" s="8"/>
      <c r="N198" s="165"/>
    </row>
    <row r="199" spans="1:14" s="3" customFormat="1" ht="12.2" customHeight="1" x14ac:dyDescent="0.15">
      <c r="A199" s="1" t="s">
        <v>439</v>
      </c>
      <c r="B199" s="2" t="s">
        <v>341</v>
      </c>
      <c r="C199" s="2" t="s">
        <v>291</v>
      </c>
      <c r="D199" s="2" t="s">
        <v>431</v>
      </c>
      <c r="E199" s="6">
        <v>1200</v>
      </c>
      <c r="F199" s="18">
        <f>2194870.69+1288682.69+413668.82+829.29</f>
        <v>3898051.4899999998</v>
      </c>
      <c r="G199" s="18">
        <f>698262.42+763987.83+162701.03+125.32+119356.08</f>
        <v>1744432.6800000002</v>
      </c>
      <c r="H199" s="18">
        <f>218383.85+639980.17+18645.74+39303.44</f>
        <v>916313.2</v>
      </c>
      <c r="I199" s="18">
        <f>7221.94+4697.27+3063+5611.71</f>
        <v>20593.919999999998</v>
      </c>
      <c r="J199" s="18">
        <f>2132.29</f>
        <v>2132.29</v>
      </c>
      <c r="K199" s="18"/>
      <c r="L199" s="13">
        <f>SUM(F199:K199)</f>
        <v>6581523.5800000001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18265.06+90256.07</f>
        <v>108521.13</v>
      </c>
      <c r="G201" s="18">
        <f>3943.19+46297.49+559.38</f>
        <v>50800.06</v>
      </c>
      <c r="H201" s="18"/>
      <c r="I201" s="18"/>
      <c r="J201" s="18"/>
      <c r="K201" s="18"/>
      <c r="L201" s="13">
        <f>SUM(F201:K201)</f>
        <v>159321.19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407019.44+465630.39+283331.06+785360.84+276787.8+168098.35+83838.46+182071</f>
        <v>2652137.34</v>
      </c>
      <c r="G203" s="18">
        <f>187984.6+229218.2+158608.02+369692.15+111228.87+74700.76+107633.38+75648.09</f>
        <v>1314714.07</v>
      </c>
      <c r="H203" s="18">
        <f>65623+118517.6+566.64+96692.95</f>
        <v>281400.19</v>
      </c>
      <c r="I203" s="18">
        <f>1029.78+8358.76+8184.87+4505.01+12465.23</f>
        <v>34543.649999999994</v>
      </c>
      <c r="J203" s="18"/>
      <c r="K203" s="18">
        <f>90+398.7</f>
        <v>488.7</v>
      </c>
      <c r="L203" s="13">
        <f t="shared" ref="L203:L209" si="0">SUM(F203:K203)</f>
        <v>4283283.9500000011</v>
      </c>
      <c r="M203" s="8"/>
      <c r="N203" s="165"/>
    </row>
    <row r="204" spans="1:14" s="3" customFormat="1" ht="12.2" customHeight="1" x14ac:dyDescent="0.15">
      <c r="A204" s="1" t="s">
        <v>443</v>
      </c>
      <c r="B204" s="2" t="s">
        <v>341</v>
      </c>
      <c r="C204" s="2" t="s">
        <v>295</v>
      </c>
      <c r="D204" s="2" t="s">
        <v>431</v>
      </c>
      <c r="E204" s="6">
        <v>2200</v>
      </c>
      <c r="F204" s="18">
        <f>385181.45+1165.57+115486.68+292832.44</f>
        <v>794666.14</v>
      </c>
      <c r="G204" s="18">
        <f>192918.97+43159.99+25813.53+200889.04+15333.43</f>
        <v>478114.96</v>
      </c>
      <c r="H204" s="18">
        <f>270.76+205707.21</f>
        <v>205977.97</v>
      </c>
      <c r="I204" s="18">
        <f>15688.62+2989.62+300313.14</f>
        <v>318991.38</v>
      </c>
      <c r="J204" s="18">
        <f>820409.26</f>
        <v>820409.26</v>
      </c>
      <c r="K204" s="18">
        <f>2919.55</f>
        <v>2919.55</v>
      </c>
      <c r="L204" s="13">
        <f t="shared" si="0"/>
        <v>2621079.2599999998</v>
      </c>
      <c r="M204" s="8"/>
      <c r="N204" s="165"/>
    </row>
    <row r="205" spans="1:14" s="3" customFormat="1" ht="12.2" customHeight="1" x14ac:dyDescent="0.15">
      <c r="A205" s="1" t="s">
        <v>444</v>
      </c>
      <c r="B205" s="2" t="s">
        <v>341</v>
      </c>
      <c r="C205" s="2" t="s">
        <v>296</v>
      </c>
      <c r="D205" s="2" t="s">
        <v>431</v>
      </c>
      <c r="E205" s="6">
        <v>2300</v>
      </c>
      <c r="F205" s="18">
        <f>399214.12</f>
        <v>399214.12</v>
      </c>
      <c r="G205" s="18">
        <f>153400.95</f>
        <v>153400.95000000001</v>
      </c>
      <c r="H205" s="18">
        <f>114945.46</f>
        <v>114945.46</v>
      </c>
      <c r="I205" s="18">
        <f>19234.57</f>
        <v>19234.57</v>
      </c>
      <c r="J205" s="18"/>
      <c r="K205" s="18">
        <f>10590.76</f>
        <v>10590.76</v>
      </c>
      <c r="L205" s="13">
        <f t="shared" si="0"/>
        <v>697385.86</v>
      </c>
      <c r="M205" s="8"/>
      <c r="N205" s="165"/>
    </row>
    <row r="206" spans="1:14" s="3" customFormat="1" ht="12.2" customHeight="1" x14ac:dyDescent="0.15">
      <c r="A206" s="1" t="s">
        <v>445</v>
      </c>
      <c r="B206" s="2" t="s">
        <v>341</v>
      </c>
      <c r="C206" s="2" t="s">
        <v>297</v>
      </c>
      <c r="D206" s="2" t="s">
        <v>431</v>
      </c>
      <c r="E206" s="6">
        <v>2400</v>
      </c>
      <c r="F206" s="18">
        <f>1427029.88+46123.93</f>
        <v>1473153.8099999998</v>
      </c>
      <c r="G206" s="18">
        <f>650381.53+10362.55+43704.13</f>
        <v>704448.21000000008</v>
      </c>
      <c r="H206" s="18">
        <f>19225.09+524.25</f>
        <v>19749.34</v>
      </c>
      <c r="I206" s="18">
        <f>7487.23</f>
        <v>7487.23</v>
      </c>
      <c r="J206" s="18"/>
      <c r="K206" s="18">
        <f>12671+44.12</f>
        <v>12715.12</v>
      </c>
      <c r="L206" s="13">
        <f t="shared" si="0"/>
        <v>2217553.71</v>
      </c>
      <c r="M206" s="8"/>
      <c r="N206" s="165"/>
    </row>
    <row r="207" spans="1:14" s="3" customFormat="1" ht="12.2" customHeight="1" x14ac:dyDescent="0.15">
      <c r="A207" s="1" t="s">
        <v>446</v>
      </c>
      <c r="B207" s="2" t="s">
        <v>341</v>
      </c>
      <c r="C207" s="2" t="s">
        <v>298</v>
      </c>
      <c r="D207" s="2" t="s">
        <v>431</v>
      </c>
      <c r="E207" s="6">
        <v>2500</v>
      </c>
      <c r="F207" s="18">
        <f>268063.49</f>
        <v>268063.49</v>
      </c>
      <c r="G207" s="18">
        <f>135834.29</f>
        <v>135834.29</v>
      </c>
      <c r="H207" s="18">
        <f>9750.26</f>
        <v>9750.26</v>
      </c>
      <c r="I207" s="18">
        <f>31279.87</f>
        <v>31279.87</v>
      </c>
      <c r="J207" s="18">
        <f>21453.78</f>
        <v>21453.78</v>
      </c>
      <c r="K207" s="18">
        <f>5303.67</f>
        <v>5303.67</v>
      </c>
      <c r="L207" s="13">
        <f t="shared" si="0"/>
        <v>471685.36000000004</v>
      </c>
      <c r="M207" s="8"/>
      <c r="N207" s="165"/>
    </row>
    <row r="208" spans="1:14" s="3" customFormat="1" ht="12.2" customHeight="1" x14ac:dyDescent="0.15">
      <c r="A208" s="1" t="s">
        <v>447</v>
      </c>
      <c r="B208" s="2" t="s">
        <v>341</v>
      </c>
      <c r="C208" s="2" t="s">
        <v>299</v>
      </c>
      <c r="D208" s="2" t="s">
        <v>431</v>
      </c>
      <c r="E208" s="6">
        <v>2600</v>
      </c>
      <c r="F208" s="18">
        <f>669745.78+166175.04</f>
        <v>835920.82000000007</v>
      </c>
      <c r="G208" s="18">
        <f>293930.44+68681.56+20511.59</f>
        <v>383123.59</v>
      </c>
      <c r="H208" s="18">
        <f>2136.49+445638.65+66441.19+37514.4+159635.1</f>
        <v>711365.83</v>
      </c>
      <c r="I208" s="18">
        <f>75102.1+604377.48+12579.56+49178.54</f>
        <v>741237.68</v>
      </c>
      <c r="J208" s="18">
        <f>9837.73+24782.8+684+43792.69</f>
        <v>79097.22</v>
      </c>
      <c r="K208" s="18">
        <f>402.96</f>
        <v>402.96</v>
      </c>
      <c r="L208" s="13">
        <f t="shared" si="0"/>
        <v>2751148.1000000006</v>
      </c>
      <c r="M208" s="8"/>
      <c r="N208" s="165"/>
    </row>
    <row r="209" spans="1:14" s="3" customFormat="1" ht="12.2" customHeight="1" x14ac:dyDescent="0.15">
      <c r="A209" s="1" t="s">
        <v>448</v>
      </c>
      <c r="B209" s="2" t="s">
        <v>341</v>
      </c>
      <c r="C209" s="2" t="s">
        <v>300</v>
      </c>
      <c r="D209" s="2" t="s">
        <v>431</v>
      </c>
      <c r="E209" s="6">
        <v>2700</v>
      </c>
      <c r="F209" s="18">
        <f>130.08+3234.76+660530.01</f>
        <v>663894.85</v>
      </c>
      <c r="G209" s="18">
        <f>352.64+206317.13</f>
        <v>206669.77000000002</v>
      </c>
      <c r="H209" s="18">
        <f>2936.18+14035.06+553260.16</f>
        <v>570231.4</v>
      </c>
      <c r="I209" s="18">
        <f>171803.31</f>
        <v>171803.31</v>
      </c>
      <c r="J209" s="18">
        <v>8986.48</v>
      </c>
      <c r="K209" s="18">
        <v>1377.4</v>
      </c>
      <c r="L209" s="13">
        <f t="shared" si="0"/>
        <v>1622963.21</v>
      </c>
      <c r="M209" s="8"/>
      <c r="N209" s="165"/>
    </row>
    <row r="210" spans="1:14" s="3" customFormat="1" ht="12.2" customHeight="1" x14ac:dyDescent="0.15">
      <c r="A210" s="1" t="s">
        <v>449</v>
      </c>
      <c r="B210" s="2" t="s">
        <v>341</v>
      </c>
      <c r="C210" s="2" t="s">
        <v>343</v>
      </c>
      <c r="D210" s="2" t="s">
        <v>431</v>
      </c>
      <c r="E210" s="6">
        <v>2800</v>
      </c>
      <c r="F210" s="18">
        <v>193753.79</v>
      </c>
      <c r="G210" s="18">
        <f>95466.18+99.07</f>
        <v>95565.25</v>
      </c>
      <c r="H210" s="18">
        <v>39732.5</v>
      </c>
      <c r="I210" s="18">
        <v>46991</v>
      </c>
      <c r="J210" s="18"/>
      <c r="K210" s="18">
        <v>133.94999999999999</v>
      </c>
      <c r="L210" s="13">
        <f>SUM(F210:K210)</f>
        <v>376176.49000000005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21422955.919999998</v>
      </c>
      <c r="G212" s="38">
        <f t="shared" si="1"/>
        <v>10306916.139999999</v>
      </c>
      <c r="H212" s="38">
        <f t="shared" si="1"/>
        <v>2958953.23</v>
      </c>
      <c r="I212" s="38">
        <f t="shared" si="1"/>
        <v>1677816.0699999998</v>
      </c>
      <c r="J212" s="38">
        <f t="shared" si="1"/>
        <v>990342.67999999993</v>
      </c>
      <c r="K212" s="38">
        <f t="shared" si="1"/>
        <v>36972.31</v>
      </c>
      <c r="L212" s="38">
        <f t="shared" si="1"/>
        <v>37393956.350000001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4388518.74+31780.93+179320.49</f>
        <v>4599620.16</v>
      </c>
      <c r="G216" s="18">
        <f>2230364.04+5703.18+134402.49</f>
        <v>2370469.71</v>
      </c>
      <c r="H216" s="18">
        <f>39472.86+465.53</f>
        <v>39938.39</v>
      </c>
      <c r="I216" s="18">
        <f>53723.16+50170.91</f>
        <v>103894.07</v>
      </c>
      <c r="J216" s="18">
        <f>17238.81</f>
        <v>17238.810000000001</v>
      </c>
      <c r="K216" s="18">
        <f>1213.2</f>
        <v>1213.2</v>
      </c>
      <c r="L216" s="13">
        <f>SUM(F216:K216)</f>
        <v>7132374.3399999999</v>
      </c>
      <c r="M216" s="8"/>
      <c r="N216" s="165"/>
    </row>
    <row r="217" spans="1:14" s="3" customFormat="1" ht="12.2" customHeight="1" x14ac:dyDescent="0.15">
      <c r="A217" s="1" t="s">
        <v>439</v>
      </c>
      <c r="B217" s="2" t="s">
        <v>346</v>
      </c>
      <c r="C217" s="2" t="s">
        <v>291</v>
      </c>
      <c r="D217" s="2" t="s">
        <v>431</v>
      </c>
      <c r="E217" s="6">
        <v>1200</v>
      </c>
      <c r="F217" s="18">
        <f>506016.47+940189.3+142400.54+446.37</f>
        <v>1589052.6800000002</v>
      </c>
      <c r="G217" s="18">
        <f>195477.83+490085.74+49634.13+67.45+48652.55</f>
        <v>783917.7</v>
      </c>
      <c r="H217" s="18">
        <f>219472.31+161392.62+2724.92+21155.05</f>
        <v>404744.89999999997</v>
      </c>
      <c r="I217" s="18">
        <f>8148.94+2908.33+3020.5</f>
        <v>14077.77</v>
      </c>
      <c r="J217" s="18">
        <f>1147.7</f>
        <v>1147.7</v>
      </c>
      <c r="K217" s="18"/>
      <c r="L217" s="13">
        <f>SUM(F217:K217)</f>
        <v>2792940.75</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23265+85270+41363.95</f>
        <v>149898.95000000001</v>
      </c>
      <c r="G219" s="18">
        <f>5965.3+16290.44+21217.93+3323.99</f>
        <v>46797.659999999996</v>
      </c>
      <c r="H219" s="18">
        <f>18046.5</f>
        <v>18046.5</v>
      </c>
      <c r="I219" s="18">
        <f>5361.7</f>
        <v>5361.7</v>
      </c>
      <c r="J219" s="18">
        <f>2815</f>
        <v>2815</v>
      </c>
      <c r="K219" s="18">
        <f>3395</f>
        <v>3395</v>
      </c>
      <c r="L219" s="13">
        <f>SUM(F219:K219)</f>
        <v>226314.81000000003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341883.63+71776+92654+142141.81+35907.25+28312.5+93207.79</f>
        <v>805882.98</v>
      </c>
      <c r="G221" s="18">
        <f>176297.07+41229.94+51774.67+81286.72+10975.21+3864.42+21264.53+54757.74+21826.34</f>
        <v>463276.64000000007</v>
      </c>
      <c r="H221" s="18">
        <f>406242.96+20742.21+79200+51939.5</f>
        <v>558124.67000000004</v>
      </c>
      <c r="I221" s="18">
        <f>781.2+2661.29+122.65+6709.4</f>
        <v>10274.539999999999</v>
      </c>
      <c r="J221" s="18"/>
      <c r="K221" s="18">
        <f>214.6</f>
        <v>214.6</v>
      </c>
      <c r="L221" s="13">
        <f t="shared" ref="L221:L227" si="2">SUM(F221:K221)</f>
        <v>1837773.4300000002</v>
      </c>
      <c r="M221" s="8"/>
      <c r="N221" s="165"/>
    </row>
    <row r="222" spans="1:14" s="3" customFormat="1" ht="12.2" customHeight="1" x14ac:dyDescent="0.15">
      <c r="A222" s="1" t="s">
        <v>443</v>
      </c>
      <c r="B222" s="2" t="s">
        <v>346</v>
      </c>
      <c r="C222" s="2" t="s">
        <v>295</v>
      </c>
      <c r="D222" s="2" t="s">
        <v>431</v>
      </c>
      <c r="E222" s="6">
        <v>2200</v>
      </c>
      <c r="F222" s="18">
        <f>24816+210587.37+21396.27+120650.21</f>
        <v>377449.85</v>
      </c>
      <c r="G222" s="18">
        <f>7111.51+119429.68+4645.19+75368.05+7864.73</f>
        <v>214419.16</v>
      </c>
      <c r="H222" s="18">
        <f>5020.4+87477.2</f>
        <v>92497.599999999991</v>
      </c>
      <c r="I222" s="18">
        <f>15603.39+10579.27+127569.16</f>
        <v>153751.82</v>
      </c>
      <c r="J222" s="18">
        <f>375989.92</f>
        <v>375989.92</v>
      </c>
      <c r="K222" s="18">
        <f>1338.01</f>
        <v>1338.01</v>
      </c>
      <c r="L222" s="13">
        <f t="shared" si="2"/>
        <v>1215446.3599999999</v>
      </c>
      <c r="M222" s="8"/>
      <c r="N222" s="165"/>
    </row>
    <row r="223" spans="1:14" s="3" customFormat="1" ht="12.2" customHeight="1" x14ac:dyDescent="0.15">
      <c r="A223" s="1" t="s">
        <v>444</v>
      </c>
      <c r="B223" s="2" t="s">
        <v>346</v>
      </c>
      <c r="C223" s="2" t="s">
        <v>296</v>
      </c>
      <c r="D223" s="2" t="s">
        <v>431</v>
      </c>
      <c r="E223" s="6">
        <v>2300</v>
      </c>
      <c r="F223" s="18">
        <f>182958.06</f>
        <v>182958.06</v>
      </c>
      <c r="G223" s="18">
        <f>70302.98</f>
        <v>70302.98</v>
      </c>
      <c r="H223" s="18">
        <f>52679</f>
        <v>52679</v>
      </c>
      <c r="I223" s="18">
        <f>8815.12</f>
        <v>8815.1200000000008</v>
      </c>
      <c r="J223" s="18"/>
      <c r="K223" s="18">
        <f>4853.7</f>
        <v>4853.7</v>
      </c>
      <c r="L223" s="13">
        <f t="shared" si="2"/>
        <v>319608.86</v>
      </c>
      <c r="M223" s="8"/>
      <c r="N223" s="165"/>
    </row>
    <row r="224" spans="1:14" s="3" customFormat="1" ht="12.2" customHeight="1" x14ac:dyDescent="0.15">
      <c r="A224" s="1" t="s">
        <v>445</v>
      </c>
      <c r="B224" s="2" t="s">
        <v>346</v>
      </c>
      <c r="C224" s="2" t="s">
        <v>297</v>
      </c>
      <c r="D224" s="2" t="s">
        <v>431</v>
      </c>
      <c r="E224" s="6">
        <v>2400</v>
      </c>
      <c r="F224" s="18">
        <f>699658.22+21138.39</f>
        <v>720796.61</v>
      </c>
      <c r="G224" s="18">
        <f>361005.23+4749.11+21427.69</f>
        <v>387182.02999999997</v>
      </c>
      <c r="H224" s="18">
        <f>11599.07+240.26</f>
        <v>11839.33</v>
      </c>
      <c r="I224" s="18">
        <f>22688.14</f>
        <v>22688.14</v>
      </c>
      <c r="J224" s="18"/>
      <c r="K224" s="18">
        <f>5623+20.22</f>
        <v>5643.22</v>
      </c>
      <c r="L224" s="13">
        <f t="shared" si="2"/>
        <v>1148149.3299999998</v>
      </c>
      <c r="M224" s="8"/>
      <c r="N224" s="165"/>
    </row>
    <row r="225" spans="1:14" s="3" customFormat="1" ht="12.2" customHeight="1" x14ac:dyDescent="0.15">
      <c r="A225" s="1" t="s">
        <v>446</v>
      </c>
      <c r="B225" s="2" t="s">
        <v>346</v>
      </c>
      <c r="C225" s="2" t="s">
        <v>298</v>
      </c>
      <c r="D225" s="2" t="s">
        <v>431</v>
      </c>
      <c r="E225" s="6">
        <v>2500</v>
      </c>
      <c r="F225" s="18">
        <f>88426.77</f>
        <v>88426.77</v>
      </c>
      <c r="G225" s="18">
        <f>44807.99</f>
        <v>44807.99</v>
      </c>
      <c r="H225" s="18">
        <f>3216.35</f>
        <v>3216.35</v>
      </c>
      <c r="I225" s="18">
        <f>10318.37</f>
        <v>10318.370000000001</v>
      </c>
      <c r="J225" s="18">
        <f>7077.01</f>
        <v>7077.01</v>
      </c>
      <c r="K225" s="18">
        <f>1749.54</f>
        <v>1749.54</v>
      </c>
      <c r="L225" s="13">
        <f t="shared" si="2"/>
        <v>155596.03000000003</v>
      </c>
      <c r="M225" s="8"/>
      <c r="N225" s="165"/>
    </row>
    <row r="226" spans="1:14" s="3" customFormat="1" ht="12.2" customHeight="1" x14ac:dyDescent="0.15">
      <c r="A226" s="1" t="s">
        <v>447</v>
      </c>
      <c r="B226" s="2" t="s">
        <v>346</v>
      </c>
      <c r="C226" s="2" t="s">
        <v>299</v>
      </c>
      <c r="D226" s="2" t="s">
        <v>431</v>
      </c>
      <c r="E226" s="6">
        <v>2600</v>
      </c>
      <c r="F226" s="18">
        <f>300983.78+87515.94</f>
        <v>388499.72000000003</v>
      </c>
      <c r="G226" s="18">
        <f>110936.05+36171.08+9217.91</f>
        <v>156325.04</v>
      </c>
      <c r="H226" s="18">
        <f>557.94+248239.85+23077.26+12624.76+84071.68</f>
        <v>368571.49</v>
      </c>
      <c r="I226" s="18">
        <f>27866.75+311557.86+3570+25899.83</f>
        <v>368894.44</v>
      </c>
      <c r="J226" s="18">
        <f>6415.57+1288.86+23063.38</f>
        <v>30767.81</v>
      </c>
      <c r="K226" s="18">
        <f>212.22</f>
        <v>212.22</v>
      </c>
      <c r="L226" s="13">
        <f t="shared" si="2"/>
        <v>1313270.72</v>
      </c>
      <c r="M226" s="8"/>
      <c r="N226" s="165"/>
    </row>
    <row r="227" spans="1:14" s="3" customFormat="1" ht="12.2" customHeight="1" x14ac:dyDescent="0.15">
      <c r="A227" s="1" t="s">
        <v>448</v>
      </c>
      <c r="B227" s="2" t="s">
        <v>346</v>
      </c>
      <c r="C227" s="2" t="s">
        <v>300</v>
      </c>
      <c r="D227" s="2" t="s">
        <v>431</v>
      </c>
      <c r="E227" s="6">
        <v>2700</v>
      </c>
      <c r="F227" s="18">
        <v>302717.96999999997</v>
      </c>
      <c r="G227" s="18">
        <v>94554.23</v>
      </c>
      <c r="H227" s="18">
        <f>35772.36+12211.16+253556.67</f>
        <v>301540.19</v>
      </c>
      <c r="I227" s="18">
        <v>78736.7</v>
      </c>
      <c r="J227" s="18">
        <v>4118.46</v>
      </c>
      <c r="K227" s="18">
        <v>631.26</v>
      </c>
      <c r="L227" s="13">
        <f t="shared" si="2"/>
        <v>782298.80999999982</v>
      </c>
      <c r="M227" s="8"/>
      <c r="N227" s="165"/>
    </row>
    <row r="228" spans="1:14" s="3" customFormat="1" ht="12.2" customHeight="1" x14ac:dyDescent="0.15">
      <c r="A228" s="1" t="s">
        <v>449</v>
      </c>
      <c r="B228" s="2" t="s">
        <v>346</v>
      </c>
      <c r="C228" s="2" t="s">
        <v>343</v>
      </c>
      <c r="D228" s="2" t="s">
        <v>431</v>
      </c>
      <c r="E228" s="6">
        <v>2800</v>
      </c>
      <c r="F228" s="18">
        <v>63914.04</v>
      </c>
      <c r="G228" s="18">
        <v>31491.67</v>
      </c>
      <c r="H228" s="18">
        <v>13106.66</v>
      </c>
      <c r="I228" s="18">
        <v>15501.04</v>
      </c>
      <c r="J228" s="18"/>
      <c r="K228" s="18">
        <v>44.19</v>
      </c>
      <c r="L228" s="13">
        <f>SUM(F228:K228)</f>
        <v>124057.60000000001</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9269217.7899999991</v>
      </c>
      <c r="G230" s="38">
        <f>SUM(G216:G229)</f>
        <v>4663544.8100000015</v>
      </c>
      <c r="H230" s="38">
        <f>SUM(H216:H229)</f>
        <v>1864305.08</v>
      </c>
      <c r="I230" s="38">
        <f>SUM(I216:I229)</f>
        <v>792313.71</v>
      </c>
      <c r="J230" s="38">
        <f>SUM(J216:J229)</f>
        <v>439154.71</v>
      </c>
      <c r="K230" s="38">
        <f t="shared" si="3"/>
        <v>19294.939999999999</v>
      </c>
      <c r="L230" s="38">
        <f t="shared" si="3"/>
        <v>17047831.039999999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6960435.94+56048.88+330242.23</f>
        <v>7346727.0500000007</v>
      </c>
      <c r="G234" s="18">
        <f>3536669.38+10058.12+213169.86</f>
        <v>3759897.36</v>
      </c>
      <c r="H234" s="18">
        <f>407659.17+821</f>
        <v>408480.17</v>
      </c>
      <c r="I234" s="18">
        <f>137713.83+88481.44</f>
        <v>226195.27</v>
      </c>
      <c r="J234" s="18">
        <f>18847.53</f>
        <v>18847.53</v>
      </c>
      <c r="K234" s="18">
        <f>824.22+2139.6</f>
        <v>2963.8199999999997</v>
      </c>
      <c r="L234" s="13">
        <f>SUM(F234:K234)</f>
        <v>11763111.199999999</v>
      </c>
      <c r="M234" s="8"/>
      <c r="N234" s="165"/>
    </row>
    <row r="235" spans="1:14" s="3" customFormat="1" ht="12.2" customHeight="1" x14ac:dyDescent="0.15">
      <c r="A235" s="1" t="s">
        <v>439</v>
      </c>
      <c r="B235" s="2" t="s">
        <v>350</v>
      </c>
      <c r="C235" s="2" t="s">
        <v>291</v>
      </c>
      <c r="D235" s="2" t="s">
        <v>431</v>
      </c>
      <c r="E235" s="6">
        <v>1200</v>
      </c>
      <c r="F235" s="18">
        <f>773321.89+1625277.02+207573.07+804.34</f>
        <v>2606976.3199999998</v>
      </c>
      <c r="G235" s="18">
        <f>325769.49+729690.11+79318.35+121.54+79816.46</f>
        <v>1214715.9500000002</v>
      </c>
      <c r="H235" s="18">
        <f>2270383.71+126514.58+15008.55+38120.49</f>
        <v>2450027.33</v>
      </c>
      <c r="I235" s="18">
        <f>1638.07+9946.81+2000+5442.81</f>
        <v>19027.689999999999</v>
      </c>
      <c r="J235" s="18">
        <f>2068.11</f>
        <v>2068.11</v>
      </c>
      <c r="K235" s="18">
        <f>500</f>
        <v>500</v>
      </c>
      <c r="L235" s="13">
        <f>SUM(F235:K235)</f>
        <v>6293315.4000000004</v>
      </c>
      <c r="M235" s="8"/>
      <c r="N235" s="165"/>
    </row>
    <row r="236" spans="1:14" s="3" customFormat="1" ht="12.2" customHeight="1" x14ac:dyDescent="0.15">
      <c r="A236" s="1" t="s">
        <v>440</v>
      </c>
      <c r="B236" s="2" t="s">
        <v>350</v>
      </c>
      <c r="C236" s="2" t="s">
        <v>292</v>
      </c>
      <c r="D236" s="2" t="s">
        <v>431</v>
      </c>
      <c r="E236" s="6">
        <v>1300</v>
      </c>
      <c r="F236" s="18">
        <f>262290.12+156166.04+61347.48+240061.29+511992.06+33467.85</f>
        <v>1265324.8400000001</v>
      </c>
      <c r="G236" s="18">
        <f>156816.84+74314.22+29872.75+144603.39+234825.78+2560.21+38751.76</f>
        <v>681744.95</v>
      </c>
      <c r="H236" s="18">
        <f>24388.87+150+2760.28+2919.56+200</f>
        <v>30418.71</v>
      </c>
      <c r="I236" s="18">
        <f>21385.16+963.93+607.03+1606.72+6826.2+3456.9+7397.6+9489.22+3468.18+14950.92+944.62+1590.28+3699.57+278.47+185</f>
        <v>76849.8</v>
      </c>
      <c r="J236" s="18"/>
      <c r="K236" s="18">
        <f>170+50+76.5+110</f>
        <v>406.5</v>
      </c>
      <c r="L236" s="13">
        <f>SUM(F236:K236)</f>
        <v>2054744.8</v>
      </c>
      <c r="M236" s="8"/>
      <c r="N236" s="165"/>
    </row>
    <row r="237" spans="1:14" s="3" customFormat="1" ht="12.2" customHeight="1" x14ac:dyDescent="0.15">
      <c r="A237" s="1" t="s">
        <v>441</v>
      </c>
      <c r="B237" s="2" t="s">
        <v>350</v>
      </c>
      <c r="C237" s="2" t="s">
        <v>293</v>
      </c>
      <c r="D237" s="2" t="s">
        <v>431</v>
      </c>
      <c r="E237" s="6">
        <v>1400</v>
      </c>
      <c r="F237" s="18">
        <f>94940+305876.24+30482.68+72949.48</f>
        <v>504248.39999999997</v>
      </c>
      <c r="G237" s="18">
        <f>24788.09+42478.82+7380.92+37419.95+13208.93</f>
        <v>125276.70999999999</v>
      </c>
      <c r="H237" s="18">
        <f>147354.47</f>
        <v>147354.47</v>
      </c>
      <c r="I237" s="18">
        <f>52260.9+3158.29</f>
        <v>55419.19</v>
      </c>
      <c r="J237" s="18">
        <f>4090.6</f>
        <v>4090.6</v>
      </c>
      <c r="K237" s="18">
        <f>27889.65</f>
        <v>27889.65</v>
      </c>
      <c r="L237" s="13">
        <f>SUM(F237:K237)</f>
        <v>864279.02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637435.95+144601.91+128639.01+164737.76+93417.93+41317.9+136388+53445.14+166902.93</f>
        <v>1566886.5299999996</v>
      </c>
      <c r="G239" s="18">
        <f>341230.29+68119.35+59200.89+65480.53+47435.36+34399.01+67470.78+30940.71+97972.84+42875.81</f>
        <v>855125.57000000007</v>
      </c>
      <c r="H239" s="18">
        <f>127.43+14387.63+972.2+79860+93569.59</f>
        <v>188916.84999999998</v>
      </c>
      <c r="I239" s="18">
        <f>323.57+1740.14+12090.06</f>
        <v>14153.77</v>
      </c>
      <c r="J239" s="18"/>
      <c r="K239" s="18">
        <f>258+90+386.7</f>
        <v>734.7</v>
      </c>
      <c r="L239" s="13">
        <f t="shared" ref="L239:L245" si="4">SUM(F239:K239)</f>
        <v>2625817.42</v>
      </c>
      <c r="M239" s="8"/>
      <c r="N239" s="165"/>
    </row>
    <row r="240" spans="1:14" s="3" customFormat="1" ht="12.2" customHeight="1" x14ac:dyDescent="0.15">
      <c r="A240" s="1" t="s">
        <v>443</v>
      </c>
      <c r="B240" s="2" t="s">
        <v>350</v>
      </c>
      <c r="C240" s="2" t="s">
        <v>295</v>
      </c>
      <c r="D240" s="2" t="s">
        <v>431</v>
      </c>
      <c r="E240" s="6">
        <v>2200</v>
      </c>
      <c r="F240" s="18">
        <f>38543.96+224958.73+26360.95+203265.28</f>
        <v>493128.92000000004</v>
      </c>
      <c r="G240" s="18">
        <f>12988.23+108723.61+5722.98+121198.19+8877.35</f>
        <v>257510.36000000002</v>
      </c>
      <c r="H240" s="18">
        <f>4987.5+35875.62+149503.55</f>
        <v>190366.66999999998</v>
      </c>
      <c r="I240" s="18">
        <f>39457.69+3243.98+22808.83+217917.64</f>
        <v>283428.14</v>
      </c>
      <c r="J240" s="18">
        <f>1509.21+663095.97</f>
        <v>664605.17999999993</v>
      </c>
      <c r="K240" s="18">
        <f>2359.72</f>
        <v>2359.7199999999998</v>
      </c>
      <c r="L240" s="13">
        <f t="shared" si="4"/>
        <v>1891398.9899999998</v>
      </c>
      <c r="M240" s="8"/>
      <c r="N240" s="165"/>
    </row>
    <row r="241" spans="1:14" s="3" customFormat="1" ht="12.2" customHeight="1" x14ac:dyDescent="0.15">
      <c r="A241" s="1" t="s">
        <v>444</v>
      </c>
      <c r="B241" s="2" t="s">
        <v>350</v>
      </c>
      <c r="C241" s="2" t="s">
        <v>296</v>
      </c>
      <c r="D241" s="2" t="s">
        <v>431</v>
      </c>
      <c r="E241" s="6">
        <v>2300</v>
      </c>
      <c r="F241" s="18">
        <f>322664.91</f>
        <v>322664.90999999997</v>
      </c>
      <c r="G241" s="18">
        <f>123986.36</f>
        <v>123986.36</v>
      </c>
      <c r="H241" s="18">
        <f>92904.7</f>
        <v>92904.7</v>
      </c>
      <c r="I241" s="18">
        <f>15546.34</f>
        <v>15546.34</v>
      </c>
      <c r="J241" s="18"/>
      <c r="K241" s="18">
        <f>8559.98</f>
        <v>8559.98</v>
      </c>
      <c r="L241" s="13">
        <f t="shared" si="4"/>
        <v>563662.28999999992</v>
      </c>
      <c r="M241" s="8"/>
      <c r="N241" s="165"/>
    </row>
    <row r="242" spans="1:14" s="3" customFormat="1" ht="12.2" customHeight="1" x14ac:dyDescent="0.15">
      <c r="A242" s="1" t="s">
        <v>445</v>
      </c>
      <c r="B242" s="2" t="s">
        <v>350</v>
      </c>
      <c r="C242" s="2" t="s">
        <v>297</v>
      </c>
      <c r="D242" s="2" t="s">
        <v>431</v>
      </c>
      <c r="E242" s="6">
        <v>2400</v>
      </c>
      <c r="F242" s="18">
        <f>1251853.6+37279.68</f>
        <v>1289133.28</v>
      </c>
      <c r="G242" s="18">
        <f>596278.74+8375.54+38339.19</f>
        <v>642993.47</v>
      </c>
      <c r="H242" s="18">
        <f>19962.42+19871.46+423.72</f>
        <v>40257.599999999999</v>
      </c>
      <c r="I242" s="18">
        <f>8931.02+3869.59</f>
        <v>12800.61</v>
      </c>
      <c r="J242" s="18">
        <f>6780</f>
        <v>6780</v>
      </c>
      <c r="K242" s="18">
        <f>14390+35.66</f>
        <v>14425.66</v>
      </c>
      <c r="L242" s="13">
        <f t="shared" si="4"/>
        <v>2006390.62</v>
      </c>
      <c r="M242" s="8"/>
      <c r="N242" s="165"/>
    </row>
    <row r="243" spans="1:14" s="3" customFormat="1" ht="12.2" customHeight="1" x14ac:dyDescent="0.15">
      <c r="A243" s="1" t="s">
        <v>446</v>
      </c>
      <c r="B243" s="2" t="s">
        <v>350</v>
      </c>
      <c r="C243" s="2" t="s">
        <v>298</v>
      </c>
      <c r="D243" s="2" t="s">
        <v>431</v>
      </c>
      <c r="E243" s="6">
        <v>2500</v>
      </c>
      <c r="F243" s="18">
        <f>51500+169344.42-169344.42+131785.67</f>
        <v>183285.67</v>
      </c>
      <c r="G243" s="18">
        <f>20462.1+83650.09+1577.24-83650.09+66779</f>
        <v>88818.340000000011</v>
      </c>
      <c r="H243" s="18">
        <f>50680.23+4793.44</f>
        <v>55473.670000000006</v>
      </c>
      <c r="I243" s="18">
        <f>27629.6+15377.84</f>
        <v>43007.44</v>
      </c>
      <c r="J243" s="18">
        <f>8995+10547.13</f>
        <v>19542.129999999997</v>
      </c>
      <c r="K243" s="18">
        <f>2607.4-0.01</f>
        <v>2607.39</v>
      </c>
      <c r="L243" s="13">
        <f t="shared" si="4"/>
        <v>392734.64</v>
      </c>
      <c r="M243" s="8"/>
      <c r="N243" s="165"/>
    </row>
    <row r="244" spans="1:14" s="3" customFormat="1" ht="12.2" customHeight="1" x14ac:dyDescent="0.15">
      <c r="A244" s="1" t="s">
        <v>447</v>
      </c>
      <c r="B244" s="2" t="s">
        <v>350</v>
      </c>
      <c r="C244" s="2" t="s">
        <v>299</v>
      </c>
      <c r="D244" s="2" t="s">
        <v>431</v>
      </c>
      <c r="E244" s="6">
        <v>2600</v>
      </c>
      <c r="F244" s="18">
        <f>579338.48+184765.61</f>
        <v>764104.09</v>
      </c>
      <c r="G244" s="18">
        <f>221526.67+76365.2+17742.78</f>
        <v>315634.65000000002</v>
      </c>
      <c r="H244" s="18">
        <f>1233.87+374304.36+103413.74+96810.44+177494.01</f>
        <v>753256.41999999993</v>
      </c>
      <c r="I244" s="18">
        <f>45784.64+806271.88+10710+54680.31</f>
        <v>917446.83000000007</v>
      </c>
      <c r="J244" s="18">
        <f>11803.74+9450+48691.93</f>
        <v>69945.67</v>
      </c>
      <c r="K244" s="18">
        <f>3360+448.05</f>
        <v>3808.05</v>
      </c>
      <c r="L244" s="13">
        <f t="shared" si="4"/>
        <v>2824195.71</v>
      </c>
      <c r="M244" s="8"/>
      <c r="N244" s="165"/>
    </row>
    <row r="245" spans="1:14" s="3" customFormat="1" ht="12.2" customHeight="1" x14ac:dyDescent="0.15">
      <c r="A245" s="1" t="s">
        <v>448</v>
      </c>
      <c r="B245" s="2" t="s">
        <v>350</v>
      </c>
      <c r="C245" s="2" t="s">
        <v>300</v>
      </c>
      <c r="D245" s="2" t="s">
        <v>431</v>
      </c>
      <c r="E245" s="6">
        <v>2700</v>
      </c>
      <c r="F245" s="18">
        <v>533873.53</v>
      </c>
      <c r="G245" s="18">
        <v>166755.87</v>
      </c>
      <c r="H245" s="18">
        <f>3755.44+176593.68+19729.01+447172.65</f>
        <v>647250.78</v>
      </c>
      <c r="I245" s="18">
        <v>138860.07999999999</v>
      </c>
      <c r="J245" s="18">
        <v>7263.32</v>
      </c>
      <c r="K245" s="18">
        <v>1113.28</v>
      </c>
      <c r="L245" s="13">
        <f t="shared" si="4"/>
        <v>1495116.8600000003</v>
      </c>
      <c r="M245" s="8"/>
      <c r="N245" s="165"/>
    </row>
    <row r="246" spans="1:14" s="3" customFormat="1" ht="12.2" customHeight="1" x14ac:dyDescent="0.15">
      <c r="A246" s="1" t="s">
        <v>449</v>
      </c>
      <c r="B246" s="2" t="s">
        <v>350</v>
      </c>
      <c r="C246" s="2" t="s">
        <v>343</v>
      </c>
      <c r="D246" s="2" t="s">
        <v>431</v>
      </c>
      <c r="E246" s="6">
        <v>2800</v>
      </c>
      <c r="F246" s="18">
        <v>95253.45</v>
      </c>
      <c r="G246" s="18">
        <v>46933.19</v>
      </c>
      <c r="H246" s="18">
        <v>19533.34</v>
      </c>
      <c r="I246" s="18">
        <v>23101.77</v>
      </c>
      <c r="J246" s="18"/>
      <c r="K246" s="18">
        <v>65.86</v>
      </c>
      <c r="L246" s="13">
        <f>SUM(F246:K246)</f>
        <v>184887.61</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16971606.989999998</v>
      </c>
      <c r="G248" s="38">
        <f t="shared" si="5"/>
        <v>8279392.7800000021</v>
      </c>
      <c r="H248" s="38">
        <f t="shared" si="5"/>
        <v>5024240.71</v>
      </c>
      <c r="I248" s="38">
        <f t="shared" si="5"/>
        <v>1825836.9300000002</v>
      </c>
      <c r="J248" s="38">
        <f t="shared" si="5"/>
        <v>793142.53999999992</v>
      </c>
      <c r="K248" s="38">
        <f t="shared" si="5"/>
        <v>65434.61</v>
      </c>
      <c r="L248" s="38">
        <f t="shared" si="5"/>
        <v>32959654.560000002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f>61824.8+89125+3360.12</f>
        <v>154309.91999999998</v>
      </c>
      <c r="G252" s="18">
        <f>22358.24+29829.89+4622.98</f>
        <v>56811.11</v>
      </c>
      <c r="H252" s="18">
        <f>5130</f>
        <v>5130</v>
      </c>
      <c r="I252" s="18">
        <f>3137.23</f>
        <v>3137.23</v>
      </c>
      <c r="J252" s="18"/>
      <c r="K252" s="18"/>
      <c r="L252" s="13">
        <f t="shared" si="6"/>
        <v>219388.25999999998</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39358+19753.27+135645.54+255948.18</f>
        <v>450704.99</v>
      </c>
      <c r="I256" s="18"/>
      <c r="J256" s="18"/>
      <c r="K256" s="18"/>
      <c r="L256" s="13">
        <f t="shared" si="6"/>
        <v>450704.99</v>
      </c>
      <c r="M256" s="8"/>
      <c r="N256" s="165"/>
    </row>
    <row r="257" spans="1:14" s="3" customFormat="1" ht="12.2" customHeight="1" thickTop="1" thickBot="1" x14ac:dyDescent="0.2">
      <c r="A257" s="35" t="s">
        <v>461</v>
      </c>
      <c r="B257" s="37">
        <v>10</v>
      </c>
      <c r="C257" s="37">
        <v>7</v>
      </c>
      <c r="D257" s="36" t="s">
        <v>431</v>
      </c>
      <c r="E257" s="37"/>
      <c r="F257" s="38">
        <f t="shared" ref="F257:K257" si="7">SUM(F251:F256)</f>
        <v>154309.91999999998</v>
      </c>
      <c r="G257" s="38">
        <f t="shared" si="7"/>
        <v>56811.11</v>
      </c>
      <c r="H257" s="38">
        <f t="shared" si="7"/>
        <v>455834.99</v>
      </c>
      <c r="I257" s="38">
        <f t="shared" si="7"/>
        <v>3137.23</v>
      </c>
      <c r="J257" s="38">
        <f t="shared" si="7"/>
        <v>0</v>
      </c>
      <c r="K257" s="38">
        <f t="shared" si="7"/>
        <v>0</v>
      </c>
      <c r="L257" s="38">
        <f>SUM(F257:K257)</f>
        <v>670093.25</v>
      </c>
      <c r="M257" s="8"/>
      <c r="N257" s="165"/>
    </row>
    <row r="258" spans="1:14" s="3" customFormat="1" ht="12.2" customHeight="1" thickTop="1" x14ac:dyDescent="0.15">
      <c r="A258" s="35" t="s">
        <v>462</v>
      </c>
      <c r="B258" s="37">
        <v>10</v>
      </c>
      <c r="C258" s="37">
        <v>8</v>
      </c>
      <c r="D258" s="36" t="s">
        <v>431</v>
      </c>
      <c r="E258" s="37"/>
      <c r="F258" s="38">
        <f t="shared" ref="F258:L258" si="8">F212+F230+F248+F257</f>
        <v>47818090.619999997</v>
      </c>
      <c r="G258" s="38">
        <f t="shared" si="8"/>
        <v>23306664.84</v>
      </c>
      <c r="H258" s="38">
        <f t="shared" si="8"/>
        <v>10303334.01</v>
      </c>
      <c r="I258" s="38">
        <f t="shared" si="8"/>
        <v>4299103.9400000004</v>
      </c>
      <c r="J258" s="38">
        <f t="shared" si="8"/>
        <v>2222639.9299999997</v>
      </c>
      <c r="K258" s="38">
        <f t="shared" si="8"/>
        <v>121701.86</v>
      </c>
      <c r="L258" s="38">
        <f t="shared" si="8"/>
        <v>88071535.200000003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270000+3112700</f>
        <v>3382700</v>
      </c>
      <c r="L261" s="13">
        <f>SUM(F261:K261)</f>
        <v>3382700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65488.5+1062975</f>
        <v>1128463.5</v>
      </c>
      <c r="L262" s="13">
        <f>SUM(F262:K262)</f>
        <v>1128463.5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75757.01</f>
        <v>75757.009999999995</v>
      </c>
      <c r="L264" s="13">
        <f>SUM(F264:K264)</f>
        <v>75757.009999999995</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217459.23+426896.1+1700000+12893+653445</f>
        <v>3010693.33</v>
      </c>
      <c r="L267" s="13">
        <f t="shared" si="9"/>
        <v>3010693.33</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f>274282.01</f>
        <v>274282.01</v>
      </c>
      <c r="L269" s="13">
        <f t="shared" si="9"/>
        <v>274282.01</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7871895.8499999996</v>
      </c>
      <c r="L271" s="38">
        <f t="shared" si="9"/>
        <v>7871895.8499999996</v>
      </c>
      <c r="M271" s="8"/>
      <c r="N271" s="165"/>
    </row>
    <row r="272" spans="1:14" s="33" customFormat="1" ht="12.2" customHeight="1" thickTop="1" x14ac:dyDescent="0.2">
      <c r="A272" s="40" t="s">
        <v>464</v>
      </c>
      <c r="B272" s="37">
        <v>10</v>
      </c>
      <c r="C272" s="37">
        <v>18</v>
      </c>
      <c r="D272" s="36" t="s">
        <v>431</v>
      </c>
      <c r="E272" s="37"/>
      <c r="F272" s="39">
        <f t="shared" ref="F272:L272" si="11">F258+F271</f>
        <v>47818090.619999997</v>
      </c>
      <c r="G272" s="39">
        <f t="shared" si="11"/>
        <v>23306664.84</v>
      </c>
      <c r="H272" s="39">
        <f t="shared" si="11"/>
        <v>10303334.01</v>
      </c>
      <c r="I272" s="39">
        <f t="shared" si="11"/>
        <v>4299103.9400000004</v>
      </c>
      <c r="J272" s="39">
        <f t="shared" si="11"/>
        <v>2222639.9299999997</v>
      </c>
      <c r="K272" s="39">
        <f t="shared" si="11"/>
        <v>7993597.71</v>
      </c>
      <c r="L272" s="39">
        <f t="shared" si="11"/>
        <v>95943431.049999997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1255546.69</f>
        <v>1255546.69</v>
      </c>
      <c r="G277" s="18">
        <f>312103.65</f>
        <v>312103.65000000002</v>
      </c>
      <c r="H277" s="18">
        <f>8845+10474.09</f>
        <v>19319.09</v>
      </c>
      <c r="I277" s="18">
        <f>140398.33+208.8+7668.16+0.02+270</f>
        <v>148545.30999999997</v>
      </c>
      <c r="J277" s="18">
        <f>31501.35</f>
        <v>31501.35</v>
      </c>
      <c r="K277" s="18"/>
      <c r="L277" s="13">
        <f>SUM(F277:K277)</f>
        <v>1767016.09</v>
      </c>
      <c r="M277" s="8"/>
      <c r="N277" s="165"/>
    </row>
    <row r="278" spans="1:14" s="3" customFormat="1" ht="12.2" customHeight="1" x14ac:dyDescent="0.15">
      <c r="A278" s="1" t="s">
        <v>439</v>
      </c>
      <c r="B278" s="2" t="s">
        <v>357</v>
      </c>
      <c r="C278" s="2" t="s">
        <v>291</v>
      </c>
      <c r="D278" s="2" t="s">
        <v>431</v>
      </c>
      <c r="E278" s="6">
        <v>1200</v>
      </c>
      <c r="F278" s="18">
        <f>1108780.83+28520.65+69572.66+2393.15</f>
        <v>1209267.2899999998</v>
      </c>
      <c r="G278" s="18">
        <f>343212.86+10667.61+10557.68+183.08</f>
        <v>364621.23</v>
      </c>
      <c r="H278" s="18">
        <f>972+867.72+14060.11</f>
        <v>15899.83</v>
      </c>
      <c r="I278" s="18">
        <f>4771.9+952.38</f>
        <v>5724.28</v>
      </c>
      <c r="J278" s="18">
        <f>923.81</f>
        <v>923.81</v>
      </c>
      <c r="K278" s="18"/>
      <c r="L278" s="13">
        <f>SUM(F278:K278)</f>
        <v>1596436.44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6217.44+150469.66+98215.49+1048.42</f>
        <v>255951.01000000004</v>
      </c>
      <c r="G280" s="18">
        <f>1674.36+27425.58+9762.73+406.91</f>
        <v>39269.58</v>
      </c>
      <c r="H280" s="18">
        <f>175+893.43</f>
        <v>1068.4299999999998</v>
      </c>
      <c r="I280" s="18">
        <f>26757.25+36249.79+4240.89+7093.87</f>
        <v>74341.8</v>
      </c>
      <c r="J280" s="18"/>
      <c r="K280" s="18">
        <f>217.69</f>
        <v>217.69</v>
      </c>
      <c r="L280" s="13">
        <f>SUM(F280:K280)</f>
        <v>370848.51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1894+231503.38+22480.75+79188.34</f>
        <v>335066.46999999997</v>
      </c>
      <c r="G282" s="18">
        <f>411.2+70036.59+3581.32+23066.23</f>
        <v>97095.34</v>
      </c>
      <c r="H282" s="18">
        <f>29778.95+184.38+13108.68</f>
        <v>43072.01</v>
      </c>
      <c r="I282" s="18">
        <f>227.37+67+8498.5+9767.96</f>
        <v>18560.830000000002</v>
      </c>
      <c r="J282" s="18"/>
      <c r="K282" s="18"/>
      <c r="L282" s="13">
        <f t="shared" ref="L282:L288" si="12">SUM(F282:K282)</f>
        <v>493794.64999999997</v>
      </c>
      <c r="M282" s="8"/>
      <c r="N282" s="165"/>
    </row>
    <row r="283" spans="1:14" s="3" customFormat="1" ht="12.2" customHeight="1" x14ac:dyDescent="0.15">
      <c r="A283" s="1" t="s">
        <v>443</v>
      </c>
      <c r="B283" s="2" t="s">
        <v>357</v>
      </c>
      <c r="C283" s="2" t="s">
        <v>295</v>
      </c>
      <c r="D283" s="2" t="s">
        <v>431</v>
      </c>
      <c r="E283" s="6">
        <v>2200</v>
      </c>
      <c r="F283" s="18">
        <f>4031+32852.51</f>
        <v>36883.51</v>
      </c>
      <c r="G283" s="18">
        <f>1114.11+26018.56</f>
        <v>27132.670000000002</v>
      </c>
      <c r="H283" s="18">
        <f>1280+8100+3200.12+32835+95351.29</f>
        <v>140766.40999999997</v>
      </c>
      <c r="I283" s="18">
        <f>-185.77+11378.07+81959.54</f>
        <v>93151.84</v>
      </c>
      <c r="J283" s="18"/>
      <c r="K283" s="18"/>
      <c r="L283" s="13">
        <f t="shared" si="12"/>
        <v>297934.42999999993</v>
      </c>
      <c r="M283" s="8"/>
      <c r="N283" s="165"/>
    </row>
    <row r="284" spans="1:14" s="3" customFormat="1" ht="12.2" customHeight="1" x14ac:dyDescent="0.15">
      <c r="A284" s="1" t="s">
        <v>444</v>
      </c>
      <c r="B284" s="2" t="s">
        <v>357</v>
      </c>
      <c r="C284" s="2" t="s">
        <v>296</v>
      </c>
      <c r="D284" s="2" t="s">
        <v>431</v>
      </c>
      <c r="E284" s="6">
        <v>2300</v>
      </c>
      <c r="F284" s="18">
        <f>7954.76+57609.89</f>
        <v>65564.649999999994</v>
      </c>
      <c r="G284" s="18">
        <f>1014.75+23575.8</f>
        <v>24590.55</v>
      </c>
      <c r="H284" s="18">
        <f>18603.25+2640.12</f>
        <v>21243.37</v>
      </c>
      <c r="I284" s="18">
        <f>294316.34+77.59</f>
        <v>294393.93000000005</v>
      </c>
      <c r="J284" s="18">
        <f>13791.94</f>
        <v>13791.94</v>
      </c>
      <c r="K284" s="18"/>
      <c r="L284" s="13">
        <f t="shared" si="12"/>
        <v>419584.44000000006</v>
      </c>
      <c r="M284" s="8"/>
      <c r="N284" s="165"/>
    </row>
    <row r="285" spans="1:14" s="3" customFormat="1" ht="12.2" customHeight="1" x14ac:dyDescent="0.15">
      <c r="A285" s="1" t="s">
        <v>445</v>
      </c>
      <c r="B285" s="2" t="s">
        <v>357</v>
      </c>
      <c r="C285" s="2" t="s">
        <v>297</v>
      </c>
      <c r="D285" s="2" t="s">
        <v>431</v>
      </c>
      <c r="E285" s="6">
        <v>2400</v>
      </c>
      <c r="F285" s="18">
        <f>2195.4</f>
        <v>2195.4</v>
      </c>
      <c r="G285" s="18">
        <f>594.02</f>
        <v>594.02</v>
      </c>
      <c r="H285" s="18"/>
      <c r="I285" s="18">
        <f>883.73</f>
        <v>883.73</v>
      </c>
      <c r="J285" s="18"/>
      <c r="K285" s="18"/>
      <c r="L285" s="13">
        <f t="shared" si="12"/>
        <v>3673.15</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f>47145+3545150</f>
        <v>3592295</v>
      </c>
      <c r="I287" s="18"/>
      <c r="J287" s="18"/>
      <c r="K287" s="18"/>
      <c r="L287" s="13">
        <f t="shared" si="12"/>
        <v>3592295</v>
      </c>
      <c r="M287" s="8"/>
      <c r="N287" s="165"/>
    </row>
    <row r="288" spans="1:14" s="3" customFormat="1" ht="12.2" customHeight="1" x14ac:dyDescent="0.15">
      <c r="A288" s="1" t="s">
        <v>448</v>
      </c>
      <c r="B288" s="2" t="s">
        <v>357</v>
      </c>
      <c r="C288" s="2" t="s">
        <v>300</v>
      </c>
      <c r="D288" s="2" t="s">
        <v>431</v>
      </c>
      <c r="E288" s="6">
        <v>2700</v>
      </c>
      <c r="F288" s="18"/>
      <c r="G288" s="18"/>
      <c r="H288" s="18">
        <f>-4983.24+39360.36</f>
        <v>34377.120000000003</v>
      </c>
      <c r="I288" s="18"/>
      <c r="J288" s="18"/>
      <c r="K288" s="18"/>
      <c r="L288" s="13">
        <f t="shared" si="12"/>
        <v>34377.120000000003</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3160475.0199999996</v>
      </c>
      <c r="G291" s="39">
        <f t="shared" si="13"/>
        <v>865407.04</v>
      </c>
      <c r="H291" s="39">
        <f t="shared" si="13"/>
        <v>3868041.2600000002</v>
      </c>
      <c r="I291" s="39">
        <f t="shared" si="13"/>
        <v>635601.72</v>
      </c>
      <c r="J291" s="39">
        <f t="shared" si="13"/>
        <v>46217.1</v>
      </c>
      <c r="K291" s="39">
        <f t="shared" si="13"/>
        <v>217.69</v>
      </c>
      <c r="L291" s="38">
        <f t="shared" si="13"/>
        <v>8575959.8300000001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105439</f>
        <v>105439</v>
      </c>
      <c r="G296" s="18">
        <f>46908.24</f>
        <v>46908.24</v>
      </c>
      <c r="H296" s="18">
        <f>4800.23</f>
        <v>4800.2299999999996</v>
      </c>
      <c r="I296" s="18">
        <f>7922.98+3514.28</f>
        <v>11437.26</v>
      </c>
      <c r="J296" s="18">
        <f>4624.22</f>
        <v>4624.22</v>
      </c>
      <c r="K296" s="18"/>
      <c r="L296" s="13">
        <f>SUM(F296:K296)</f>
        <v>173208.95</v>
      </c>
      <c r="M296" s="8"/>
      <c r="N296" s="165"/>
    </row>
    <row r="297" spans="1:14" s="3" customFormat="1" ht="12.2" customHeight="1" x14ac:dyDescent="0.15">
      <c r="A297" s="1" t="s">
        <v>439</v>
      </c>
      <c r="B297" s="2" t="s">
        <v>358</v>
      </c>
      <c r="C297" s="2" t="s">
        <v>291</v>
      </c>
      <c r="D297" s="2" t="s">
        <v>431</v>
      </c>
      <c r="E297" s="6">
        <v>1200</v>
      </c>
      <c r="F297" s="18">
        <f>163371+1288.11</f>
        <v>164659.10999999999</v>
      </c>
      <c r="G297" s="18">
        <f>68950.98+98.54</f>
        <v>69049.51999999999</v>
      </c>
      <c r="H297" s="18">
        <f>7567.85</f>
        <v>7567.85</v>
      </c>
      <c r="I297" s="18">
        <f>512.62</f>
        <v>512.62</v>
      </c>
      <c r="J297" s="18"/>
      <c r="K297" s="18"/>
      <c r="L297" s="13">
        <f>SUM(F297:K297)</f>
        <v>241789.09999999998</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f>55049.9+480.49</f>
        <v>55530.39</v>
      </c>
      <c r="G299" s="18">
        <f>12019.88+186.49</f>
        <v>12206.369999999999</v>
      </c>
      <c r="H299" s="18">
        <f>183.96+409.46</f>
        <v>593.41999999999996</v>
      </c>
      <c r="I299" s="18">
        <f>1155+6295.49+3251.1</f>
        <v>10701.59</v>
      </c>
      <c r="J299" s="18"/>
      <c r="K299" s="18"/>
      <c r="L299" s="13">
        <f>SUM(F299:K299)</f>
        <v>79031.76999999999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39715.33+80800+36291.67</f>
        <v>156807</v>
      </c>
      <c r="G301" s="18">
        <f>13381.86+44525.37+10571.15</f>
        <v>68478.38</v>
      </c>
      <c r="H301" s="18">
        <f>535.77+5815.36+6007.65</f>
        <v>12358.779999999999</v>
      </c>
      <c r="I301" s="18">
        <f>4476.61</f>
        <v>4476.6099999999997</v>
      </c>
      <c r="J301" s="18"/>
      <c r="K301" s="18"/>
      <c r="L301" s="13">
        <f t="shared" ref="L301:L307" si="14">SUM(F301:K301)</f>
        <v>242120.77</v>
      </c>
      <c r="M301" s="8"/>
      <c r="N301" s="165"/>
    </row>
    <row r="302" spans="1:14" s="3" customFormat="1" ht="12.2" customHeight="1" x14ac:dyDescent="0.15">
      <c r="A302" s="1" t="s">
        <v>443</v>
      </c>
      <c r="B302" s="2" t="s">
        <v>358</v>
      </c>
      <c r="C302" s="2" t="s">
        <v>295</v>
      </c>
      <c r="D302" s="2" t="s">
        <v>431</v>
      </c>
      <c r="E302" s="6">
        <v>2200</v>
      </c>
      <c r="F302" s="18">
        <f>1350+4193.75+10837.14</f>
        <v>16380.89</v>
      </c>
      <c r="G302" s="18">
        <f>386.49+1200.37+8582.81</f>
        <v>10169.67</v>
      </c>
      <c r="H302" s="18">
        <f>47657.08+1747+31453.77</f>
        <v>80857.850000000006</v>
      </c>
      <c r="I302" s="18">
        <f>478.32+27036.2</f>
        <v>27514.52</v>
      </c>
      <c r="J302" s="18"/>
      <c r="K302" s="18"/>
      <c r="L302" s="13">
        <f t="shared" si="14"/>
        <v>134922.93</v>
      </c>
      <c r="M302" s="8"/>
      <c r="N302" s="165"/>
    </row>
    <row r="303" spans="1:14" s="3" customFormat="1" ht="12.2" customHeight="1" x14ac:dyDescent="0.15">
      <c r="A303" s="1" t="s">
        <v>444</v>
      </c>
      <c r="B303" s="2" t="s">
        <v>358</v>
      </c>
      <c r="C303" s="2" t="s">
        <v>296</v>
      </c>
      <c r="D303" s="2" t="s">
        <v>431</v>
      </c>
      <c r="E303" s="6">
        <v>2300</v>
      </c>
      <c r="F303" s="18">
        <f>1595+26402.35</f>
        <v>27997.35</v>
      </c>
      <c r="G303" s="18">
        <f>346.27+10804.69</f>
        <v>11150.960000000001</v>
      </c>
      <c r="H303" s="18">
        <f>1209.96</f>
        <v>1209.96</v>
      </c>
      <c r="I303" s="18">
        <f>35.55</f>
        <v>35.549999999999997</v>
      </c>
      <c r="J303" s="18"/>
      <c r="K303" s="18"/>
      <c r="L303" s="13">
        <f t="shared" si="14"/>
        <v>40393.82</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f>29688.93+8525.79</f>
        <v>38214.720000000001</v>
      </c>
      <c r="I306" s="18">
        <f>2650+134883.88</f>
        <v>137533.88</v>
      </c>
      <c r="J306" s="18">
        <f>6320.78</f>
        <v>6320.78</v>
      </c>
      <c r="K306" s="18"/>
      <c r="L306" s="13">
        <f t="shared" si="14"/>
        <v>182069.38</v>
      </c>
      <c r="M306" s="8"/>
      <c r="N306" s="165"/>
    </row>
    <row r="307" spans="1:14" s="3" customFormat="1" ht="12.2" customHeight="1" x14ac:dyDescent="0.15">
      <c r="A307" s="1" t="s">
        <v>448</v>
      </c>
      <c r="B307" s="2" t="s">
        <v>358</v>
      </c>
      <c r="C307" s="2" t="s">
        <v>300</v>
      </c>
      <c r="D307" s="2" t="s">
        <v>431</v>
      </c>
      <c r="E307" s="6">
        <v>2700</v>
      </c>
      <c r="F307" s="18"/>
      <c r="G307" s="18"/>
      <c r="H307" s="18">
        <f>27149.39+137153.61</f>
        <v>164303</v>
      </c>
      <c r="I307" s="18"/>
      <c r="J307" s="18"/>
      <c r="K307" s="18"/>
      <c r="L307" s="13">
        <f t="shared" si="14"/>
        <v>164303</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526813.74</v>
      </c>
      <c r="G310" s="39">
        <f t="shared" si="15"/>
        <v>217963.13999999998</v>
      </c>
      <c r="H310" s="39">
        <f t="shared" si="15"/>
        <v>309905.81</v>
      </c>
      <c r="I310" s="39">
        <f t="shared" si="15"/>
        <v>192212.03000000003</v>
      </c>
      <c r="J310" s="39">
        <f t="shared" si="15"/>
        <v>10945</v>
      </c>
      <c r="K310" s="39">
        <f t="shared" si="15"/>
        <v>0</v>
      </c>
      <c r="L310" s="38">
        <f t="shared" si="15"/>
        <v>1257839.72</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74181+71583</f>
        <v>145764</v>
      </c>
      <c r="G315" s="18">
        <f>30420.77+45951.77</f>
        <v>76372.539999999994</v>
      </c>
      <c r="H315" s="18">
        <f>1463.93+8465.68</f>
        <v>9929.61</v>
      </c>
      <c r="I315" s="18">
        <f>4005.99+6197.79</f>
        <v>10203.779999999999</v>
      </c>
      <c r="J315" s="18">
        <f>12145.11+2000</f>
        <v>14145.11</v>
      </c>
      <c r="K315" s="18"/>
      <c r="L315" s="13">
        <f>SUM(F315:K315)</f>
        <v>256415.03999999998</v>
      </c>
      <c r="M315" s="8"/>
      <c r="N315" s="165"/>
    </row>
    <row r="316" spans="1:14" s="3" customFormat="1" ht="12.2" customHeight="1" x14ac:dyDescent="0.15">
      <c r="A316" s="1" t="s">
        <v>439</v>
      </c>
      <c r="B316" s="2" t="s">
        <v>359</v>
      </c>
      <c r="C316" s="2" t="s">
        <v>291</v>
      </c>
      <c r="D316" s="2" t="s">
        <v>431</v>
      </c>
      <c r="E316" s="6">
        <v>1200</v>
      </c>
      <c r="F316" s="18">
        <f>2321.12</f>
        <v>2321.12</v>
      </c>
      <c r="G316" s="18">
        <f>177.56</f>
        <v>177.56</v>
      </c>
      <c r="H316" s="18">
        <f>13636.94</f>
        <v>13636.94</v>
      </c>
      <c r="I316" s="18">
        <f>18039.91+3690.05+923.72</f>
        <v>22653.68</v>
      </c>
      <c r="J316" s="18">
        <f>69344.94</f>
        <v>69344.94</v>
      </c>
      <c r="K316" s="18"/>
      <c r="L316" s="13">
        <f>SUM(F316:K316)</f>
        <v>108134.24</v>
      </c>
      <c r="M316" s="8"/>
      <c r="N316" s="165"/>
    </row>
    <row r="317" spans="1:14" s="3" customFormat="1" ht="12.2" customHeight="1" x14ac:dyDescent="0.15">
      <c r="A317" s="1" t="s">
        <v>440</v>
      </c>
      <c r="B317" s="2" t="s">
        <v>359</v>
      </c>
      <c r="C317" s="2" t="s">
        <v>292</v>
      </c>
      <c r="D317" s="2" t="s">
        <v>431</v>
      </c>
      <c r="E317" s="6">
        <v>1300</v>
      </c>
      <c r="F317" s="18">
        <f>25450+2250+765+600+3156.25+4716.61+8120+29623.33+4850</f>
        <v>79531.19</v>
      </c>
      <c r="G317" s="18">
        <f>5034.43+172.14+58.52+45.9+241.48+3051.79+621.2+14506.43+371.02</f>
        <v>24102.91</v>
      </c>
      <c r="H317" s="18">
        <f>8517.13+12875+505.5+15098.61+1260+889.87</f>
        <v>39146.11</v>
      </c>
      <c r="I317" s="18">
        <f>1000+1802.76+8274.81+4376+4628.67+3640+8474.48+6742.04+4158.95+23947.83+1192.2+26102.05+2632.69</f>
        <v>96972.479999999996</v>
      </c>
      <c r="J317" s="18">
        <f>23020.78</f>
        <v>23020.78</v>
      </c>
      <c r="K317" s="18"/>
      <c r="L317" s="13">
        <f>SUM(F317:K317)</f>
        <v>262773.46999999997</v>
      </c>
      <c r="M317" s="8"/>
      <c r="N317" s="165"/>
    </row>
    <row r="318" spans="1:14" s="3" customFormat="1" ht="12.2" customHeight="1" x14ac:dyDescent="0.15">
      <c r="A318" s="1" t="s">
        <v>441</v>
      </c>
      <c r="B318" s="2" t="s">
        <v>359</v>
      </c>
      <c r="C318" s="2" t="s">
        <v>293</v>
      </c>
      <c r="D318" s="2" t="s">
        <v>431</v>
      </c>
      <c r="E318" s="6">
        <v>1400</v>
      </c>
      <c r="F318" s="18">
        <f>847.39</f>
        <v>847.39</v>
      </c>
      <c r="G318" s="18">
        <f>328.89</f>
        <v>328.89</v>
      </c>
      <c r="H318" s="18">
        <f>722.12</f>
        <v>722.12</v>
      </c>
      <c r="I318" s="18">
        <f>438.8+5733.64</f>
        <v>6172.4400000000005</v>
      </c>
      <c r="J318" s="18"/>
      <c r="K318" s="18"/>
      <c r="L318" s="13">
        <f>SUM(F318:K318)</f>
        <v>8070.84</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13531.5+64004</f>
        <v>77535.5</v>
      </c>
      <c r="G320" s="18">
        <f>1035.18+18643.28</f>
        <v>19678.46</v>
      </c>
      <c r="H320" s="18">
        <f>68269.93+10595.09</f>
        <v>78865.01999999999</v>
      </c>
      <c r="I320" s="18">
        <f>7894.96</f>
        <v>7894.96</v>
      </c>
      <c r="J320" s="18"/>
      <c r="K320" s="18"/>
      <c r="L320" s="13">
        <f t="shared" ref="L320:L326" si="16">SUM(F320:K320)</f>
        <v>183973.93999999997</v>
      </c>
      <c r="M320" s="8"/>
      <c r="N320" s="165"/>
    </row>
    <row r="321" spans="1:14" s="3" customFormat="1" ht="12.2" customHeight="1" x14ac:dyDescent="0.15">
      <c r="A321" s="1" t="s">
        <v>443</v>
      </c>
      <c r="B321" s="2" t="s">
        <v>359</v>
      </c>
      <c r="C321" s="2" t="s">
        <v>295</v>
      </c>
      <c r="D321" s="2" t="s">
        <v>431</v>
      </c>
      <c r="E321" s="6">
        <v>2200</v>
      </c>
      <c r="F321" s="18">
        <f>4035+2675+21534.44+14405+16150.99</f>
        <v>58800.43</v>
      </c>
      <c r="G321" s="18">
        <f>491.29+761.39+1647.37+10124.72+12791.27</f>
        <v>25816.04</v>
      </c>
      <c r="H321" s="18">
        <f>14348.18+8640.57+20228.46+13650.52+46876.71</f>
        <v>103744.44</v>
      </c>
      <c r="I321" s="18">
        <f>9618.33+40293.04</f>
        <v>49911.37</v>
      </c>
      <c r="J321" s="18"/>
      <c r="K321" s="18"/>
      <c r="L321" s="13">
        <f t="shared" si="16"/>
        <v>238272.28</v>
      </c>
      <c r="M321" s="8"/>
      <c r="N321" s="165"/>
    </row>
    <row r="322" spans="1:14" s="3" customFormat="1" ht="12.2" customHeight="1" x14ac:dyDescent="0.15">
      <c r="A322" s="1" t="s">
        <v>444</v>
      </c>
      <c r="B322" s="2" t="s">
        <v>359</v>
      </c>
      <c r="C322" s="2" t="s">
        <v>296</v>
      </c>
      <c r="D322" s="2" t="s">
        <v>431</v>
      </c>
      <c r="E322" s="6">
        <v>2300</v>
      </c>
      <c r="F322" s="18">
        <f>46563.2</f>
        <v>46563.199999999997</v>
      </c>
      <c r="G322" s="18">
        <f>19055.15</f>
        <v>19055.150000000001</v>
      </c>
      <c r="H322" s="18">
        <f>2133.88</f>
        <v>2133.88</v>
      </c>
      <c r="I322" s="18">
        <f>62.7</f>
        <v>62.7</v>
      </c>
      <c r="J322" s="18"/>
      <c r="K322" s="18"/>
      <c r="L322" s="13">
        <f t="shared" si="16"/>
        <v>67814.930000000008</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f>2680+15036.08</f>
        <v>17716.080000000002</v>
      </c>
      <c r="I325" s="18">
        <f>237881.26</f>
        <v>237881.26</v>
      </c>
      <c r="J325" s="18">
        <f>11147.34</f>
        <v>11147.34</v>
      </c>
      <c r="K325" s="18"/>
      <c r="L325" s="13">
        <f t="shared" si="16"/>
        <v>266744.68000000005</v>
      </c>
      <c r="M325" s="8"/>
      <c r="N325" s="165"/>
    </row>
    <row r="326" spans="1:14" s="3" customFormat="1" ht="12.2" customHeight="1" x14ac:dyDescent="0.15">
      <c r="A326" s="1" t="s">
        <v>448</v>
      </c>
      <c r="B326" s="2" t="s">
        <v>359</v>
      </c>
      <c r="C326" s="2" t="s">
        <v>300</v>
      </c>
      <c r="D326" s="2" t="s">
        <v>431</v>
      </c>
      <c r="E326" s="6">
        <v>2700</v>
      </c>
      <c r="F326" s="18"/>
      <c r="G326" s="18"/>
      <c r="H326" s="18">
        <f>8410.2+19805.86</f>
        <v>28216.06</v>
      </c>
      <c r="I326" s="18"/>
      <c r="J326" s="18"/>
      <c r="K326" s="18"/>
      <c r="L326" s="13">
        <f t="shared" si="16"/>
        <v>28216.06</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411362.83</v>
      </c>
      <c r="G329" s="39">
        <f t="shared" si="17"/>
        <v>165531.54999999999</v>
      </c>
      <c r="H329" s="39">
        <f t="shared" si="17"/>
        <v>294110.26</v>
      </c>
      <c r="I329" s="39">
        <f t="shared" si="17"/>
        <v>431752.67000000004</v>
      </c>
      <c r="J329" s="39">
        <f t="shared" si="17"/>
        <v>117658.17</v>
      </c>
      <c r="K329" s="39">
        <f t="shared" si="17"/>
        <v>0</v>
      </c>
      <c r="L329" s="38">
        <f t="shared" si="17"/>
        <v>1420415.48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f>20673.56</f>
        <v>20673.560000000001</v>
      </c>
      <c r="I333" s="18">
        <f>19715.71</f>
        <v>19715.71</v>
      </c>
      <c r="J333" s="18"/>
      <c r="K333" s="18"/>
      <c r="L333" s="13">
        <f t="shared" ref="L333:L338" si="18">SUM(F333:K333)</f>
        <v>40389.270000000004</v>
      </c>
      <c r="M333" s="8"/>
      <c r="N333" s="165"/>
    </row>
    <row r="334" spans="1:14" s="3" customFormat="1" ht="12.2" customHeight="1" x14ac:dyDescent="0.15">
      <c r="A334" s="1" t="s">
        <v>353</v>
      </c>
      <c r="B334" s="6">
        <v>14</v>
      </c>
      <c r="C334" s="2" t="s">
        <v>309</v>
      </c>
      <c r="D334" s="2" t="s">
        <v>431</v>
      </c>
      <c r="E334" s="6">
        <v>1600</v>
      </c>
      <c r="F334" s="18"/>
      <c r="G334" s="18"/>
      <c r="H334" s="18">
        <f>5488.07</f>
        <v>5488.07</v>
      </c>
      <c r="I334" s="18"/>
      <c r="J334" s="18"/>
      <c r="K334" s="18"/>
      <c r="L334" s="13">
        <f t="shared" si="18"/>
        <v>5488.07</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f>104795.56</f>
        <v>104795.56</v>
      </c>
      <c r="I337" s="18"/>
      <c r="J337" s="18"/>
      <c r="K337" s="18"/>
      <c r="L337" s="13">
        <f t="shared" si="18"/>
        <v>104795.56</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130957.19</v>
      </c>
      <c r="I338" s="38">
        <f t="shared" si="19"/>
        <v>19715.71</v>
      </c>
      <c r="J338" s="38">
        <f t="shared" si="19"/>
        <v>0</v>
      </c>
      <c r="K338" s="38">
        <f t="shared" si="19"/>
        <v>0</v>
      </c>
      <c r="L338" s="38">
        <f t="shared" si="18"/>
        <v>150672.9</v>
      </c>
      <c r="M338" s="8"/>
      <c r="N338" s="165"/>
    </row>
    <row r="339" spans="1:43" s="3" customFormat="1" ht="12.2" customHeight="1" thickTop="1" x14ac:dyDescent="0.15">
      <c r="A339" s="35" t="s">
        <v>468</v>
      </c>
      <c r="B339" s="37">
        <v>14</v>
      </c>
      <c r="C339" s="37">
        <v>7</v>
      </c>
      <c r="D339" s="36" t="s">
        <v>431</v>
      </c>
      <c r="E339" s="37"/>
      <c r="F339" s="38">
        <f t="shared" ref="F339:L339" si="20">F291+F310+F329+F338</f>
        <v>4098651.59</v>
      </c>
      <c r="G339" s="38">
        <f t="shared" si="20"/>
        <v>1248901.73</v>
      </c>
      <c r="H339" s="38">
        <f t="shared" si="20"/>
        <v>4603014.5200000005</v>
      </c>
      <c r="I339" s="38">
        <f t="shared" si="20"/>
        <v>1279282.1299999999</v>
      </c>
      <c r="J339" s="38">
        <f t="shared" si="20"/>
        <v>174820.27</v>
      </c>
      <c r="K339" s="38">
        <f t="shared" si="20"/>
        <v>217.69</v>
      </c>
      <c r="L339" s="38">
        <f t="shared" si="20"/>
        <v>11404887.930000002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f>9790.41+254959.75</f>
        <v>264750.15999999997</v>
      </c>
      <c r="L345" s="13">
        <f t="shared" ref="L345:L351" si="21">SUM(F345:K345)</f>
        <v>264750.15999999997</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264750.15999999997</v>
      </c>
      <c r="L352" s="38">
        <f>SUM(L342:L351)</f>
        <v>264750.15999999997</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4098651.59</v>
      </c>
      <c r="G353" s="38">
        <f>G339</f>
        <v>1248901.73</v>
      </c>
      <c r="H353" s="38">
        <f>H339</f>
        <v>4603014.5200000005</v>
      </c>
      <c r="I353" s="38">
        <f>I339</f>
        <v>1279282.1299999999</v>
      </c>
      <c r="J353" s="38">
        <f>J339</f>
        <v>174820.27</v>
      </c>
      <c r="K353" s="38">
        <f>K339+K352</f>
        <v>264967.84999999998</v>
      </c>
      <c r="L353" s="38">
        <f>L339+L352</f>
        <v>11669638.090000002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267895.8+3081.82+57239.26</f>
        <v>328216.88</v>
      </c>
      <c r="G359" s="18">
        <f>64909.52+235.75+28801.21</f>
        <v>93946.48</v>
      </c>
      <c r="H359" s="18">
        <f>11352.25+9906.72</f>
        <v>21258.97</v>
      </c>
      <c r="I359" s="18">
        <f>50413.76+617325.19</f>
        <v>667738.94999999995</v>
      </c>
      <c r="J359" s="18">
        <f>3304.14</f>
        <v>3304.14</v>
      </c>
      <c r="K359" s="18">
        <f>1624.25</f>
        <v>1624.25</v>
      </c>
      <c r="L359" s="13">
        <f>SUM(F359:K359)</f>
        <v>1116089.6699999997</v>
      </c>
      <c r="M359" s="8"/>
      <c r="N359" s="165"/>
    </row>
    <row r="360" spans="1:22" s="3" customFormat="1" ht="12.2" customHeight="1" x14ac:dyDescent="0.15">
      <c r="A360" s="1" t="s">
        <v>542</v>
      </c>
      <c r="B360" s="2" t="s">
        <v>366</v>
      </c>
      <c r="C360" s="6">
        <v>2</v>
      </c>
      <c r="D360" s="2" t="s">
        <v>431</v>
      </c>
      <c r="E360" s="6"/>
      <c r="F360" s="18">
        <f>92521.4+26232.5</f>
        <v>118753.9</v>
      </c>
      <c r="G360" s="18">
        <f>20840.45+13199.46</f>
        <v>34039.910000000003</v>
      </c>
      <c r="H360" s="18">
        <f>2933.5+4540.2</f>
        <v>7473.7</v>
      </c>
      <c r="I360" s="18">
        <f>273126+23104.4</f>
        <v>296230.40000000002</v>
      </c>
      <c r="J360" s="18">
        <f>1514.28</f>
        <v>1514.28</v>
      </c>
      <c r="K360" s="18">
        <f>744.38</f>
        <v>744.38</v>
      </c>
      <c r="L360" s="13">
        <f>SUM(F360:K360)</f>
        <v>458756.57000000007</v>
      </c>
      <c r="M360" s="8"/>
      <c r="N360" s="165"/>
    </row>
    <row r="361" spans="1:22" s="3" customFormat="1" ht="12.2" customHeight="1" x14ac:dyDescent="0.15">
      <c r="A361" s="3" t="s">
        <v>543</v>
      </c>
      <c r="B361" s="2" t="s">
        <v>366</v>
      </c>
      <c r="C361" s="6">
        <v>3</v>
      </c>
      <c r="D361" s="2" t="s">
        <v>431</v>
      </c>
      <c r="E361" s="6"/>
      <c r="F361" s="18">
        <f>160327.65+46265.65</f>
        <v>206593.3</v>
      </c>
      <c r="G361" s="18">
        <f>37220.14+23278.58</f>
        <v>60498.720000000001</v>
      </c>
      <c r="H361" s="18">
        <f>13496.7+8007.11</f>
        <v>21503.81</v>
      </c>
      <c r="I361" s="18">
        <f>388722.08+40746.93</f>
        <v>429469.01</v>
      </c>
      <c r="J361" s="18">
        <f>2670.58+11480</f>
        <v>14150.58</v>
      </c>
      <c r="K361" s="18">
        <f>1312.79</f>
        <v>1312.79</v>
      </c>
      <c r="L361" s="13">
        <f>SUM(F361:K361)</f>
        <v>733528.21000000008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653564.08000000007</v>
      </c>
      <c r="G363" s="38">
        <f t="shared" si="22"/>
        <v>188485.11</v>
      </c>
      <c r="H363" s="38">
        <f t="shared" si="22"/>
        <v>50236.480000000003</v>
      </c>
      <c r="I363" s="38">
        <f t="shared" si="22"/>
        <v>1393438.3599999999</v>
      </c>
      <c r="J363" s="38">
        <f t="shared" si="22"/>
        <v>18969</v>
      </c>
      <c r="K363" s="38">
        <f t="shared" si="22"/>
        <v>3681.42</v>
      </c>
      <c r="L363" s="38">
        <f t="shared" si="22"/>
        <v>2308374.4499999997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325956.65+46136.12+1251.8+55112.72+9891+18184.6+25858.88+24612.73+23166.48+26627.76+37845.61</f>
        <v>594644.35</v>
      </c>
      <c r="G368" s="18">
        <f>147071.34+32187.58+18136.68+20495.5+23934.07+17344.47</f>
        <v>259169.63999999998</v>
      </c>
      <c r="H368" s="18">
        <f>192047.77+21737.19+11085.84+13526.47+39230+76682.25+9070.06+30588.72</f>
        <v>393968.30000000005</v>
      </c>
      <c r="I368" s="13">
        <f>SUM(F368:H368)</f>
        <v>1247782.29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60526.45+12568.15</f>
        <v>73094.599999999991</v>
      </c>
      <c r="G369" s="53">
        <f>31300.83+5759.93</f>
        <v>37060.76</v>
      </c>
      <c r="H369" s="53">
        <f>25342.5+10158.21</f>
        <v>35500.71</v>
      </c>
      <c r="I369" s="13">
        <f>SUM(F369:H369)</f>
        <v>145656.06999999998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667738.94999999995</v>
      </c>
      <c r="G370" s="38">
        <f>SUM(G368:G369)</f>
        <v>296230.39999999997</v>
      </c>
      <c r="H370" s="38">
        <f>SUM(H368:H369)</f>
        <v>429469.01000000007</v>
      </c>
      <c r="I370" s="38">
        <f>SUM(I368:I369)</f>
        <v>1393438.36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f>24642.25-125.23</f>
        <v>24517.02</v>
      </c>
      <c r="I381" s="18">
        <f>3711.02+2095.48-0.52+1380.63+5971.4+9033.06</f>
        <v>22191.07</v>
      </c>
      <c r="J381" s="18">
        <f>6400+3268.59+58272+1668.87+36812.65</f>
        <v>106422.10999999999</v>
      </c>
      <c r="K381" s="18">
        <f>1325.74</f>
        <v>1325.74</v>
      </c>
      <c r="L381" s="13">
        <f t="shared" si="23"/>
        <v>154455.93999999997</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0.21</v>
      </c>
      <c r="L382" s="13">
        <f t="shared" si="23"/>
        <v>0.21</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24517.02</v>
      </c>
      <c r="I383" s="38">
        <f t="shared" si="24"/>
        <v>22191.07</v>
      </c>
      <c r="J383" s="38">
        <f t="shared" si="24"/>
        <v>106422.10999999999</v>
      </c>
      <c r="K383" s="38">
        <f t="shared" si="24"/>
        <v>1325.95</v>
      </c>
      <c r="L383" s="38">
        <f t="shared" si="24"/>
        <v>154456.14999999997</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f>3010693.33+1325.74</f>
        <v>3012019.0700000003</v>
      </c>
      <c r="H401" s="18">
        <f>92104.25+7301.95</f>
        <v>99406.2</v>
      </c>
      <c r="I401" s="18">
        <f>42532.92</f>
        <v>42532.92</v>
      </c>
      <c r="J401" s="23" t="s">
        <v>288</v>
      </c>
      <c r="K401" s="23" t="s">
        <v>288</v>
      </c>
      <c r="L401" s="13">
        <f t="shared" si="26"/>
        <v>3153958.1900000004</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3012019.0700000003</v>
      </c>
      <c r="H402" s="38">
        <f>SUM(H396:H401)</f>
        <v>99406.2</v>
      </c>
      <c r="I402" s="38">
        <f>SUM(I396:I401)</f>
        <v>42532.92</v>
      </c>
      <c r="J402" s="42" t="s">
        <v>288</v>
      </c>
      <c r="K402" s="42" t="s">
        <v>288</v>
      </c>
      <c r="L402" s="38">
        <f>SUM(L396:L401)</f>
        <v>3153958.1900000004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3012019.0700000003</v>
      </c>
      <c r="H409" s="38">
        <f>H394+H402+H408</f>
        <v>99406.2</v>
      </c>
      <c r="I409" s="38">
        <f>I394+I402+I408</f>
        <v>42532.92</v>
      </c>
      <c r="J409" s="23" t="s">
        <v>288</v>
      </c>
      <c r="K409" s="23" t="s">
        <v>288</v>
      </c>
      <c r="L409" s="38">
        <f>L394+L402+L408</f>
        <v>3153958.1900000004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f>1378542.8</f>
        <v>1378542.8</v>
      </c>
      <c r="L427" s="13">
        <f t="shared" si="29"/>
        <v>1378542.8</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1378542.8</v>
      </c>
      <c r="L428" s="38">
        <f t="shared" si="30"/>
        <v>1378542.8</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f>28591</f>
        <v>28591</v>
      </c>
      <c r="I430" s="18"/>
      <c r="J430" s="18"/>
      <c r="K430" s="18"/>
      <c r="L430" s="13">
        <f>SUM(F430:K430)</f>
        <v>28591</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28591</v>
      </c>
      <c r="I434" s="38">
        <f t="shared" si="31"/>
        <v>0</v>
      </c>
      <c r="J434" s="38">
        <f t="shared" si="31"/>
        <v>0</v>
      </c>
      <c r="K434" s="38">
        <f t="shared" si="31"/>
        <v>0</v>
      </c>
      <c r="L434" s="38">
        <f t="shared" si="31"/>
        <v>28591</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28591</v>
      </c>
      <c r="I435" s="38">
        <f t="shared" si="32"/>
        <v>0</v>
      </c>
      <c r="J435" s="38">
        <f t="shared" si="32"/>
        <v>0</v>
      </c>
      <c r="K435" s="38">
        <f t="shared" si="32"/>
        <v>1378542.8</v>
      </c>
      <c r="L435" s="38">
        <f t="shared" si="32"/>
        <v>1407133.8</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f>17318973.94+457300.41</f>
        <v>17776274.350000001</v>
      </c>
      <c r="H441" s="18"/>
      <c r="I441" s="13">
        <f t="shared" si="33"/>
        <v>17776274.350000001</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f>-1797634.2+94249.4</f>
        <v>-1703384.8</v>
      </c>
      <c r="H442" s="18"/>
      <c r="I442" s="13">
        <f t="shared" si="33"/>
        <v>-1703384.8</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16072889.550000001</v>
      </c>
      <c r="H447" s="13">
        <f>SUM(H440:H446)</f>
        <v>0</v>
      </c>
      <c r="I447" s="13">
        <f>SUM(I440:I446)</f>
        <v>16072889.550000001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f>-4645625.33+89827.22</f>
        <v>-4555798.1100000003</v>
      </c>
      <c r="H449" s="18"/>
      <c r="I449" s="13">
        <f>SUM(F449:H449)</f>
        <v>-4555798.1100000003</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-4555798.1100000003</v>
      </c>
      <c r="H453" s="57">
        <f>SUM(H449:H452)</f>
        <v>0</v>
      </c>
      <c r="I453" s="57">
        <f>SUM(I449:I452)</f>
        <v>-4555798.1100000003</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20166965.07+461722.59</f>
        <v>20628687.66</v>
      </c>
      <c r="H460" s="18"/>
      <c r="I460" s="13">
        <f t="shared" si="34"/>
        <v>20628687.66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20628687.66</v>
      </c>
      <c r="H461" s="65">
        <f>SUM(H455:H460)</f>
        <v>0</v>
      </c>
      <c r="I461" s="65">
        <f>SUM(I455:I460)</f>
        <v>20628687.66</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16072889.550000001</v>
      </c>
      <c r="H462" s="39">
        <f>H453+H461</f>
        <v>0</v>
      </c>
      <c r="I462" s="39">
        <f>I453+I461</f>
        <v>16072889.550000001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4277954.17</f>
        <v>4277954.17</v>
      </c>
      <c r="G466" s="18">
        <f>1232320.34</f>
        <v>1232320.3400000001</v>
      </c>
      <c r="H466" s="18">
        <f>367826.65</f>
        <v>367826.65</v>
      </c>
      <c r="I466" s="18">
        <v>-17674.27</v>
      </c>
      <c r="J466" s="18">
        <f>18986887.27</f>
        <v>18986887.27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97206152.42</f>
        <v>97206152.420000002</v>
      </c>
      <c r="G469" s="18">
        <f>2185229.57</f>
        <v>2185229.5699999998</v>
      </c>
      <c r="H469" s="18">
        <f>11604457.03+43588.41</f>
        <v>11648045.439999999</v>
      </c>
      <c r="I469" s="18">
        <f>158544.27</f>
        <v>158544.26999999999</v>
      </c>
      <c r="J469" s="18">
        <f>3153958.19</f>
        <v>3153958.19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97206152.420000002</v>
      </c>
      <c r="G471" s="19">
        <f>SUM(G469:G470)</f>
        <v>2185229.5699999998</v>
      </c>
      <c r="H471" s="19">
        <f>SUM(H469:H470)</f>
        <v>11648045.439999999</v>
      </c>
      <c r="I471" s="19">
        <f>SUM(I469:I470)</f>
        <v>158544.26999999999</v>
      </c>
      <c r="J471" s="19">
        <f>SUM(J469:J470)</f>
        <v>3153958.19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95943431.05</f>
        <v>95943431.049999997</v>
      </c>
      <c r="G473" s="18">
        <f>2308374.45</f>
        <v>2308374.4500000002</v>
      </c>
      <c r="H473" s="18">
        <f>11667965.81+1672.28</f>
        <v>11669638.09</v>
      </c>
      <c r="I473" s="18">
        <f>154456.15</f>
        <v>154456.15</v>
      </c>
      <c r="J473" s="18">
        <f>1407133.8</f>
        <v>1407133.8</v>
      </c>
      <c r="K473" s="23" t="s">
        <v>288</v>
      </c>
      <c r="L473" s="23" t="s">
        <v>288</v>
      </c>
      <c r="N473" s="131"/>
    </row>
    <row r="474" spans="1:14" ht="12.2" customHeight="1" x14ac:dyDescent="0.2">
      <c r="A474" s="71" t="s">
        <v>613</v>
      </c>
      <c r="B474" s="22">
        <v>19</v>
      </c>
      <c r="C474" s="31">
        <v>6</v>
      </c>
      <c r="D474" s="2" t="s">
        <v>432</v>
      </c>
      <c r="E474" s="31"/>
      <c r="F474" s="18"/>
      <c r="G474" s="18"/>
      <c r="H474" s="18"/>
      <c r="I474" s="18"/>
      <c r="J474" s="18">
        <f>105024</f>
        <v>105024</v>
      </c>
      <c r="K474" s="23" t="s">
        <v>288</v>
      </c>
      <c r="L474" s="23" t="s">
        <v>288</v>
      </c>
      <c r="N474" s="131"/>
    </row>
    <row r="475" spans="1:14" ht="12.2" customHeight="1" x14ac:dyDescent="0.2">
      <c r="A475" s="32" t="s">
        <v>426</v>
      </c>
      <c r="B475" s="22">
        <v>19</v>
      </c>
      <c r="C475" s="31">
        <v>7</v>
      </c>
      <c r="D475" s="2" t="s">
        <v>432</v>
      </c>
      <c r="E475" s="31"/>
      <c r="F475" s="19">
        <f>SUM(F473:F474)</f>
        <v>95943431.049999997</v>
      </c>
      <c r="G475" s="19">
        <f>SUM(G473:G474)</f>
        <v>2308374.4500000002</v>
      </c>
      <c r="H475" s="19">
        <f>SUM(H473:H474)</f>
        <v>11669638.09</v>
      </c>
      <c r="I475" s="19">
        <f>SUM(I473:I474)</f>
        <v>154456.15</v>
      </c>
      <c r="J475" s="19">
        <f>SUM(J473:J474)</f>
        <v>1512157.8</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5540675.5400000066</v>
      </c>
      <c r="G477" s="19">
        <f>(G466+G471)- G475</f>
        <v>1109175.46</v>
      </c>
      <c r="H477" s="19">
        <f>(H466+H471)- H475</f>
        <v>346234</v>
      </c>
      <c r="I477" s="19">
        <f>(I466+I471)- I475</f>
        <v>-13586.149999999994</v>
      </c>
      <c r="J477" s="19">
        <f>(J466+J471)- J475</f>
        <v>20628687.66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t="s">
        <v>1813</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1814</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1815</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108497234</v>
      </c>
      <c r="G494" s="18"/>
      <c r="H494" s="18"/>
      <c r="I494" s="18"/>
      <c r="J494" s="18"/>
      <c r="K494" s="23" t="s">
        <v>288</v>
      </c>
      <c r="L494" s="23" t="s">
        <v>288</v>
      </c>
      <c r="N494" s="131"/>
    </row>
    <row r="495" spans="1:14" ht="12.2" customHeight="1" x14ac:dyDescent="0.2">
      <c r="A495" s="21" t="s">
        <v>618</v>
      </c>
      <c r="B495" s="22">
        <v>20</v>
      </c>
      <c r="C495" s="22">
        <v>5</v>
      </c>
      <c r="D495" s="2" t="s">
        <v>432</v>
      </c>
      <c r="E495" s="22"/>
      <c r="F495" s="18" t="s">
        <v>1813</v>
      </c>
      <c r="G495" s="18"/>
      <c r="H495" s="18"/>
      <c r="I495" s="18"/>
      <c r="J495" s="18"/>
      <c r="K495" s="23" t="s">
        <v>288</v>
      </c>
      <c r="L495" s="23" t="s">
        <v>288</v>
      </c>
      <c r="N495" s="131"/>
    </row>
    <row r="496" spans="1:14" ht="12.2" customHeight="1" x14ac:dyDescent="0.2">
      <c r="A496" s="21" t="s">
        <v>619</v>
      </c>
      <c r="B496" s="22">
        <v>20</v>
      </c>
      <c r="C496" s="22">
        <v>6</v>
      </c>
      <c r="D496" s="2" t="s">
        <v>432</v>
      </c>
      <c r="E496" s="22"/>
      <c r="F496" s="18">
        <v>43560000</v>
      </c>
      <c r="G496" s="18"/>
      <c r="H496" s="18"/>
      <c r="I496" s="18"/>
      <c r="J496" s="18"/>
      <c r="K496" s="19">
        <f>SUM(F496:J496)</f>
        <v>43560000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f>40610000</f>
        <v>40610000</v>
      </c>
      <c r="G499" s="147"/>
      <c r="H499" s="147"/>
      <c r="I499" s="147"/>
      <c r="J499" s="147"/>
      <c r="K499" s="148">
        <f t="shared" si="35"/>
        <v>40610000</v>
      </c>
      <c r="L499" s="149" t="s">
        <v>288</v>
      </c>
      <c r="N499" s="131"/>
    </row>
    <row r="500" spans="1:14" ht="12.2" customHeight="1" thickBot="1" x14ac:dyDescent="0.25">
      <c r="A500" s="21" t="s">
        <v>623</v>
      </c>
      <c r="B500" s="22">
        <v>20</v>
      </c>
      <c r="C500" s="22">
        <v>10</v>
      </c>
      <c r="D500" s="2" t="s">
        <v>432</v>
      </c>
      <c r="E500" s="22"/>
      <c r="F500" s="18">
        <f>9006113</f>
        <v>9006113</v>
      </c>
      <c r="G500" s="18"/>
      <c r="H500" s="18"/>
      <c r="I500" s="18"/>
      <c r="J500" s="18"/>
      <c r="K500" s="19">
        <f t="shared" si="35"/>
        <v>9006113</v>
      </c>
      <c r="L500" s="23" t="s">
        <v>288</v>
      </c>
      <c r="N500" s="131"/>
    </row>
    <row r="501" spans="1:14" ht="12.2" customHeight="1" thickTop="1" x14ac:dyDescent="0.2">
      <c r="A501" s="97" t="s">
        <v>624</v>
      </c>
      <c r="B501" s="41">
        <v>20</v>
      </c>
      <c r="C501" s="41">
        <v>11</v>
      </c>
      <c r="D501" s="36" t="s">
        <v>432</v>
      </c>
      <c r="E501" s="41"/>
      <c r="F501" s="39">
        <f>SUM(F499:F500)</f>
        <v>49616113</v>
      </c>
      <c r="G501" s="39">
        <f>SUM(G499:G500)</f>
        <v>0</v>
      </c>
      <c r="H501" s="39">
        <f>SUM(H499:H500)</f>
        <v>0</v>
      </c>
      <c r="I501" s="39">
        <f>SUM(I499:I500)</f>
        <v>0</v>
      </c>
      <c r="J501" s="39">
        <f>SUM(J499:J500)</f>
        <v>0</v>
      </c>
      <c r="K501" s="39">
        <f t="shared" si="35"/>
        <v>49616113</v>
      </c>
      <c r="L501" s="42" t="s">
        <v>288</v>
      </c>
      <c r="N501" s="131"/>
    </row>
    <row r="502" spans="1:14" ht="12.2" customHeight="1" x14ac:dyDescent="0.2">
      <c r="A502" s="144" t="s">
        <v>651</v>
      </c>
      <c r="B502" s="145">
        <v>20</v>
      </c>
      <c r="C502" s="145">
        <v>12</v>
      </c>
      <c r="D502" s="146" t="s">
        <v>432</v>
      </c>
      <c r="E502" s="145"/>
      <c r="F502" s="147">
        <f>2970000</f>
        <v>2970000</v>
      </c>
      <c r="G502" s="147"/>
      <c r="H502" s="147"/>
      <c r="I502" s="147"/>
      <c r="J502" s="147"/>
      <c r="K502" s="148">
        <f t="shared" si="35"/>
        <v>2970000</v>
      </c>
      <c r="L502" s="149" t="s">
        <v>288</v>
      </c>
      <c r="N502" s="131"/>
    </row>
    <row r="503" spans="1:14" ht="12.2" customHeight="1" thickBot="1" x14ac:dyDescent="0.25">
      <c r="A503" s="21" t="s">
        <v>625</v>
      </c>
      <c r="B503" s="22">
        <v>20</v>
      </c>
      <c r="C503" s="22">
        <v>13</v>
      </c>
      <c r="D503" s="2" t="s">
        <v>432</v>
      </c>
      <c r="E503" s="22"/>
      <c r="F503" s="18">
        <f>1361175</f>
        <v>1361175</v>
      </c>
      <c r="G503" s="18"/>
      <c r="H503" s="18"/>
      <c r="I503" s="18"/>
      <c r="J503" s="18"/>
      <c r="K503" s="19">
        <f t="shared" si="35"/>
        <v>1361175</v>
      </c>
      <c r="L503" s="23" t="s">
        <v>288</v>
      </c>
      <c r="N503" s="131"/>
    </row>
    <row r="504" spans="1:14" ht="12.2" customHeight="1" thickTop="1" x14ac:dyDescent="0.2">
      <c r="A504" s="97" t="s">
        <v>626</v>
      </c>
      <c r="B504" s="41">
        <v>20</v>
      </c>
      <c r="C504" s="41">
        <v>14</v>
      </c>
      <c r="D504" s="36" t="s">
        <v>432</v>
      </c>
      <c r="E504" s="41"/>
      <c r="F504" s="39">
        <f>SUM(F502:F503)</f>
        <v>4331175</v>
      </c>
      <c r="G504" s="39">
        <f>SUM(G502:G503)</f>
        <v>0</v>
      </c>
      <c r="H504" s="39">
        <f>SUM(H502:H503)</f>
        <v>0</v>
      </c>
      <c r="I504" s="39">
        <f>SUM(I502:I503)</f>
        <v>0</v>
      </c>
      <c r="J504" s="39">
        <f>SUM(J502:J503)</f>
        <v>0</v>
      </c>
      <c r="K504" s="39">
        <f t="shared" si="35"/>
        <v>4331175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5107318.78</f>
        <v>5107318.78</v>
      </c>
      <c r="G522" s="18">
        <f>1989697.83</f>
        <v>1989697.83</v>
      </c>
      <c r="H522" s="18">
        <f>924694.6</f>
        <v>924694.6</v>
      </c>
      <c r="I522" s="18">
        <f>26318.2</f>
        <v>26318.2</v>
      </c>
      <c r="J522" s="18">
        <f>3056.1</f>
        <v>3056.1</v>
      </c>
      <c r="K522" s="18"/>
      <c r="L522" s="69">
        <f>SUM(F522:K522)</f>
        <v>8051085.5099999998</v>
      </c>
      <c r="N522" s="131"/>
    </row>
    <row r="523" spans="1:14" ht="12.2" customHeight="1" x14ac:dyDescent="0.2">
      <c r="A523" s="21" t="s">
        <v>634</v>
      </c>
      <c r="B523" s="22">
        <v>21</v>
      </c>
      <c r="C523" s="22">
        <v>2</v>
      </c>
      <c r="D523" s="2" t="s">
        <v>432</v>
      </c>
      <c r="E523" s="22"/>
      <c r="F523" s="18">
        <f>1753711.79</f>
        <v>1753711.79</v>
      </c>
      <c r="G523" s="18">
        <f>804314.67</f>
        <v>804314.67</v>
      </c>
      <c r="H523" s="18">
        <f>408265.96</f>
        <v>408265.96</v>
      </c>
      <c r="I523" s="18">
        <f>14590.39</f>
        <v>14590.39</v>
      </c>
      <c r="J523" s="18">
        <f>1147.7</f>
        <v>1147.7</v>
      </c>
      <c r="K523" s="18"/>
      <c r="L523" s="69">
        <f>SUM(F523:K523)</f>
        <v>2982030.5100000002</v>
      </c>
      <c r="N523" s="131"/>
    </row>
    <row r="524" spans="1:14" ht="12.2" customHeight="1" thickBot="1" x14ac:dyDescent="0.25">
      <c r="A524" s="21" t="s">
        <v>635</v>
      </c>
      <c r="B524" s="22">
        <v>21</v>
      </c>
      <c r="C524" s="22">
        <v>3</v>
      </c>
      <c r="D524" s="2" t="s">
        <v>432</v>
      </c>
      <c r="E524" s="22"/>
      <c r="F524" s="18">
        <f>2768429.48</f>
        <v>2768429.48</v>
      </c>
      <c r="G524" s="18">
        <f>1202657.51</f>
        <v>1202657.51</v>
      </c>
      <c r="H524" s="18">
        <f>2480155.95</f>
        <v>2480155.9500000002</v>
      </c>
      <c r="I524" s="18">
        <f>197171.11</f>
        <v>197171.11</v>
      </c>
      <c r="J524" s="18">
        <f>132915.35</f>
        <v>132915.35</v>
      </c>
      <c r="K524" s="18">
        <f>610</f>
        <v>610</v>
      </c>
      <c r="L524" s="69">
        <f>SUM(F524:K524)</f>
        <v>6781939.4000000004</v>
      </c>
      <c r="N524" s="131"/>
    </row>
    <row r="525" spans="1:14" ht="12.2" customHeight="1" thickTop="1" x14ac:dyDescent="0.2">
      <c r="A525" s="97" t="s">
        <v>63</v>
      </c>
      <c r="B525" s="41">
        <v>21</v>
      </c>
      <c r="C525" s="41">
        <v>4</v>
      </c>
      <c r="D525" s="115" t="s">
        <v>432</v>
      </c>
      <c r="E525" s="41"/>
      <c r="F525" s="81">
        <f>SUM(F522:F524)</f>
        <v>9629460.0500000007</v>
      </c>
      <c r="G525" s="81">
        <f t="shared" ref="G525:L525" si="36">SUM(G522:G524)</f>
        <v>3996670.01</v>
      </c>
      <c r="H525" s="81">
        <f t="shared" si="36"/>
        <v>3813116.5100000002</v>
      </c>
      <c r="I525" s="81">
        <f t="shared" si="36"/>
        <v>238079.69999999998</v>
      </c>
      <c r="J525" s="81">
        <f t="shared" si="36"/>
        <v>137119.15</v>
      </c>
      <c r="K525" s="81">
        <f t="shared" si="36"/>
        <v>610</v>
      </c>
      <c r="L525" s="70">
        <f t="shared" si="36"/>
        <v>17815055.420000002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2035376.02</f>
        <v>2035376.02</v>
      </c>
      <c r="G527" s="18">
        <f>901822.15</f>
        <v>901822.15</v>
      </c>
      <c r="H527" s="18">
        <f>334221.27</f>
        <v>334221.27</v>
      </c>
      <c r="I527" s="18">
        <f>56228.5</f>
        <v>56228.5</v>
      </c>
      <c r="J527" s="18">
        <f>684</f>
        <v>684</v>
      </c>
      <c r="K527" s="18">
        <f>478.12</f>
        <v>478.12</v>
      </c>
      <c r="L527" s="69">
        <f>SUM(F527:K527)</f>
        <v>3328810.06</v>
      </c>
      <c r="M527" s="8"/>
      <c r="N527" s="165"/>
    </row>
    <row r="528" spans="1:14" s="3" customFormat="1" ht="12.2" customHeight="1" x14ac:dyDescent="0.15">
      <c r="A528" s="21" t="s">
        <v>634</v>
      </c>
      <c r="B528" s="22">
        <v>21</v>
      </c>
      <c r="C528" s="22">
        <v>6</v>
      </c>
      <c r="D528" s="2" t="s">
        <v>432</v>
      </c>
      <c r="E528" s="22"/>
      <c r="F528" s="18">
        <f>521563.8</f>
        <v>521563.8</v>
      </c>
      <c r="G528" s="18">
        <f>274197.61</f>
        <v>274197.61</v>
      </c>
      <c r="H528" s="18">
        <f>223099.4</f>
        <v>223099.4</v>
      </c>
      <c r="I528" s="18">
        <f>17528.66</f>
        <v>17528.66</v>
      </c>
      <c r="J528" s="18"/>
      <c r="K528" s="18">
        <f>251</f>
        <v>251</v>
      </c>
      <c r="L528" s="69">
        <f>SUM(F528:K528)</f>
        <v>1036640.47</v>
      </c>
      <c r="M528" s="8"/>
      <c r="N528" s="165"/>
    </row>
    <row r="529" spans="1:14" s="3" customFormat="1" ht="12.2" customHeight="1" thickBot="1" x14ac:dyDescent="0.2">
      <c r="A529" s="21" t="s">
        <v>635</v>
      </c>
      <c r="B529" s="22">
        <v>21</v>
      </c>
      <c r="C529" s="22">
        <v>7</v>
      </c>
      <c r="D529" s="2" t="s">
        <v>432</v>
      </c>
      <c r="E529" s="22"/>
      <c r="F529" s="18">
        <f>901383.58</f>
        <v>901383.58</v>
      </c>
      <c r="G529" s="18">
        <f>422708.09</f>
        <v>422708.09</v>
      </c>
      <c r="H529" s="18">
        <f>359460.18</f>
        <v>359460.18</v>
      </c>
      <c r="I529" s="18">
        <f>67942.95</f>
        <v>67942.95</v>
      </c>
      <c r="J529" s="18">
        <f>8995</f>
        <v>8995</v>
      </c>
      <c r="K529" s="18">
        <f>3810.89</f>
        <v>3810.89</v>
      </c>
      <c r="L529" s="69">
        <f>SUM(F529:K529)</f>
        <v>1764300.6899999997</v>
      </c>
      <c r="M529" s="8"/>
      <c r="N529" s="165"/>
    </row>
    <row r="530" spans="1:14" s="3" customFormat="1" ht="12.2" customHeight="1" thickTop="1" x14ac:dyDescent="0.15">
      <c r="A530" s="97" t="s">
        <v>65</v>
      </c>
      <c r="B530" s="41">
        <v>21</v>
      </c>
      <c r="C530" s="41">
        <v>8</v>
      </c>
      <c r="D530" s="115" t="s">
        <v>432</v>
      </c>
      <c r="E530" s="41"/>
      <c r="F530" s="70">
        <f>SUM(F527:F529)</f>
        <v>3458323.4</v>
      </c>
      <c r="G530" s="70">
        <f t="shared" ref="G530:L530" si="37">SUM(G527:G529)</f>
        <v>1598727.85</v>
      </c>
      <c r="H530" s="70">
        <f t="shared" si="37"/>
        <v>916780.85000000009</v>
      </c>
      <c r="I530" s="70">
        <f t="shared" si="37"/>
        <v>141700.10999999999</v>
      </c>
      <c r="J530" s="70">
        <f t="shared" si="37"/>
        <v>9679</v>
      </c>
      <c r="K530" s="70">
        <f t="shared" si="37"/>
        <v>4540.01</v>
      </c>
      <c r="L530" s="70">
        <f t="shared" si="37"/>
        <v>6129751.2199999997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84178.37</f>
        <v>84178.37</v>
      </c>
      <c r="G532" s="18">
        <f>20164.4</f>
        <v>20164.400000000001</v>
      </c>
      <c r="H532" s="18"/>
      <c r="I532" s="18"/>
      <c r="J532" s="18"/>
      <c r="K532" s="18"/>
      <c r="L532" s="69">
        <f>SUM(F532:K532)</f>
        <v>104342.76999999999</v>
      </c>
      <c r="M532" s="8"/>
      <c r="N532" s="165"/>
    </row>
    <row r="533" spans="1:14" s="3" customFormat="1" ht="12.2" customHeight="1" x14ac:dyDescent="0.15">
      <c r="A533" s="21" t="s">
        <v>634</v>
      </c>
      <c r="B533" s="22">
        <v>21</v>
      </c>
      <c r="C533" s="22">
        <v>10</v>
      </c>
      <c r="D533" s="2" t="s">
        <v>432</v>
      </c>
      <c r="E533" s="22"/>
      <c r="F533" s="18">
        <f>45308.95</f>
        <v>45308.95</v>
      </c>
      <c r="G533" s="18">
        <f>10853.47</f>
        <v>10853.47</v>
      </c>
      <c r="H533" s="18"/>
      <c r="I533" s="18"/>
      <c r="J533" s="18"/>
      <c r="K533" s="18"/>
      <c r="L533" s="69">
        <f>SUM(F533:K533)</f>
        <v>56162.42</v>
      </c>
      <c r="M533" s="8"/>
      <c r="N533" s="165"/>
    </row>
    <row r="534" spans="1:14" s="3" customFormat="1" ht="12.2" customHeight="1" thickBot="1" x14ac:dyDescent="0.2">
      <c r="A534" s="21" t="s">
        <v>635</v>
      </c>
      <c r="B534" s="22">
        <v>21</v>
      </c>
      <c r="C534" s="22">
        <v>11</v>
      </c>
      <c r="D534" s="2" t="s">
        <v>432</v>
      </c>
      <c r="E534" s="22"/>
      <c r="F534" s="18">
        <f>81644.78</f>
        <v>81644.78</v>
      </c>
      <c r="G534" s="18">
        <f>19557.5</f>
        <v>19557.5</v>
      </c>
      <c r="H534" s="18"/>
      <c r="I534" s="18"/>
      <c r="J534" s="18"/>
      <c r="K534" s="18"/>
      <c r="L534" s="69">
        <f>SUM(F534:K534)</f>
        <v>101202.28</v>
      </c>
      <c r="M534" s="8"/>
      <c r="N534" s="165"/>
    </row>
    <row r="535" spans="1:14" s="3" customFormat="1" ht="12.2" customHeight="1" thickTop="1" x14ac:dyDescent="0.15">
      <c r="A535" s="97" t="s">
        <v>67</v>
      </c>
      <c r="B535" s="41">
        <v>21</v>
      </c>
      <c r="C535" s="41">
        <v>12</v>
      </c>
      <c r="D535" s="115" t="s">
        <v>432</v>
      </c>
      <c r="E535" s="41"/>
      <c r="F535" s="70">
        <f>SUM(F532:F534)</f>
        <v>211132.09999999998</v>
      </c>
      <c r="G535" s="70">
        <f t="shared" ref="G535:L535" si="38">SUM(G532:G534)</f>
        <v>50575.37</v>
      </c>
      <c r="H535" s="70">
        <f t="shared" si="38"/>
        <v>0</v>
      </c>
      <c r="I535" s="70">
        <f t="shared" si="38"/>
        <v>0</v>
      </c>
      <c r="J535" s="70">
        <f t="shared" si="38"/>
        <v>0</v>
      </c>
      <c r="K535" s="70">
        <f t="shared" si="38"/>
        <v>0</v>
      </c>
      <c r="L535" s="70">
        <f t="shared" si="38"/>
        <v>261707.47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7518.43</f>
        <v>7518.43</v>
      </c>
      <c r="I537" s="18"/>
      <c r="J537" s="18"/>
      <c r="K537" s="18"/>
      <c r="L537" s="69">
        <f>SUM(F537:K537)</f>
        <v>7518.43</v>
      </c>
      <c r="M537" s="8"/>
      <c r="N537" s="165"/>
    </row>
    <row r="538" spans="1:14" s="3" customFormat="1" ht="12.2" customHeight="1" x14ac:dyDescent="0.15">
      <c r="A538" s="21" t="s">
        <v>634</v>
      </c>
      <c r="B538" s="22">
        <v>21</v>
      </c>
      <c r="C538" s="22">
        <v>14</v>
      </c>
      <c r="D538" s="2" t="s">
        <v>432</v>
      </c>
      <c r="E538" s="22"/>
      <c r="F538" s="18"/>
      <c r="G538" s="18"/>
      <c r="H538" s="18">
        <f>4046.79</f>
        <v>4046.79</v>
      </c>
      <c r="I538" s="18"/>
      <c r="J538" s="18"/>
      <c r="K538" s="18"/>
      <c r="L538" s="69">
        <f>SUM(F538:K538)</f>
        <v>4046.79</v>
      </c>
      <c r="M538" s="8"/>
      <c r="N538" s="165"/>
    </row>
    <row r="539" spans="1:14" s="3" customFormat="1" ht="12.2" customHeight="1" thickBot="1" x14ac:dyDescent="0.2">
      <c r="A539" s="21" t="s">
        <v>635</v>
      </c>
      <c r="B539" s="22">
        <v>21</v>
      </c>
      <c r="C539" s="22">
        <v>15</v>
      </c>
      <c r="D539" s="2" t="s">
        <v>432</v>
      </c>
      <c r="E539" s="22"/>
      <c r="F539" s="18"/>
      <c r="G539" s="18"/>
      <c r="H539" s="18">
        <f>7292.14</f>
        <v>7292.14</v>
      </c>
      <c r="I539" s="18"/>
      <c r="J539" s="18"/>
      <c r="K539" s="18"/>
      <c r="L539" s="69">
        <f>SUM(F539:K539)</f>
        <v>7292.14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18857.36</v>
      </c>
      <c r="I540" s="70">
        <f t="shared" si="39"/>
        <v>0</v>
      </c>
      <c r="J540" s="70">
        <f t="shared" si="39"/>
        <v>0</v>
      </c>
      <c r="K540" s="70">
        <f t="shared" si="39"/>
        <v>0</v>
      </c>
      <c r="L540" s="70">
        <f t="shared" si="39"/>
        <v>18857.36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f>239965.68</f>
        <v>239965.68</v>
      </c>
      <c r="G542" s="18">
        <f>82774.79</f>
        <v>82774.789999999994</v>
      </c>
      <c r="H542" s="18">
        <f>458130.12</f>
        <v>458130.12</v>
      </c>
      <c r="I542" s="18">
        <f>130.63</f>
        <v>130.63</v>
      </c>
      <c r="J542" s="18"/>
      <c r="K542" s="18">
        <f>349.49</f>
        <v>349.49</v>
      </c>
      <c r="L542" s="69">
        <f>SUM(F542:K542)</f>
        <v>781350.71</v>
      </c>
      <c r="M542" s="8"/>
      <c r="N542" s="165"/>
    </row>
    <row r="543" spans="1:14" s="3" customFormat="1" ht="12.2" customHeight="1" x14ac:dyDescent="0.15">
      <c r="A543" s="21" t="s">
        <v>634</v>
      </c>
      <c r="B543" s="22">
        <v>21</v>
      </c>
      <c r="C543" s="22">
        <v>18</v>
      </c>
      <c r="D543" s="2" t="s">
        <v>432</v>
      </c>
      <c r="E543" s="22"/>
      <c r="F543" s="18">
        <f>109975.21</f>
        <v>109975.21</v>
      </c>
      <c r="G543" s="18">
        <f>37935.32</f>
        <v>37935.32</v>
      </c>
      <c r="H543" s="18">
        <f>209959</f>
        <v>209959</v>
      </c>
      <c r="I543" s="18">
        <f>59.87</f>
        <v>59.87</v>
      </c>
      <c r="J543" s="18"/>
      <c r="K543" s="18">
        <f>160.17</f>
        <v>160.16999999999999</v>
      </c>
      <c r="L543" s="69">
        <f>SUM(F543:K543)</f>
        <v>358089.57</v>
      </c>
      <c r="M543" s="8"/>
      <c r="N543" s="165"/>
    </row>
    <row r="544" spans="1:14" s="3" customFormat="1" ht="12.2" customHeight="1" thickBot="1" x14ac:dyDescent="0.2">
      <c r="A544" s="21" t="s">
        <v>635</v>
      </c>
      <c r="B544" s="22">
        <v>21</v>
      </c>
      <c r="C544" s="22">
        <v>19</v>
      </c>
      <c r="D544" s="2" t="s">
        <v>432</v>
      </c>
      <c r="E544" s="22"/>
      <c r="F544" s="18">
        <f>193952.32</f>
        <v>193952.32</v>
      </c>
      <c r="G544" s="18">
        <f>66902.74</f>
        <v>66902.740000000005</v>
      </c>
      <c r="H544" s="18">
        <f>370283.78</f>
        <v>370283.78</v>
      </c>
      <c r="I544" s="18">
        <f>105.58</f>
        <v>105.58</v>
      </c>
      <c r="J544" s="18"/>
      <c r="K544" s="18">
        <f>282.47</f>
        <v>282.47000000000003</v>
      </c>
      <c r="L544" s="69">
        <f>SUM(F544:K544)</f>
        <v>631526.89</v>
      </c>
      <c r="M544" s="8"/>
      <c r="N544" s="165"/>
    </row>
    <row r="545" spans="1:14" s="3" customFormat="1" ht="12.2" customHeight="1" thickTop="1" thickBot="1" x14ac:dyDescent="0.2">
      <c r="A545" s="93" t="s">
        <v>71</v>
      </c>
      <c r="B545" s="63">
        <v>21</v>
      </c>
      <c r="C545" s="63">
        <v>20</v>
      </c>
      <c r="D545" s="140" t="s">
        <v>432</v>
      </c>
      <c r="E545" s="63"/>
      <c r="F545" s="141">
        <f>SUM(F542:F544)</f>
        <v>543893.21</v>
      </c>
      <c r="G545" s="141">
        <f t="shared" ref="G545:L545" si="40">SUM(G542:G544)</f>
        <v>187612.84999999998</v>
      </c>
      <c r="H545" s="141">
        <f t="shared" si="40"/>
        <v>1038372.9</v>
      </c>
      <c r="I545" s="141">
        <f t="shared" si="40"/>
        <v>296.08</v>
      </c>
      <c r="J545" s="141">
        <f t="shared" si="40"/>
        <v>0</v>
      </c>
      <c r="K545" s="141">
        <f t="shared" si="40"/>
        <v>792.13</v>
      </c>
      <c r="L545" s="141">
        <f t="shared" si="40"/>
        <v>1770967.17</v>
      </c>
      <c r="M545" s="8"/>
      <c r="N545" s="165"/>
    </row>
    <row r="546" spans="1:14" s="3" customFormat="1" ht="12.2" customHeight="1" thickTop="1" x14ac:dyDescent="0.15">
      <c r="A546" s="75" t="s">
        <v>72</v>
      </c>
      <c r="B546" s="41">
        <v>21</v>
      </c>
      <c r="C546" s="41">
        <v>21</v>
      </c>
      <c r="D546" s="115" t="s">
        <v>432</v>
      </c>
      <c r="E546" s="41"/>
      <c r="F546" s="70">
        <f>F525+F530+F535+F540+F545</f>
        <v>13842808.760000002</v>
      </c>
      <c r="G546" s="70">
        <f t="shared" ref="G546:L546" si="41">G525+G530+G535+G540+G545</f>
        <v>5833586.0799999991</v>
      </c>
      <c r="H546" s="70">
        <f t="shared" si="41"/>
        <v>5787127.620000001</v>
      </c>
      <c r="I546" s="70">
        <f t="shared" si="41"/>
        <v>380075.88999999996</v>
      </c>
      <c r="J546" s="70">
        <f t="shared" si="41"/>
        <v>146798.15</v>
      </c>
      <c r="K546" s="70">
        <f t="shared" si="41"/>
        <v>5942.14</v>
      </c>
      <c r="L546" s="70">
        <f t="shared" si="41"/>
        <v>25996338.640000001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8051085.5099999998</v>
      </c>
      <c r="G550" s="69">
        <f>L527</f>
        <v>3328810.06</v>
      </c>
      <c r="H550" s="69">
        <f>L532</f>
        <v>104342.76999999999</v>
      </c>
      <c r="I550" s="69">
        <f>L537</f>
        <v>7518.43</v>
      </c>
      <c r="J550" s="69">
        <f>L542</f>
        <v>781350.71</v>
      </c>
      <c r="K550" s="69">
        <f>SUM(F550:J550)</f>
        <v>12273107.48</v>
      </c>
      <c r="L550" s="23" t="s">
        <v>288</v>
      </c>
      <c r="M550" s="8"/>
      <c r="N550" s="165"/>
    </row>
    <row r="551" spans="1:14" s="3" customFormat="1" ht="12.2" customHeight="1" x14ac:dyDescent="0.15">
      <c r="A551" s="21" t="s">
        <v>634</v>
      </c>
      <c r="B551" s="22">
        <v>21</v>
      </c>
      <c r="C551" s="22">
        <v>23</v>
      </c>
      <c r="D551" s="2" t="s">
        <v>432</v>
      </c>
      <c r="E551" s="22"/>
      <c r="F551" s="69">
        <f>L523</f>
        <v>2982030.5100000002</v>
      </c>
      <c r="G551" s="69">
        <f>L528</f>
        <v>1036640.47</v>
      </c>
      <c r="H551" s="69">
        <f>L533</f>
        <v>56162.42</v>
      </c>
      <c r="I551" s="69">
        <f>L538</f>
        <v>4046.79</v>
      </c>
      <c r="J551" s="69">
        <f>L543</f>
        <v>358089.57</v>
      </c>
      <c r="K551" s="69">
        <f>SUM(F551:J551)</f>
        <v>4436969.7600000007</v>
      </c>
      <c r="L551" s="23" t="s">
        <v>288</v>
      </c>
      <c r="M551" s="8"/>
      <c r="N551" s="165"/>
    </row>
    <row r="552" spans="1:14" s="3" customFormat="1" ht="12.2" customHeight="1" thickBot="1" x14ac:dyDescent="0.2">
      <c r="A552" s="21" t="s">
        <v>635</v>
      </c>
      <c r="B552" s="22">
        <v>21</v>
      </c>
      <c r="C552" s="22">
        <v>24</v>
      </c>
      <c r="D552" s="2" t="s">
        <v>432</v>
      </c>
      <c r="E552" s="22"/>
      <c r="F552" s="69">
        <f>L524</f>
        <v>6781939.4000000004</v>
      </c>
      <c r="G552" s="69">
        <f>L529</f>
        <v>1764300.6899999997</v>
      </c>
      <c r="H552" s="69">
        <f>L534</f>
        <v>101202.28</v>
      </c>
      <c r="I552" s="69">
        <f>L539</f>
        <v>7292.14</v>
      </c>
      <c r="J552" s="69">
        <f>L544</f>
        <v>631526.89</v>
      </c>
      <c r="K552" s="69">
        <f>SUM(F552:J552)</f>
        <v>9286261.4000000004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17815055.420000002</v>
      </c>
      <c r="G553" s="70">
        <f t="shared" si="42"/>
        <v>6129751.2199999997</v>
      </c>
      <c r="H553" s="70">
        <f t="shared" si="42"/>
        <v>261707.47</v>
      </c>
      <c r="I553" s="70">
        <f t="shared" si="42"/>
        <v>18857.36</v>
      </c>
      <c r="J553" s="70">
        <f t="shared" si="42"/>
        <v>1770967.17</v>
      </c>
      <c r="K553" s="70">
        <f t="shared" si="42"/>
        <v>25996338.640000001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f>442189.47+2648.25</f>
        <v>444837.72</v>
      </c>
      <c r="G563" s="18">
        <f>173368.64+202.59</f>
        <v>173571.23</v>
      </c>
      <c r="H563" s="18">
        <f>18645.74+1534.23</f>
        <v>20179.97</v>
      </c>
      <c r="I563" s="18">
        <f>3063+22.06</f>
        <v>3085.06</v>
      </c>
      <c r="J563" s="18"/>
      <c r="K563" s="18"/>
      <c r="L563" s="69">
        <f>SUM(F563:K563)</f>
        <v>641673.98</v>
      </c>
      <c r="M563" s="8"/>
      <c r="N563" s="165"/>
    </row>
    <row r="564" spans="1:14" s="3" customFormat="1" ht="12.2" customHeight="1" x14ac:dyDescent="0.15">
      <c r="A564" s="21" t="s">
        <v>634</v>
      </c>
      <c r="B564" s="22">
        <v>22</v>
      </c>
      <c r="C564" s="22">
        <v>6</v>
      </c>
      <c r="D564" s="2" t="s">
        <v>432</v>
      </c>
      <c r="E564" s="22"/>
      <c r="F564" s="18">
        <f>142400.54+1213.68</f>
        <v>143614.22</v>
      </c>
      <c r="G564" s="18">
        <f>49634.13+92.85</f>
        <v>49726.979999999996</v>
      </c>
      <c r="H564" s="18">
        <f>2724.92+703.13</f>
        <v>3428.05</v>
      </c>
      <c r="I564" s="18">
        <f>2908.33+10.11</f>
        <v>2918.44</v>
      </c>
      <c r="J564" s="18"/>
      <c r="K564" s="18"/>
      <c r="L564" s="69">
        <f>SUM(F564:K564)</f>
        <v>199687.69</v>
      </c>
      <c r="M564" s="8"/>
      <c r="N564" s="165"/>
    </row>
    <row r="565" spans="1:14" s="3" customFormat="1" ht="12.2" customHeight="1" thickBot="1" x14ac:dyDescent="0.2">
      <c r="A565" s="21" t="s">
        <v>635</v>
      </c>
      <c r="B565" s="22">
        <v>22</v>
      </c>
      <c r="C565" s="22">
        <v>7</v>
      </c>
      <c r="D565" s="2" t="s">
        <v>432</v>
      </c>
      <c r="E565" s="22"/>
      <c r="F565" s="18">
        <f>207573.07+2140.45</f>
        <v>209713.52000000002</v>
      </c>
      <c r="G565" s="18">
        <f>79318.35+163.74</f>
        <v>79482.090000000011</v>
      </c>
      <c r="H565" s="18">
        <f>15008.55+1240.04</f>
        <v>16248.59</v>
      </c>
      <c r="I565" s="18">
        <f>2000+17.83</f>
        <v>2017.83</v>
      </c>
      <c r="J565" s="18"/>
      <c r="K565" s="18"/>
      <c r="L565" s="69">
        <f>SUM(F565:K565)</f>
        <v>307462.03000000009</v>
      </c>
      <c r="M565" s="8"/>
      <c r="N565" s="165"/>
    </row>
    <row r="566" spans="1:14" s="3" customFormat="1" ht="12.2" customHeight="1" thickTop="1" x14ac:dyDescent="0.15">
      <c r="A566" s="97" t="s">
        <v>65</v>
      </c>
      <c r="B566" s="41">
        <v>22</v>
      </c>
      <c r="C566" s="41">
        <v>8</v>
      </c>
      <c r="D566" s="115" t="s">
        <v>432</v>
      </c>
      <c r="E566" s="41"/>
      <c r="F566" s="70">
        <f t="shared" ref="F566:L566" si="44">SUM(F563:F565)</f>
        <v>798165.46</v>
      </c>
      <c r="G566" s="70">
        <f t="shared" si="44"/>
        <v>302780.30000000005</v>
      </c>
      <c r="H566" s="70">
        <f t="shared" si="44"/>
        <v>39856.61</v>
      </c>
      <c r="I566" s="70">
        <f t="shared" si="44"/>
        <v>8021.33</v>
      </c>
      <c r="J566" s="70">
        <f t="shared" si="44"/>
        <v>0</v>
      </c>
      <c r="K566" s="70">
        <f t="shared" si="44"/>
        <v>0</v>
      </c>
      <c r="L566" s="70">
        <f t="shared" si="44"/>
        <v>1148823.7</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798165.46</v>
      </c>
      <c r="G572" s="70">
        <f t="shared" ref="G572:L572" si="46">G561+G566+G571</f>
        <v>302780.30000000005</v>
      </c>
      <c r="H572" s="70">
        <f t="shared" si="46"/>
        <v>39856.61</v>
      </c>
      <c r="I572" s="70">
        <f t="shared" si="46"/>
        <v>8021.33</v>
      </c>
      <c r="J572" s="70">
        <f t="shared" si="46"/>
        <v>0</v>
      </c>
      <c r="K572" s="70">
        <f t="shared" si="46"/>
        <v>0</v>
      </c>
      <c r="L572" s="70">
        <f t="shared" si="46"/>
        <v>1148823.7</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15834.21</v>
      </c>
      <c r="G580" s="18">
        <v>3088.95</v>
      </c>
      <c r="H580" s="18"/>
      <c r="I580" s="69">
        <f t="shared" si="47"/>
        <v>18923.16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175649.64</v>
      </c>
      <c r="G583" s="18">
        <v>216383.35999999999</v>
      </c>
      <c r="H583" s="18">
        <v>2286072.7400000002</v>
      </c>
      <c r="I583" s="69">
        <f t="shared" si="47"/>
        <v>2678105.7400000002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804164.84</f>
        <v>804164.84</v>
      </c>
      <c r="I592" s="18">
        <f>368485.55</f>
        <v>368485.55</v>
      </c>
      <c r="J592" s="18">
        <f>649861.3</f>
        <v>649861.30000000005</v>
      </c>
      <c r="K592" s="80">
        <f t="shared" ref="K592:K598" si="48">SUM(H592:J592)</f>
        <v>1822511.69</v>
      </c>
      <c r="L592" s="23" t="s">
        <v>288</v>
      </c>
      <c r="M592" s="8"/>
      <c r="N592" s="165"/>
    </row>
    <row r="593" spans="1:14" s="3" customFormat="1" ht="12.2" customHeight="1" x14ac:dyDescent="0.15">
      <c r="A593" s="3" t="s">
        <v>638</v>
      </c>
      <c r="B593" s="22">
        <v>23</v>
      </c>
      <c r="C593" s="22">
        <v>2</v>
      </c>
      <c r="D593" s="2" t="s">
        <v>432</v>
      </c>
      <c r="E593" s="22"/>
      <c r="F593" s="78">
        <v>2722</v>
      </c>
      <c r="G593" s="79" t="s">
        <v>97</v>
      </c>
      <c r="H593" s="18">
        <f>781350.71</f>
        <v>781350.71</v>
      </c>
      <c r="I593" s="18">
        <f>358089.57</f>
        <v>358089.57</v>
      </c>
      <c r="J593" s="18">
        <f>631526.89</f>
        <v>631526.89</v>
      </c>
      <c r="K593" s="80">
        <f t="shared" si="48"/>
        <v>1770967.17</v>
      </c>
      <c r="L593" s="23" t="s">
        <v>288</v>
      </c>
      <c r="M593" s="8"/>
      <c r="N593" s="165"/>
    </row>
    <row r="594" spans="1:14" s="3" customFormat="1" ht="12.2" customHeight="1" x14ac:dyDescent="0.15">
      <c r="A594" s="3" t="s">
        <v>639</v>
      </c>
      <c r="B594" s="22">
        <v>23</v>
      </c>
      <c r="C594" s="22">
        <v>3</v>
      </c>
      <c r="D594" s="2" t="s">
        <v>432</v>
      </c>
      <c r="E594" s="22"/>
      <c r="F594" s="78">
        <v>2723</v>
      </c>
      <c r="G594" s="79" t="s">
        <v>97</v>
      </c>
      <c r="H594" s="18">
        <f>2225.57</f>
        <v>2225.5700000000002</v>
      </c>
      <c r="I594" s="18">
        <f>1019.98</f>
        <v>1019.98</v>
      </c>
      <c r="J594" s="18">
        <f>5554.28</f>
        <v>5554.28</v>
      </c>
      <c r="K594" s="80">
        <f t="shared" si="48"/>
        <v>8799.83</v>
      </c>
      <c r="L594" s="23" t="s">
        <v>288</v>
      </c>
      <c r="M594" s="8"/>
      <c r="N594" s="165"/>
    </row>
    <row r="595" spans="1:14" s="3" customFormat="1" ht="12.2" customHeight="1" x14ac:dyDescent="0.15">
      <c r="A595" s="21" t="s">
        <v>640</v>
      </c>
      <c r="B595" s="22">
        <v>23</v>
      </c>
      <c r="C595" s="22">
        <v>4</v>
      </c>
      <c r="D595" s="2" t="s">
        <v>432</v>
      </c>
      <c r="E595" s="22"/>
      <c r="F595" s="78">
        <v>2724</v>
      </c>
      <c r="G595" s="79" t="s">
        <v>97</v>
      </c>
      <c r="H595" s="18">
        <f>5026.76</f>
        <v>5026.76</v>
      </c>
      <c r="I595" s="18">
        <f>38076.08</f>
        <v>38076.080000000002</v>
      </c>
      <c r="J595" s="18">
        <f>180656.54</f>
        <v>180656.54</v>
      </c>
      <c r="K595" s="80">
        <f t="shared" si="48"/>
        <v>223759.38</v>
      </c>
      <c r="L595" s="23" t="s">
        <v>288</v>
      </c>
      <c r="M595" s="8"/>
      <c r="N595" s="165"/>
    </row>
    <row r="596" spans="1:14" s="3" customFormat="1" ht="12.2" customHeight="1" x14ac:dyDescent="0.15">
      <c r="A596" s="103" t="s">
        <v>652</v>
      </c>
      <c r="B596" s="22">
        <v>23</v>
      </c>
      <c r="C596" s="22">
        <v>5</v>
      </c>
      <c r="D596" s="2" t="s">
        <v>432</v>
      </c>
      <c r="E596" s="22"/>
      <c r="F596" s="78">
        <v>2725</v>
      </c>
      <c r="G596" s="79" t="s">
        <v>97</v>
      </c>
      <c r="H596" s="18">
        <f>5468.74</f>
        <v>5468.74</v>
      </c>
      <c r="I596" s="18">
        <f>13371.82</f>
        <v>13371.82</v>
      </c>
      <c r="J596" s="18">
        <f>21775.95</f>
        <v>21775.95</v>
      </c>
      <c r="K596" s="80">
        <f t="shared" si="48"/>
        <v>40616.509999999995</v>
      </c>
      <c r="L596" s="23" t="s">
        <v>288</v>
      </c>
      <c r="M596" s="8"/>
      <c r="N596" s="165"/>
    </row>
    <row r="597" spans="1:14" s="3" customFormat="1" ht="12.2" customHeight="1" x14ac:dyDescent="0.15">
      <c r="A597" s="21" t="s">
        <v>641</v>
      </c>
      <c r="B597" s="22">
        <v>23</v>
      </c>
      <c r="C597" s="22">
        <v>6</v>
      </c>
      <c r="D597" s="2" t="s">
        <v>432</v>
      </c>
      <c r="E597" s="22"/>
      <c r="F597" s="78">
        <v>2726</v>
      </c>
      <c r="G597" s="79" t="s">
        <v>97</v>
      </c>
      <c r="H597" s="18">
        <f>1650</f>
        <v>1650</v>
      </c>
      <c r="I597" s="18">
        <f>756.2</f>
        <v>756.2</v>
      </c>
      <c r="J597" s="18">
        <f>1333.61</f>
        <v>1333.61</v>
      </c>
      <c r="K597" s="80">
        <f t="shared" si="48"/>
        <v>3739.8099999999995</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f>23076.59</f>
        <v>23076.59</v>
      </c>
      <c r="I598" s="18">
        <f>2499.61</f>
        <v>2499.61</v>
      </c>
      <c r="J598" s="18">
        <f>4408.29</f>
        <v>4408.29</v>
      </c>
      <c r="K598" s="80">
        <f t="shared" si="48"/>
        <v>29984.49</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1622963.21</v>
      </c>
      <c r="I599" s="81">
        <f>SUM(I592:I598)</f>
        <v>782298.80999999982</v>
      </c>
      <c r="J599" s="81">
        <f>SUM(J592:J598)</f>
        <v>1495116.86</v>
      </c>
      <c r="K599" s="81">
        <f>SUM(K592:K598)</f>
        <v>3900378.88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1036559.78</f>
        <v>1036559.78</v>
      </c>
      <c r="I605" s="18">
        <f>450099.71</f>
        <v>450099.71</v>
      </c>
      <c r="J605" s="18">
        <v>910800.71</v>
      </c>
      <c r="K605" s="80">
        <f>SUM(H605:J605)</f>
        <v>2397460.2000000002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1036559.78</v>
      </c>
      <c r="I606" s="81">
        <f>SUM(I603:I605)</f>
        <v>450099.71</v>
      </c>
      <c r="J606" s="81">
        <f>SUM(J603:J605)</f>
        <v>910800.71</v>
      </c>
      <c r="K606" s="81">
        <f>SUM(K603:K605)</f>
        <v>2397460.2000000002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115245.6</f>
        <v>115245.6</v>
      </c>
      <c r="G612" s="18">
        <f>21697.76</f>
        <v>21697.759999999998</v>
      </c>
      <c r="H612" s="18">
        <f>17734</f>
        <v>17734</v>
      </c>
      <c r="I612" s="18"/>
      <c r="J612" s="18"/>
      <c r="K612" s="18"/>
      <c r="L612" s="69">
        <f>SUM(F612:K612)</f>
        <v>154677.36000000002</v>
      </c>
      <c r="M612" s="8"/>
      <c r="N612" s="165"/>
    </row>
    <row r="613" spans="1:14" s="3" customFormat="1" ht="12.2" customHeight="1" x14ac:dyDescent="0.15">
      <c r="A613" s="21" t="s">
        <v>634</v>
      </c>
      <c r="B613" s="22">
        <v>23</v>
      </c>
      <c r="C613" s="22">
        <v>14</v>
      </c>
      <c r="D613" s="2" t="s">
        <v>432</v>
      </c>
      <c r="E613" s="22"/>
      <c r="F613" s="18">
        <f>41640.97</f>
        <v>41640.97</v>
      </c>
      <c r="G613" s="18">
        <f>8213.77</f>
        <v>8213.77</v>
      </c>
      <c r="H613" s="18">
        <f>9394</f>
        <v>9394</v>
      </c>
      <c r="I613" s="18"/>
      <c r="J613" s="18"/>
      <c r="K613" s="18"/>
      <c r="L613" s="69">
        <f>SUM(F613:K613)</f>
        <v>59248.740000000005</v>
      </c>
      <c r="M613" s="8"/>
      <c r="N613" s="165"/>
    </row>
    <row r="614" spans="1:14" s="3" customFormat="1" ht="12.2" customHeight="1" thickBot="1" x14ac:dyDescent="0.2">
      <c r="A614" s="21" t="s">
        <v>645</v>
      </c>
      <c r="B614" s="22">
        <v>23</v>
      </c>
      <c r="C614" s="22">
        <v>15</v>
      </c>
      <c r="D614" s="2" t="s">
        <v>432</v>
      </c>
      <c r="E614" s="22"/>
      <c r="F614" s="18">
        <f>46920.12</f>
        <v>46920.12</v>
      </c>
      <c r="G614" s="18">
        <f>10545.39</f>
        <v>10545.39</v>
      </c>
      <c r="H614" s="18">
        <f>2740</f>
        <v>2740</v>
      </c>
      <c r="I614" s="18"/>
      <c r="J614" s="18"/>
      <c r="K614" s="18"/>
      <c r="L614" s="69">
        <f>SUM(F614:K614)</f>
        <v>60205.51</v>
      </c>
      <c r="M614" s="8"/>
      <c r="N614" s="165"/>
    </row>
    <row r="615" spans="1:14" s="3" customFormat="1" ht="12.2" customHeight="1" thickTop="1" x14ac:dyDescent="0.15">
      <c r="A615" s="75" t="s">
        <v>340</v>
      </c>
      <c r="B615" s="41">
        <v>23</v>
      </c>
      <c r="C615" s="41">
        <v>16</v>
      </c>
      <c r="D615" s="36" t="s">
        <v>432</v>
      </c>
      <c r="E615" s="41"/>
      <c r="F615" s="81">
        <f t="shared" ref="F615:L615" si="49">SUM(F612:F614)</f>
        <v>203806.69</v>
      </c>
      <c r="G615" s="81">
        <f t="shared" si="49"/>
        <v>40456.92</v>
      </c>
      <c r="H615" s="81">
        <f t="shared" si="49"/>
        <v>29868</v>
      </c>
      <c r="I615" s="81">
        <f t="shared" si="49"/>
        <v>0</v>
      </c>
      <c r="J615" s="81">
        <f t="shared" si="49"/>
        <v>0</v>
      </c>
      <c r="K615" s="81">
        <f t="shared" si="49"/>
        <v>0</v>
      </c>
      <c r="L615" s="70">
        <f t="shared" si="49"/>
        <v>274131.61000000004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158787617.94999999</v>
      </c>
      <c r="H618" s="80">
        <f>SUM(F52)</f>
        <v>158787617.94999999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8320255.7399999993</v>
      </c>
      <c r="H619" s="80">
        <f>SUM(G52)</f>
        <v>8320255.7399999993</v>
      </c>
      <c r="I619" s="87" t="s">
        <v>875</v>
      </c>
      <c r="J619" s="80">
        <f>G619-H619</f>
        <v>0</v>
      </c>
      <c r="K619" s="80"/>
      <c r="L619" s="80"/>
      <c r="M619" s="8"/>
    </row>
    <row r="620" spans="1:14" s="3" customFormat="1" ht="12.2" customHeight="1" x14ac:dyDescent="0.15">
      <c r="A620" s="74"/>
      <c r="B620" s="22"/>
      <c r="C620" s="22"/>
      <c r="D620" s="22"/>
      <c r="E620" s="22"/>
      <c r="F620" s="87" t="s">
        <v>685</v>
      </c>
      <c r="G620" s="80">
        <f>SUM(H19)</f>
        <v>77433692.070000008</v>
      </c>
      <c r="H620" s="80">
        <f>SUM(H52)</f>
        <v>77433692.070000008</v>
      </c>
      <c r="I620" s="87" t="s">
        <v>876</v>
      </c>
      <c r="J620" s="80">
        <f>G620-H620</f>
        <v>0</v>
      </c>
      <c r="K620" s="80"/>
      <c r="L620" s="80"/>
      <c r="M620" s="8"/>
    </row>
    <row r="621" spans="1:14" s="3" customFormat="1" ht="12.2" customHeight="1" x14ac:dyDescent="0.15">
      <c r="A621" s="74"/>
      <c r="B621" s="22"/>
      <c r="C621" s="22"/>
      <c r="D621" s="22"/>
      <c r="E621" s="22"/>
      <c r="F621" s="87" t="s">
        <v>686</v>
      </c>
      <c r="G621" s="80">
        <f>SUM(I19)</f>
        <v>67767478.810000002</v>
      </c>
      <c r="H621" s="80">
        <f>SUM(I52)</f>
        <v>67767478.809999987</v>
      </c>
      <c r="I621" s="87" t="s">
        <v>877</v>
      </c>
      <c r="J621" s="80">
        <f>G621-H621</f>
        <v>0</v>
      </c>
      <c r="K621" s="80"/>
      <c r="L621" s="80"/>
      <c r="M621" s="8"/>
    </row>
    <row r="622" spans="1:14" s="3" customFormat="1" ht="12.2" customHeight="1" x14ac:dyDescent="0.15">
      <c r="A622" s="74"/>
      <c r="B622" s="22"/>
      <c r="C622" s="22"/>
      <c r="D622" s="22"/>
      <c r="E622" s="22"/>
      <c r="F622" s="87" t="s">
        <v>687</v>
      </c>
      <c r="G622" s="80">
        <f>SUM(J19)</f>
        <v>16072889.550000001</v>
      </c>
      <c r="H622" s="80">
        <f>SUM(J52)</f>
        <v>16072889.550000001</v>
      </c>
      <c r="I622" s="87" t="s">
        <v>878</v>
      </c>
      <c r="J622" s="80">
        <f>G622-H622</f>
        <v>0</v>
      </c>
      <c r="K622" s="80"/>
      <c r="L622" s="80"/>
      <c r="M622" s="8"/>
    </row>
    <row r="623" spans="1:14" s="3" customFormat="1" ht="12.2" customHeight="1" x14ac:dyDescent="0.15">
      <c r="A623" s="74"/>
      <c r="B623" s="22"/>
      <c r="C623" s="22"/>
      <c r="D623" s="22"/>
      <c r="E623" s="22"/>
      <c r="F623" s="87" t="s">
        <v>864</v>
      </c>
      <c r="G623" s="80">
        <f>F51</f>
        <v>5540675.54</v>
      </c>
      <c r="H623" s="80">
        <f>F477</f>
        <v>5540675.5400000066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1109175.46</v>
      </c>
      <c r="H624" s="80">
        <f>G477</f>
        <v>1109175.46</v>
      </c>
      <c r="I624" s="87" t="s">
        <v>102</v>
      </c>
      <c r="J624" s="80">
        <f t="shared" si="50"/>
        <v>0</v>
      </c>
      <c r="K624" s="80"/>
      <c r="L624" s="80"/>
      <c r="M624" s="8"/>
    </row>
    <row r="625" spans="1:13" s="3" customFormat="1" ht="12.2" customHeight="1" x14ac:dyDescent="0.15">
      <c r="A625" s="74"/>
      <c r="B625" s="22"/>
      <c r="C625" s="22"/>
      <c r="D625" s="22"/>
      <c r="E625" s="22"/>
      <c r="F625" s="86" t="s">
        <v>866</v>
      </c>
      <c r="G625" s="80">
        <f>H51</f>
        <v>346234</v>
      </c>
      <c r="H625" s="80">
        <f>H477</f>
        <v>346234</v>
      </c>
      <c r="I625" s="87" t="s">
        <v>103</v>
      </c>
      <c r="J625" s="80">
        <f t="shared" si="50"/>
        <v>0</v>
      </c>
      <c r="K625" s="80"/>
      <c r="L625" s="80"/>
      <c r="M625" s="8"/>
    </row>
    <row r="626" spans="1:13" s="3" customFormat="1" ht="12.2" customHeight="1" x14ac:dyDescent="0.15">
      <c r="A626" s="74"/>
      <c r="B626" s="22"/>
      <c r="C626" s="22"/>
      <c r="D626" s="22"/>
      <c r="E626" s="22"/>
      <c r="F626" s="86" t="s">
        <v>867</v>
      </c>
      <c r="G626" s="80">
        <f>I51</f>
        <v>-13586.150000000001</v>
      </c>
      <c r="H626" s="80">
        <f>I477</f>
        <v>-13586.149999999994</v>
      </c>
      <c r="I626" s="87" t="s">
        <v>104</v>
      </c>
      <c r="J626" s="80">
        <f t="shared" si="50"/>
        <v>0</v>
      </c>
      <c r="K626" s="80"/>
      <c r="L626" s="80"/>
      <c r="M626" s="8"/>
    </row>
    <row r="627" spans="1:13" s="3" customFormat="1" ht="12.2" customHeight="1" x14ac:dyDescent="0.15">
      <c r="A627" s="21"/>
      <c r="B627" s="22"/>
      <c r="C627" s="22"/>
      <c r="D627" s="22"/>
      <c r="E627" s="22"/>
      <c r="F627" s="86" t="s">
        <v>868</v>
      </c>
      <c r="G627" s="80">
        <f>J51</f>
        <v>20628687.66</v>
      </c>
      <c r="H627" s="80">
        <f>J477</f>
        <v>20628687.66</v>
      </c>
      <c r="I627" s="87" t="s">
        <v>105</v>
      </c>
      <c r="J627" s="80">
        <f t="shared" si="50"/>
        <v>0</v>
      </c>
      <c r="K627" s="67"/>
      <c r="L627" s="69"/>
      <c r="M627" s="8"/>
    </row>
    <row r="628" spans="1:13" s="3" customFormat="1" ht="12.2" customHeight="1" x14ac:dyDescent="0.15">
      <c r="A628" s="21"/>
      <c r="B628" s="22"/>
      <c r="C628" s="22"/>
      <c r="D628" s="22"/>
      <c r="E628" s="22"/>
      <c r="F628" s="86" t="s">
        <v>658</v>
      </c>
      <c r="G628" s="80">
        <f>F194</f>
        <v>97206152.420000017</v>
      </c>
      <c r="H628" s="80">
        <f>SUM(F469)</f>
        <v>97206152.420000002</v>
      </c>
      <c r="I628" s="87" t="s">
        <v>106</v>
      </c>
      <c r="J628" s="80">
        <f>G628-H628</f>
        <v>0</v>
      </c>
      <c r="K628" s="67"/>
      <c r="L628" s="69"/>
      <c r="M628" s="8"/>
    </row>
    <row r="629" spans="1:13" s="3" customFormat="1" ht="12.2" customHeight="1" x14ac:dyDescent="0.15">
      <c r="A629" s="21"/>
      <c r="B629" s="22"/>
      <c r="C629" s="22"/>
      <c r="D629" s="22"/>
      <c r="E629" s="22"/>
      <c r="F629" s="86" t="s">
        <v>659</v>
      </c>
      <c r="G629" s="80">
        <f>G194</f>
        <v>2185229.5699999994</v>
      </c>
      <c r="H629" s="80">
        <f>SUM(G469)</f>
        <v>2185229.5699999998</v>
      </c>
      <c r="I629" s="87" t="s">
        <v>107</v>
      </c>
      <c r="J629" s="80">
        <f>G629-H629</f>
        <v>0</v>
      </c>
      <c r="K629" s="67"/>
      <c r="L629" s="69"/>
      <c r="M629" s="8"/>
    </row>
    <row r="630" spans="1:13" s="3" customFormat="1" ht="12.2" customHeight="1" x14ac:dyDescent="0.15">
      <c r="A630" s="21"/>
      <c r="B630" s="22"/>
      <c r="C630" s="22"/>
      <c r="D630" s="22"/>
      <c r="E630" s="22"/>
      <c r="F630" s="86" t="s">
        <v>660</v>
      </c>
      <c r="G630" s="80">
        <f>H194</f>
        <v>11648045.439999999</v>
      </c>
      <c r="H630" s="80">
        <f>SUM(H469)</f>
        <v>11648045.439999999</v>
      </c>
      <c r="I630" s="87" t="s">
        <v>108</v>
      </c>
      <c r="J630" s="80">
        <f>G630-H630</f>
        <v>0</v>
      </c>
      <c r="K630" s="67"/>
      <c r="L630" s="69"/>
      <c r="M630" s="8"/>
    </row>
    <row r="631" spans="1:13" s="3" customFormat="1" ht="12.2" customHeight="1" x14ac:dyDescent="0.15">
      <c r="A631" s="21"/>
      <c r="B631" s="22"/>
      <c r="C631" s="22"/>
      <c r="D631" s="22"/>
      <c r="E631" s="22"/>
      <c r="F631" s="86" t="s">
        <v>661</v>
      </c>
      <c r="G631" s="80">
        <f>I194</f>
        <v>158544.26999999999</v>
      </c>
      <c r="H631" s="80">
        <f>SUM(I469)</f>
        <v>158544.26999999999</v>
      </c>
      <c r="I631" s="87" t="s">
        <v>109</v>
      </c>
      <c r="J631" s="80">
        <f>G631-H631</f>
        <v>0</v>
      </c>
      <c r="K631" s="67"/>
      <c r="L631" s="69"/>
      <c r="M631" s="8"/>
    </row>
    <row r="632" spans="1:13" s="3" customFormat="1" ht="12.2" customHeight="1" x14ac:dyDescent="0.15">
      <c r="A632" s="21"/>
      <c r="B632" s="22"/>
      <c r="C632" s="22"/>
      <c r="D632" s="22"/>
      <c r="E632" s="22"/>
      <c r="F632" s="86" t="s">
        <v>662</v>
      </c>
      <c r="G632" s="80">
        <f>J194</f>
        <v>3153958.1900000004</v>
      </c>
      <c r="H632" s="80">
        <f>SUM(J469)</f>
        <v>3153958.19</v>
      </c>
      <c r="I632" s="87" t="s">
        <v>110</v>
      </c>
      <c r="J632" s="80">
        <f>G632-H632</f>
        <v>0</v>
      </c>
      <c r="K632" s="67"/>
      <c r="L632" s="69"/>
      <c r="M632" s="8"/>
    </row>
    <row r="633" spans="1:13" s="3" customFormat="1" ht="12.2" customHeight="1" x14ac:dyDescent="0.15">
      <c r="A633" s="21"/>
      <c r="B633" s="22"/>
      <c r="C633" s="22"/>
      <c r="D633" s="22"/>
      <c r="E633" s="22"/>
      <c r="F633" s="86" t="s">
        <v>394</v>
      </c>
      <c r="G633" s="80">
        <f>SUM(L272)</f>
        <v>95943431.049999997</v>
      </c>
      <c r="H633" s="80">
        <f>SUM(F473)</f>
        <v>95943431.049999997</v>
      </c>
      <c r="I633" s="87" t="s">
        <v>111</v>
      </c>
      <c r="J633" s="80">
        <f t="shared" si="50"/>
        <v>0</v>
      </c>
      <c r="K633" s="67"/>
      <c r="L633" s="69"/>
      <c r="M633" s="8"/>
    </row>
    <row r="634" spans="1:13" s="3" customFormat="1" ht="12.2" customHeight="1" x14ac:dyDescent="0.15">
      <c r="A634" s="21"/>
      <c r="B634" s="22"/>
      <c r="C634" s="22"/>
      <c r="D634" s="22"/>
      <c r="E634" s="22"/>
      <c r="F634" s="86" t="s">
        <v>395</v>
      </c>
      <c r="G634" s="80">
        <f>SUM(L353)</f>
        <v>11669638.090000002</v>
      </c>
      <c r="H634" s="80">
        <f>SUM(H473)</f>
        <v>11669638.09</v>
      </c>
      <c r="I634" s="87" t="s">
        <v>112</v>
      </c>
      <c r="J634" s="80">
        <f>G634-H634</f>
        <v>0</v>
      </c>
      <c r="K634" s="67"/>
      <c r="L634" s="69"/>
      <c r="M634" s="8"/>
    </row>
    <row r="635" spans="1:13" s="124" customFormat="1" ht="12.2" customHeight="1" x14ac:dyDescent="0.15">
      <c r="A635" s="21"/>
      <c r="B635" s="22"/>
      <c r="C635" s="22"/>
      <c r="D635" s="22"/>
      <c r="E635" s="22"/>
      <c r="F635" s="99" t="s">
        <v>247</v>
      </c>
      <c r="G635" s="80">
        <f>I363</f>
        <v>1393438.3599999999</v>
      </c>
      <c r="H635" s="80">
        <f>I370</f>
        <v>1393438.36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2308374.4499999997</v>
      </c>
      <c r="H636" s="80">
        <f>SUM(G473)</f>
        <v>2308374.4500000002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154456.14999999997</v>
      </c>
      <c r="H637" s="80">
        <f>SUM(I473)</f>
        <v>154456.15</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3153958.1900000004</v>
      </c>
      <c r="H638" s="108">
        <f>SUM(J469)</f>
        <v>3153958.19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1407133.8</v>
      </c>
      <c r="H639" s="108">
        <f>SUM(J473)</f>
        <v>1407133.8</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16072889.550000001</v>
      </c>
      <c r="H641" s="80">
        <f>SUM(G462)</f>
        <v>16072889.550000001</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16072889.550000001</v>
      </c>
      <c r="H643" s="80">
        <f>SUM(I462)</f>
        <v>16072889.550000001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99406.2</v>
      </c>
      <c r="H645" s="80">
        <f>H409</f>
        <v>99406.2</v>
      </c>
      <c r="I645" s="87" t="s">
        <v>480</v>
      </c>
      <c r="J645" s="80">
        <f t="shared" si="50"/>
        <v>0</v>
      </c>
      <c r="K645" s="67"/>
      <c r="L645" s="69"/>
      <c r="M645" s="8"/>
    </row>
    <row r="646" spans="1:13" s="3" customFormat="1" ht="12.2" customHeight="1" x14ac:dyDescent="0.15">
      <c r="A646" s="21"/>
      <c r="B646" s="22"/>
      <c r="C646" s="22"/>
      <c r="D646" s="22"/>
      <c r="E646" s="22"/>
      <c r="F646" s="86" t="s">
        <v>664</v>
      </c>
      <c r="G646" s="80">
        <f>J184</f>
        <v>3012019.0700000003</v>
      </c>
      <c r="H646" s="80">
        <f>G409</f>
        <v>3012019.0700000003</v>
      </c>
      <c r="I646" s="87" t="s">
        <v>481</v>
      </c>
      <c r="J646" s="80">
        <f t="shared" si="50"/>
        <v>0</v>
      </c>
      <c r="K646" s="67"/>
      <c r="L646" s="69"/>
      <c r="M646" s="8"/>
    </row>
    <row r="647" spans="1:13" s="3" customFormat="1" ht="12.2" customHeight="1" x14ac:dyDescent="0.15">
      <c r="A647" s="21"/>
      <c r="B647" s="22"/>
      <c r="C647" s="22"/>
      <c r="D647" s="22"/>
      <c r="E647" s="22"/>
      <c r="F647" s="86" t="s">
        <v>662</v>
      </c>
      <c r="G647" s="80">
        <f>J194</f>
        <v>3153958.1900000004</v>
      </c>
      <c r="H647" s="80">
        <f>L409</f>
        <v>3153958.1900000004</v>
      </c>
      <c r="I647" s="87" t="s">
        <v>477</v>
      </c>
      <c r="J647" s="80">
        <f t="shared" si="50"/>
        <v>0</v>
      </c>
      <c r="K647" s="67"/>
      <c r="L647" s="69"/>
      <c r="M647" s="8"/>
    </row>
    <row r="648" spans="1:13" s="3" customFormat="1" ht="12.2" customHeight="1" x14ac:dyDescent="0.15">
      <c r="A648" s="21"/>
      <c r="B648" s="22"/>
      <c r="C648" s="22"/>
      <c r="D648" s="22"/>
      <c r="E648" s="22"/>
      <c r="F648" s="86" t="s">
        <v>51</v>
      </c>
      <c r="G648" s="80">
        <f>K599</f>
        <v>3900378.88</v>
      </c>
      <c r="H648" s="80">
        <f>L209+L227+L245</f>
        <v>3900378.88</v>
      </c>
      <c r="I648" s="87" t="s">
        <v>396</v>
      </c>
      <c r="J648" s="80">
        <f t="shared" si="50"/>
        <v>0</v>
      </c>
      <c r="K648" s="67"/>
      <c r="L648" s="69"/>
      <c r="M648" s="8"/>
    </row>
    <row r="649" spans="1:13" s="3" customFormat="1" ht="12.2" customHeight="1" x14ac:dyDescent="0.15">
      <c r="A649" s="21"/>
      <c r="B649" s="22"/>
      <c r="C649" s="22"/>
      <c r="D649" s="22"/>
      <c r="E649" s="22"/>
      <c r="F649" s="86" t="s">
        <v>52</v>
      </c>
      <c r="G649" s="80">
        <f>K606</f>
        <v>2397460.2000000002</v>
      </c>
      <c r="H649" s="80">
        <f>(J258+J339)-(J256+J337)</f>
        <v>2397460.1999999997</v>
      </c>
      <c r="I649" s="87" t="s">
        <v>699</v>
      </c>
      <c r="J649" s="80">
        <f t="shared" si="50"/>
        <v>0</v>
      </c>
      <c r="K649" s="67"/>
      <c r="L649" s="69"/>
      <c r="M649" s="8"/>
    </row>
    <row r="650" spans="1:13" s="3" customFormat="1" ht="12.2" customHeight="1" x14ac:dyDescent="0.15">
      <c r="A650" s="21"/>
      <c r="B650" s="22"/>
      <c r="C650" s="22"/>
      <c r="D650" s="22"/>
      <c r="E650" s="22"/>
      <c r="F650" s="86" t="s">
        <v>387</v>
      </c>
      <c r="G650" s="80">
        <f>L209</f>
        <v>1622963.21</v>
      </c>
      <c r="H650" s="80">
        <f>H599</f>
        <v>1622963.21</v>
      </c>
      <c r="I650" s="87" t="s">
        <v>388</v>
      </c>
      <c r="J650" s="80">
        <f t="shared" si="50"/>
        <v>0</v>
      </c>
      <c r="K650" s="67"/>
      <c r="L650" s="69"/>
      <c r="M650" s="8"/>
    </row>
    <row r="651" spans="1:13" s="3" customFormat="1" ht="12.2" customHeight="1" x14ac:dyDescent="0.15">
      <c r="A651" s="21"/>
      <c r="B651" s="22"/>
      <c r="C651" s="22"/>
      <c r="D651" s="22"/>
      <c r="E651" s="22"/>
      <c r="F651" s="86" t="s">
        <v>392</v>
      </c>
      <c r="G651" s="80">
        <f>L227</f>
        <v>782298.80999999982</v>
      </c>
      <c r="H651" s="80">
        <f>I599</f>
        <v>782298.80999999982</v>
      </c>
      <c r="I651" s="87" t="s">
        <v>389</v>
      </c>
      <c r="J651" s="80">
        <f t="shared" si="50"/>
        <v>0</v>
      </c>
      <c r="K651" s="67"/>
      <c r="L651" s="69"/>
      <c r="M651" s="8"/>
    </row>
    <row r="652" spans="1:13" s="3" customFormat="1" ht="12.2" customHeight="1" x14ac:dyDescent="0.15">
      <c r="A652" s="21"/>
      <c r="B652" s="22"/>
      <c r="C652" s="22"/>
      <c r="D652" s="22"/>
      <c r="E652" s="22"/>
      <c r="F652" s="86" t="s">
        <v>393</v>
      </c>
      <c r="G652" s="80">
        <f>L245</f>
        <v>1495116.8600000003</v>
      </c>
      <c r="H652" s="80">
        <f>J599</f>
        <v>1495116.86</v>
      </c>
      <c r="I652" s="87" t="s">
        <v>390</v>
      </c>
      <c r="J652" s="80">
        <f t="shared" si="50"/>
        <v>0</v>
      </c>
      <c r="K652" s="67"/>
      <c r="L652" s="69"/>
      <c r="M652" s="8"/>
    </row>
    <row r="653" spans="1:13" s="3" customFormat="1" ht="12.2" customHeight="1" x14ac:dyDescent="0.15">
      <c r="A653" s="21"/>
      <c r="B653" s="22"/>
      <c r="C653" s="22"/>
      <c r="D653" s="22"/>
      <c r="E653" s="22"/>
      <c r="F653" s="86" t="s">
        <v>665</v>
      </c>
      <c r="G653" s="80">
        <f>G180+G182</f>
        <v>75757.009999999995</v>
      </c>
      <c r="H653" s="80">
        <f>K264+K346</f>
        <v>75757.009999999995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3010693.33</v>
      </c>
      <c r="H656" s="80">
        <f>K267+K348</f>
        <v>3010693.33</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47086005.850000001</v>
      </c>
      <c r="G661" s="13">
        <f>(L230+L310+L360)</f>
        <v>18764427.329999998</v>
      </c>
      <c r="H661" s="13">
        <f>(L248+L329+L361)</f>
        <v>35113598.25</v>
      </c>
      <c r="I661" s="13">
        <f>SUM(F661:H661)</f>
        <v>100964031.43000001</v>
      </c>
      <c r="J661" s="13"/>
      <c r="K661" s="13"/>
      <c r="L661" s="13"/>
      <c r="M661" s="9"/>
    </row>
    <row r="662" spans="1:13" s="3" customFormat="1" ht="12.2" customHeight="1" x14ac:dyDescent="0.2">
      <c r="A662" s="1" t="s">
        <v>127</v>
      </c>
      <c r="F662" s="13">
        <f>(L359/IF(SUM(L359:L361)=0,1,SUM(L359:L361))*(SUM(G97:G110)))</f>
        <v>417307.66004905273</v>
      </c>
      <c r="G662" s="13">
        <f>(L360/IF(SUM(L359:L361)=0,1,SUM(L359:L361))*(SUM(G97:G110)))</f>
        <v>171529.79362207477</v>
      </c>
      <c r="H662" s="13">
        <f>(L361/IF(SUM(L359:L361)=0,1,SUM(L359:L361))*(SUM(G97:G110)))</f>
        <v>274267.33632887248</v>
      </c>
      <c r="I662" s="13">
        <f>SUM(F662:H662)</f>
        <v>863104.79</v>
      </c>
      <c r="J662"/>
      <c r="K662" s="13"/>
      <c r="L662" s="13"/>
      <c r="M662" s="8"/>
    </row>
    <row r="663" spans="1:13" s="3" customFormat="1" ht="12.2" customHeight="1" x14ac:dyDescent="0.2">
      <c r="A663" s="1" t="s">
        <v>128</v>
      </c>
      <c r="F663" s="13">
        <f>(L209+L288)-(J209+J288)</f>
        <v>1648353.85</v>
      </c>
      <c r="G663" s="13">
        <f>(L227+L307)-(J227+J307)</f>
        <v>942483.34999999986</v>
      </c>
      <c r="H663" s="13">
        <f>(L245+L326)-(J245+J326)</f>
        <v>1516069.6000000003</v>
      </c>
      <c r="I663" s="13">
        <f>SUM(F663:H663)</f>
        <v>4106906.8000000007</v>
      </c>
      <c r="J663"/>
      <c r="K663" s="13"/>
      <c r="L663" s="13"/>
      <c r="M663" s="9"/>
    </row>
    <row r="664" spans="1:13" s="3" customFormat="1" ht="12.2" customHeight="1" x14ac:dyDescent="0.15">
      <c r="A664" s="142" t="s">
        <v>129</v>
      </c>
      <c r="B664" s="124"/>
      <c r="C664" s="124"/>
      <c r="D664" s="124"/>
      <c r="E664" s="124"/>
      <c r="F664" s="143">
        <f>SUM(F576:F588)+SUM(H603:H605)+SUM(L612)</f>
        <v>1382720.9900000002</v>
      </c>
      <c r="G664" s="143">
        <f>SUM(G576:G588)+SUM(I603:I605)+L613</f>
        <v>728820.76</v>
      </c>
      <c r="H664" s="143">
        <f>SUM(H576:H588)+SUM(J603:J605)+L614</f>
        <v>3257078.96</v>
      </c>
      <c r="I664" s="13">
        <f>SUM(F664:H664)</f>
        <v>5368620.71</v>
      </c>
      <c r="J664" s="13"/>
      <c r="K664" s="13"/>
      <c r="L664" s="13"/>
      <c r="M664" s="9"/>
    </row>
    <row r="665" spans="1:13" s="3" customFormat="1" ht="12.2" customHeight="1" x14ac:dyDescent="0.15">
      <c r="A665" s="1" t="s">
        <v>130</v>
      </c>
      <c r="F665" s="13">
        <f>F661-SUM(F662:F664)</f>
        <v>43637623.349950947</v>
      </c>
      <c r="G665" s="13">
        <f>G661-SUM(G662:G664)</f>
        <v>16921593.426377922</v>
      </c>
      <c r="H665" s="13">
        <f>H661-SUM(H662:H664)</f>
        <v>30066182.353671126</v>
      </c>
      <c r="I665" s="13">
        <f>I661-SUM(I662:I664)</f>
        <v>90625399.13000001</v>
      </c>
      <c r="J665" s="13"/>
      <c r="K665" s="13"/>
      <c r="L665" s="13"/>
      <c r="M665" s="8"/>
    </row>
    <row r="666" spans="1:13" s="3" customFormat="1" ht="12.2" customHeight="1" x14ac:dyDescent="0.2">
      <c r="A666" s="1" t="s">
        <v>131</v>
      </c>
      <c r="F666" s="183">
        <v>1674.57</v>
      </c>
      <c r="G666" s="184">
        <v>814.9</v>
      </c>
      <c r="H666" s="184">
        <v>1436.83</v>
      </c>
      <c r="I666" s="13">
        <f>SUM(F666:H666)</f>
        <v>3926.2999999999997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26059</v>
      </c>
      <c r="G668" s="13">
        <f>ROUND(G665/G666,2)</f>
        <v>20765.240000000002</v>
      </c>
      <c r="H668" s="13">
        <f>ROUND(H665/H666,2)</f>
        <v>20925.36</v>
      </c>
      <c r="I668" s="13">
        <f>ROUND(I665/I666,2)</f>
        <v>23081.63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157.72</v>
      </c>
      <c r="I671" s="13">
        <f>SUM(F671:H671)</f>
        <v>157.72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26059</v>
      </c>
      <c r="G673" s="13">
        <f>ROUND((G665+G670)/(G666+G671),2)</f>
        <v>20765.240000000002</v>
      </c>
      <c r="H673" s="13">
        <f>ROUND((H665+H670)/(H666+H671),2)</f>
        <v>18855.59</v>
      </c>
      <c r="I673" s="13">
        <f>ROUND((I665+I670)/(I666+I671),2)</f>
        <v>22190.240000000002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682053.67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21260.29+11120.53+141496.15+37330.59</f>
        <v>211207.56</v>
      </c>
      <c r="F9" s="272" t="s">
        <v>1627</v>
      </c>
    </row>
    <row r="10" spans="2:8" x14ac:dyDescent="0.25">
      <c r="B10" s="271"/>
      <c r="C10" s="271"/>
      <c r="D10" s="271"/>
      <c r="E10" s="271"/>
      <c r="F10" s="271"/>
    </row>
    <row r="11" spans="2:8" x14ac:dyDescent="0.25">
      <c r="B11" s="271"/>
      <c r="C11" s="275" t="s">
        <v>1631</v>
      </c>
      <c r="D11" s="272" t="s">
        <v>1634</v>
      </c>
      <c r="E11" s="260">
        <f>16.67+3602.88+8539.61+21508.84</f>
        <v>33668</v>
      </c>
      <c r="F11" s="272" t="s">
        <v>1628</v>
      </c>
    </row>
    <row r="12" spans="2:8" x14ac:dyDescent="0.25">
      <c r="B12" s="271"/>
      <c r="C12" s="271"/>
      <c r="D12" s="272"/>
      <c r="E12" s="271"/>
      <c r="F12" s="271"/>
    </row>
    <row r="13" spans="2:8" x14ac:dyDescent="0.25">
      <c r="B13" s="271"/>
      <c r="C13" s="272" t="s">
        <v>1621</v>
      </c>
      <c r="D13" s="272" t="s">
        <v>1635</v>
      </c>
      <c r="E13" s="260">
        <f>23149.74+44782.91</f>
        <v>67932.650000000009</v>
      </c>
      <c r="F13" s="272" t="s">
        <v>1629</v>
      </c>
    </row>
    <row r="14" spans="2:8" x14ac:dyDescent="0.25">
      <c r="B14" s="271"/>
      <c r="C14" s="271"/>
      <c r="D14" s="272"/>
      <c r="E14" s="271"/>
      <c r="F14" s="271"/>
    </row>
    <row r="15" spans="2:8" x14ac:dyDescent="0.25">
      <c r="B15" s="271"/>
      <c r="C15" s="272" t="s">
        <v>1623</v>
      </c>
      <c r="D15" s="272" t="s">
        <v>1636</v>
      </c>
      <c r="E15" s="260">
        <f>-5839.8-4997.68+663.02+137419.92+242000</f>
        <v>369245.46</v>
      </c>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Concord</v>
      </c>
      <c r="C5" s="318"/>
      <c r="D5" s="318"/>
      <c r="E5" s="318"/>
      <c r="F5" s="318"/>
    </row>
    <row r="8" spans="1:9" ht="18" x14ac:dyDescent="0.25">
      <c r="A8" s="240" t="s">
        <v>1560</v>
      </c>
      <c r="F8" s="247" t="s">
        <v>1578</v>
      </c>
    </row>
    <row r="9" spans="1:9" ht="15" x14ac:dyDescent="0.2">
      <c r="A9" s="238" t="s">
        <v>1561</v>
      </c>
      <c r="B9" s="241">
        <f>'DOE25'!G97</f>
        <v>858773.25999999989</v>
      </c>
      <c r="F9" s="238" t="s">
        <v>1574</v>
      </c>
    </row>
    <row r="10" spans="1:9" ht="15" x14ac:dyDescent="0.2">
      <c r="A10" s="238" t="s">
        <v>1562</v>
      </c>
      <c r="B10" s="241">
        <f>'DOE25'!G112-'DOE25'!G97</f>
        <v>4467.2199999999721</v>
      </c>
      <c r="F10" s="238" t="s">
        <v>1575</v>
      </c>
    </row>
    <row r="11" spans="1:9" ht="15" x14ac:dyDescent="0.2">
      <c r="A11" s="238" t="s">
        <v>1563</v>
      </c>
      <c r="B11" s="241">
        <f>'DOE25'!G140</f>
        <v>31334.2</v>
      </c>
      <c r="F11" s="238" t="s">
        <v>1576</v>
      </c>
    </row>
    <row r="12" spans="1:9" ht="15" x14ac:dyDescent="0.2">
      <c r="A12" s="238" t="s">
        <v>1564</v>
      </c>
      <c r="B12" s="241">
        <f>'DOE25'!G170</f>
        <v>1214897.8799999999</v>
      </c>
      <c r="F12" s="238" t="s">
        <v>1577</v>
      </c>
    </row>
    <row r="13" spans="1:9" ht="15" x14ac:dyDescent="0.2">
      <c r="A13" s="238" t="s">
        <v>1565</v>
      </c>
      <c r="B13" s="241">
        <f>'DOE25'!G193-'DOE25'!G180</f>
        <v>0</v>
      </c>
      <c r="F13" s="238" t="s">
        <v>1587</v>
      </c>
    </row>
    <row r="14" spans="1:9" ht="18" x14ac:dyDescent="0.25">
      <c r="A14" s="240" t="s">
        <v>732</v>
      </c>
      <c r="B14" s="242">
        <f>SUM(B9:B13)</f>
        <v>2109472.5599999996</v>
      </c>
    </row>
    <row r="16" spans="1:9" ht="18" x14ac:dyDescent="0.25">
      <c r="A16" s="240" t="s">
        <v>786</v>
      </c>
      <c r="F16" s="247" t="s">
        <v>1579</v>
      </c>
    </row>
    <row r="17" spans="1:6" ht="15" x14ac:dyDescent="0.2">
      <c r="A17" s="238" t="s">
        <v>1566</v>
      </c>
      <c r="B17" s="241">
        <f>'DOE25'!L363-'DOE25'!L362</f>
        <v>2308374.4499999997</v>
      </c>
      <c r="F17" s="238" t="s">
        <v>1580</v>
      </c>
    </row>
    <row r="18" spans="1:6" ht="15" x14ac:dyDescent="0.2">
      <c r="A18" s="238" t="s">
        <v>1567</v>
      </c>
      <c r="B18" s="251"/>
      <c r="F18" s="247" t="s">
        <v>1604</v>
      </c>
    </row>
    <row r="19" spans="1:6" ht="18" x14ac:dyDescent="0.25">
      <c r="A19" s="240" t="s">
        <v>725</v>
      </c>
      <c r="B19" s="242">
        <f>SUM(B17:B18)</f>
        <v>2308374.4499999997</v>
      </c>
    </row>
    <row r="21" spans="1:6" ht="18.75" thickBot="1" x14ac:dyDescent="0.3">
      <c r="A21" s="240" t="s">
        <v>1568</v>
      </c>
    </row>
    <row r="22" spans="1:6" ht="18.75" thickTop="1" x14ac:dyDescent="0.25">
      <c r="A22" s="240" t="s">
        <v>1569</v>
      </c>
      <c r="B22" s="246">
        <f>B14-B19</f>
        <v>-198901.89000000013</v>
      </c>
      <c r="F22" s="238" t="s">
        <v>1581</v>
      </c>
    </row>
    <row r="26" spans="1:6" ht="18" x14ac:dyDescent="0.25">
      <c r="A26" s="240" t="s">
        <v>186</v>
      </c>
    </row>
    <row r="27" spans="1:6" ht="15" x14ac:dyDescent="0.2">
      <c r="A27" s="238" t="s">
        <v>1570</v>
      </c>
      <c r="B27" s="241">
        <f>'DOE25'!G180</f>
        <v>75757.009999999995</v>
      </c>
      <c r="F27" s="238" t="s">
        <v>1582</v>
      </c>
    </row>
    <row r="28" spans="1:6" ht="15" x14ac:dyDescent="0.2">
      <c r="A28" s="238" t="s">
        <v>1572</v>
      </c>
      <c r="B28" s="241">
        <f>'DOE25'!L362</f>
        <v>0</v>
      </c>
      <c r="F28" s="238" t="s">
        <v>1583</v>
      </c>
    </row>
    <row r="31" spans="1:6" ht="15" x14ac:dyDescent="0.2">
      <c r="A31" s="238" t="s">
        <v>1797</v>
      </c>
      <c r="B31" s="241">
        <f>'DOE25'!G466</f>
        <v>1232320.3400000001</v>
      </c>
      <c r="F31" s="238" t="s">
        <v>1584</v>
      </c>
    </row>
    <row r="33" spans="1:6" ht="15" x14ac:dyDescent="0.2">
      <c r="A33" s="238" t="s">
        <v>1798</v>
      </c>
      <c r="B33" s="241">
        <f>'DOE25'!G477</f>
        <v>1109175.46</v>
      </c>
      <c r="F33" s="238" t="s">
        <v>1585</v>
      </c>
    </row>
    <row r="36" spans="1:6" ht="15" x14ac:dyDescent="0.2">
      <c r="A36" s="238" t="s">
        <v>1571</v>
      </c>
      <c r="B36" s="252">
        <v>67436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130" zoomScaleNormal="130" workbookViewId="0">
      <selection activeCell="E15" sqref="E15"/>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Concord</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23588675.84</v>
      </c>
      <c r="C9" s="167">
        <f>'DOE25'!G198+'DOE25'!G216+'DOE25'!G234+'DOE25'!G277+'DOE25'!G296+'DOE25'!G315</f>
        <v>11605563.810000001</v>
      </c>
    </row>
    <row r="10" spans="1:3" x14ac:dyDescent="0.2">
      <c r="A10" t="s">
        <v>775</v>
      </c>
      <c r="B10" s="177">
        <v>20842141.91</v>
      </c>
      <c r="C10" s="177">
        <v>10254276.65</v>
      </c>
    </row>
    <row r="11" spans="1:3" x14ac:dyDescent="0.2">
      <c r="A11" t="s">
        <v>776</v>
      </c>
      <c r="B11" s="177">
        <f>62798.08+444973.29</f>
        <v>507771.37</v>
      </c>
      <c r="C11" s="177">
        <v>249822.12</v>
      </c>
    </row>
    <row r="12" spans="1:3" x14ac:dyDescent="0.2">
      <c r="A12" t="s">
        <v>777</v>
      </c>
      <c r="B12" s="177">
        <f>23588675.84-21349923.28+10</f>
        <v>2238762.5599999987</v>
      </c>
      <c r="C12" s="177">
        <v>1101465.04</v>
      </c>
    </row>
    <row r="13" spans="1:3" x14ac:dyDescent="0.2">
      <c r="A13" t="str">
        <f>IF(B9=B13,IF(C9=C13,"Check Total OK","Check Total Error"),"Check Total Error")</f>
        <v>Check Total OK</v>
      </c>
      <c r="B13" s="169">
        <f>SUM(B10:B12)</f>
        <v>23588675.84</v>
      </c>
      <c r="C13" s="169">
        <f>SUM(C10:C12)</f>
        <v>11605563.809999999</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9470328.0099999979</v>
      </c>
      <c r="C18" s="167">
        <f>'DOE25'!G199+'DOE25'!G217+'DOE25'!G235+'DOE25'!G278+'DOE25'!G297+'DOE25'!G316</f>
        <v>4176914.64</v>
      </c>
    </row>
    <row r="19" spans="1:3" x14ac:dyDescent="0.2">
      <c r="A19" t="s">
        <v>775</v>
      </c>
      <c r="B19" s="177">
        <v>5365015.7300000004</v>
      </c>
      <c r="C19" s="177">
        <v>2366255.1800000002</v>
      </c>
    </row>
    <row r="20" spans="1:3" x14ac:dyDescent="0.2">
      <c r="A20" t="s">
        <v>776</v>
      </c>
      <c r="B20" s="177">
        <v>3477948.48</v>
      </c>
      <c r="C20" s="177">
        <v>1533958.9</v>
      </c>
    </row>
    <row r="21" spans="1:3" x14ac:dyDescent="0.2">
      <c r="A21" t="s">
        <v>777</v>
      </c>
      <c r="B21" s="177">
        <f>9470328.01-8842964.21</f>
        <v>627363.79999999888</v>
      </c>
      <c r="C21" s="177">
        <v>276700.56</v>
      </c>
    </row>
    <row r="22" spans="1:3" x14ac:dyDescent="0.2">
      <c r="A22" t="str">
        <f>IF(B18=B22,IF(C18=C22,"Check Total OK","Check Total Error"),"Check Total Error")</f>
        <v>Check Total OK</v>
      </c>
      <c r="B22" s="169">
        <f>SUM(B19:B21)</f>
        <v>9470328.0099999998</v>
      </c>
      <c r="C22" s="169">
        <f>SUM(C19:C21)</f>
        <v>4176914.64</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1344856.03</v>
      </c>
      <c r="C27" s="172">
        <f>'DOE25'!G200+'DOE25'!G218+'DOE25'!G236+'DOE25'!G279+'DOE25'!G298+'DOE25'!G317</f>
        <v>705847.86</v>
      </c>
    </row>
    <row r="28" spans="1:3" x14ac:dyDescent="0.2">
      <c r="A28" t="s">
        <v>775</v>
      </c>
      <c r="B28" s="177">
        <v>1136938.51</v>
      </c>
      <c r="C28" s="177">
        <v>596722.32999999996</v>
      </c>
    </row>
    <row r="29" spans="1:3" x14ac:dyDescent="0.2">
      <c r="A29" t="s">
        <v>776</v>
      </c>
      <c r="B29" s="177">
        <v>23356.959999999999</v>
      </c>
      <c r="C29" s="177">
        <v>12258.9</v>
      </c>
    </row>
    <row r="30" spans="1:3" x14ac:dyDescent="0.2">
      <c r="A30" t="s">
        <v>777</v>
      </c>
      <c r="B30" s="177">
        <f>1344856.03-1160295.47</f>
        <v>184560.56000000006</v>
      </c>
      <c r="C30" s="177">
        <v>96866.63</v>
      </c>
    </row>
    <row r="31" spans="1:3" x14ac:dyDescent="0.2">
      <c r="A31" t="str">
        <f>IF(B27=B31,IF(C27=C31,"Check Total OK","Check Total Error"),"Check Total Error")</f>
        <v>Check Total OK</v>
      </c>
      <c r="B31" s="169">
        <f>SUM(B28:B30)</f>
        <v>1344856.03</v>
      </c>
      <c r="C31" s="169">
        <f>SUM(C28:C30)</f>
        <v>705847.86</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1074997.2699999998</v>
      </c>
      <c r="C36" s="173">
        <f>'DOE25'!G201+'DOE25'!G219+'DOE25'!G237+'DOE25'!G280+'DOE25'!G299+'DOE25'!G318</f>
        <v>274679.27</v>
      </c>
    </row>
    <row r="37" spans="1:3" x14ac:dyDescent="0.2">
      <c r="A37" t="s">
        <v>775</v>
      </c>
      <c r="B37" s="177"/>
      <c r="C37" s="177"/>
    </row>
    <row r="38" spans="1:3" x14ac:dyDescent="0.2">
      <c r="A38" t="s">
        <v>776</v>
      </c>
      <c r="B38" s="177"/>
      <c r="C38" s="177"/>
    </row>
    <row r="39" spans="1:3" x14ac:dyDescent="0.2">
      <c r="A39" t="s">
        <v>777</v>
      </c>
      <c r="B39" s="177">
        <v>1074997.27</v>
      </c>
      <c r="C39" s="177">
        <v>274679.27</v>
      </c>
    </row>
    <row r="40" spans="1:3" x14ac:dyDescent="0.2">
      <c r="A40" t="str">
        <f>IF(B36=B40,IF(C36=C40,"Check Total OK","Check Total Error"),"Check Total Error")</f>
        <v>Check Total OK</v>
      </c>
      <c r="B40" s="169">
        <f>SUM(B37:B39)</f>
        <v>1074997.27</v>
      </c>
      <c r="C40" s="169">
        <f>SUM(C37:C39)</f>
        <v>274679.27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30" zoomScaleNormal="130" workbookViewId="0">
      <pane ySplit="4" topLeftCell="A5" activePane="bottomLeft" state="frozen"/>
      <selection activeCell="F46" sqref="F46"/>
      <selection pane="bottomLeft" activeCell="D20" sqref="D2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Concord</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53479760.730000004</v>
      </c>
      <c r="D5" s="19">
        <f>SUM('DOE25'!L198:L201)+SUM('DOE25'!L216:L219)+SUM('DOE25'!L234:L237)-F5-G5-H5</f>
        <v>52354187.520000011</v>
      </c>
      <c r="E5" s="180"/>
      <c r="F5" s="181">
        <v>979561.15</v>
      </c>
      <c r="G5" s="19">
        <f>SUM('DOE25'!J198:J201)+SUM('DOE25'!J216:J219)+SUM('DOE25'!J234:J237)</f>
        <v>106603.69</v>
      </c>
      <c r="H5" s="19">
        <f>SUM('DOE25'!K198:K201)+SUM('DOE25'!K216:K219)+SUM('DOE25'!K234:K237)</f>
        <v>39408.370000000003</v>
      </c>
      <c r="I5" s="192"/>
    </row>
    <row r="6" spans="1:9" x14ac:dyDescent="0.2">
      <c r="A6" s="31">
        <v>2100</v>
      </c>
      <c r="B6" t="s">
        <v>796</v>
      </c>
      <c r="C6" s="206">
        <f t="shared" si="0"/>
        <v>8746874.8000000007</v>
      </c>
      <c r="D6" s="19">
        <f>'DOE25'!L203+'DOE25'!L221+'DOE25'!L239-F6-G6-H6</f>
        <v>8458803.5100000016</v>
      </c>
      <c r="E6" s="180"/>
      <c r="F6" s="181">
        <v>286633.28999999998</v>
      </c>
      <c r="G6" s="19">
        <f>'DOE25'!J203+'DOE25'!J221+'DOE25'!J239</f>
        <v>0</v>
      </c>
      <c r="H6" s="19">
        <f>'DOE25'!K203+'DOE25'!K221+'DOE25'!K239</f>
        <v>1438</v>
      </c>
      <c r="I6" s="192"/>
    </row>
    <row r="7" spans="1:9" x14ac:dyDescent="0.2">
      <c r="A7" s="31">
        <v>2200</v>
      </c>
      <c r="B7" t="s">
        <v>820</v>
      </c>
      <c r="C7" s="206">
        <f t="shared" si="0"/>
        <v>5727924.6100000003</v>
      </c>
      <c r="D7" s="19">
        <f>'DOE25'!L204+'DOE25'!L222+'DOE25'!L240-F7-G7-H7</f>
        <v>3860302.9699999997</v>
      </c>
      <c r="E7" s="180"/>
      <c r="F7" s="181"/>
      <c r="G7" s="19">
        <f>'DOE25'!J204+'DOE25'!J222+'DOE25'!J240</f>
        <v>1861004.3599999999</v>
      </c>
      <c r="H7" s="19">
        <f>'DOE25'!K204+'DOE25'!K222+'DOE25'!K240</f>
        <v>6617.2800000000007</v>
      </c>
      <c r="I7" s="192"/>
    </row>
    <row r="8" spans="1:9" x14ac:dyDescent="0.2">
      <c r="A8" s="31">
        <v>2300</v>
      </c>
      <c r="B8" t="s">
        <v>797</v>
      </c>
      <c r="C8" s="206">
        <f t="shared" si="0"/>
        <v>408968.79999999987</v>
      </c>
      <c r="D8" s="180"/>
      <c r="E8" s="19">
        <f>'DOE25'!L205+'DOE25'!L223+'DOE25'!L241-F8-G8-H8-D9-D11</f>
        <v>384964.35999999987</v>
      </c>
      <c r="F8" s="181"/>
      <c r="G8" s="19">
        <f>'DOE25'!J205+'DOE25'!J223+'DOE25'!J241</f>
        <v>0</v>
      </c>
      <c r="H8" s="19">
        <f>'DOE25'!K205+'DOE25'!K223+'DOE25'!K241</f>
        <v>24004.44</v>
      </c>
      <c r="I8" s="192"/>
    </row>
    <row r="9" spans="1:9" ht="14.25" x14ac:dyDescent="0.2">
      <c r="A9" s="31">
        <v>2310</v>
      </c>
      <c r="B9" s="71" t="s">
        <v>887</v>
      </c>
      <c r="C9" s="206">
        <f t="shared" si="0"/>
        <v>24651.78</v>
      </c>
      <c r="D9" s="181">
        <v>24651.78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1147036.43</v>
      </c>
      <c r="D11" s="181">
        <v>1147036.43</v>
      </c>
      <c r="E11" s="180"/>
      <c r="F11" s="180"/>
      <c r="G11" s="180"/>
      <c r="H11" s="180"/>
      <c r="I11" s="192"/>
    </row>
    <row r="12" spans="1:9" x14ac:dyDescent="0.2">
      <c r="A12" s="31">
        <v>2400</v>
      </c>
      <c r="B12" t="s">
        <v>711</v>
      </c>
      <c r="C12" s="206">
        <f t="shared" si="0"/>
        <v>5372093.6600000001</v>
      </c>
      <c r="D12" s="19">
        <f>'DOE25'!L206+'DOE25'!L224+'DOE25'!L242-F12-G12-H12</f>
        <v>5332529.66</v>
      </c>
      <c r="E12" s="180"/>
      <c r="F12" s="181"/>
      <c r="G12" s="19">
        <f>'DOE25'!J206+'DOE25'!J224+'DOE25'!J242</f>
        <v>6780</v>
      </c>
      <c r="H12" s="19">
        <f>'DOE25'!K206+'DOE25'!K224+'DOE25'!K242</f>
        <v>32784</v>
      </c>
      <c r="I12" s="192"/>
    </row>
    <row r="13" spans="1:9" x14ac:dyDescent="0.2">
      <c r="A13" s="31">
        <v>2500</v>
      </c>
      <c r="B13" t="s">
        <v>798</v>
      </c>
      <c r="C13" s="206">
        <f t="shared" si="0"/>
        <v>1020016.0300000001</v>
      </c>
      <c r="D13" s="180"/>
      <c r="E13" s="19">
        <f>'DOE25'!L207+'DOE25'!L225+'DOE25'!L243-F13-G13-H13</f>
        <v>962282.51000000013</v>
      </c>
      <c r="F13" s="181"/>
      <c r="G13" s="19">
        <f>'DOE25'!J207+'DOE25'!J225+'DOE25'!J243</f>
        <v>48072.92</v>
      </c>
      <c r="H13" s="19">
        <f>'DOE25'!K207+'DOE25'!K225+'DOE25'!K243</f>
        <v>9660.6</v>
      </c>
      <c r="I13" s="192"/>
    </row>
    <row r="14" spans="1:9" x14ac:dyDescent="0.2">
      <c r="A14" s="31">
        <v>2600</v>
      </c>
      <c r="B14" t="s">
        <v>818</v>
      </c>
      <c r="C14" s="206">
        <f t="shared" si="0"/>
        <v>6888614.5300000003</v>
      </c>
      <c r="D14" s="19">
        <f>'DOE25'!L208+'DOE25'!L226+'DOE25'!L244-F14-G14-H14</f>
        <v>6435399.3399999999</v>
      </c>
      <c r="E14" s="180"/>
      <c r="F14" s="181">
        <v>268981.26</v>
      </c>
      <c r="G14" s="19">
        <f>'DOE25'!J208+'DOE25'!J226+'DOE25'!J244</f>
        <v>179810.7</v>
      </c>
      <c r="H14" s="19">
        <f>'DOE25'!K208+'DOE25'!K226+'DOE25'!K244</f>
        <v>4423.2300000000005</v>
      </c>
      <c r="I14" s="192"/>
    </row>
    <row r="15" spans="1:9" x14ac:dyDescent="0.2">
      <c r="A15" s="31">
        <v>2700</v>
      </c>
      <c r="B15" t="s">
        <v>799</v>
      </c>
      <c r="C15" s="206">
        <f t="shared" si="0"/>
        <v>3900378.88</v>
      </c>
      <c r="D15" s="19">
        <f>'DOE25'!L209+'DOE25'!L227+'DOE25'!L245-F15-G15-H15</f>
        <v>3876888.68</v>
      </c>
      <c r="E15" s="180"/>
      <c r="F15" s="181"/>
      <c r="G15" s="19">
        <f>'DOE25'!J209+'DOE25'!J227+'DOE25'!J245</f>
        <v>20368.259999999998</v>
      </c>
      <c r="H15" s="19">
        <f>'DOE25'!K209+'DOE25'!K227+'DOE25'!K245</f>
        <v>3121.94</v>
      </c>
      <c r="I15" s="192"/>
    </row>
    <row r="16" spans="1:9" x14ac:dyDescent="0.2">
      <c r="A16" s="31">
        <v>2800</v>
      </c>
      <c r="B16" t="s">
        <v>800</v>
      </c>
      <c r="C16" s="206">
        <f t="shared" si="0"/>
        <v>685121.70000000007</v>
      </c>
      <c r="D16" s="180"/>
      <c r="E16" s="19">
        <f>'DOE25'!L210+'DOE25'!L228+'DOE25'!L246-F16-G16-H16</f>
        <v>625057.70000000007</v>
      </c>
      <c r="F16" s="181">
        <v>59820</v>
      </c>
      <c r="G16" s="19">
        <f>'DOE25'!J210+'DOE25'!J228+'DOE25'!J246</f>
        <v>0</v>
      </c>
      <c r="H16" s="19">
        <f>'DOE25'!K210+'DOE25'!K228+'DOE25'!K246</f>
        <v>244</v>
      </c>
      <c r="I16" s="192"/>
    </row>
    <row r="17" spans="1:9" x14ac:dyDescent="0.2">
      <c r="A17" s="31">
        <v>1600</v>
      </c>
      <c r="B17" t="s">
        <v>801</v>
      </c>
      <c r="C17" s="206">
        <f t="shared" si="0"/>
        <v>219388.25999999998</v>
      </c>
      <c r="D17" s="19">
        <f>'DOE25'!L252-F17-G17-H17</f>
        <v>219388.25999999998</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555500.55000000005</v>
      </c>
      <c r="D22" s="180"/>
      <c r="E22" s="180"/>
      <c r="F22" s="180"/>
      <c r="G22" s="19">
        <f>'DOE25'!L256+'DOE25'!L337</f>
        <v>555500.55000000005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4511163.5</v>
      </c>
      <c r="D25" s="180"/>
      <c r="E25" s="180"/>
      <c r="F25" s="191"/>
      <c r="G25" s="180"/>
      <c r="H25" s="180"/>
      <c r="I25" s="190">
        <f>'DOE25'!L261+'DOE25'!L262+'DOE25'!L342+'DOE25'!L343</f>
        <v>4511163.5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1060592.1599999997</v>
      </c>
      <c r="D29" s="212">
        <f>'DOE25'!L359+'DOE25'!L360+'DOE25'!L361-'DOE25'!I368-F29-G29-H29-F39</f>
        <v>1037941.7399999996</v>
      </c>
      <c r="E29" s="180"/>
      <c r="F29" s="180"/>
      <c r="G29" s="19">
        <f>'DOE25'!J359+'DOE25'!J360+'DOE25'!J361</f>
        <v>18969</v>
      </c>
      <c r="H29" s="19">
        <f>'DOE25'!K359+'DOE25'!K360+'DOE25'!K361</f>
        <v>3681.42</v>
      </c>
      <c r="I29" s="192"/>
    </row>
    <row r="30" spans="1:9" x14ac:dyDescent="0.2">
      <c r="A30" s="31"/>
      <c r="C30" s="207"/>
      <c r="D30" s="19"/>
      <c r="F30" s="201"/>
      <c r="G30" s="19"/>
      <c r="H30" s="19"/>
      <c r="I30" s="192"/>
    </row>
    <row r="31" spans="1:9" x14ac:dyDescent="0.2">
      <c r="A31" s="31" t="s">
        <v>817</v>
      </c>
      <c r="B31" t="s">
        <v>816</v>
      </c>
      <c r="C31" s="206">
        <f>SUM(D31:I31)</f>
        <v>11259703.100000001</v>
      </c>
      <c r="D31" s="19">
        <f>'DOE25'!L291+'DOE25'!L310+'DOE25'!L329+'DOE25'!L334+'DOE25'!L335+'DOE25'!L336-F31-G31-H31</f>
        <v>10851782.440000003</v>
      </c>
      <c r="E31" s="180"/>
      <c r="F31" s="181">
        <v>232882.7</v>
      </c>
      <c r="G31" s="19">
        <f>'DOE25'!J291+'DOE25'!J310+'DOE25'!J329+'DOE25'!J334+'DOE25'!J335+'DOE25'!J336</f>
        <v>174820.27</v>
      </c>
      <c r="H31" s="19">
        <f>'DOE25'!K291+'DOE25'!K310+'DOE25'!K329+'DOE25'!K334+'DOE25'!K335+'DOE25'!K336</f>
        <v>217.69</v>
      </c>
      <c r="I31" s="192"/>
    </row>
    <row r="32" spans="1:9" ht="12" thickBot="1" x14ac:dyDescent="0.25">
      <c r="C32" s="207"/>
      <c r="G32" s="188"/>
      <c r="H32" s="188"/>
      <c r="I32" s="194"/>
    </row>
    <row r="33" spans="1:9" ht="12" thickTop="1" x14ac:dyDescent="0.2">
      <c r="B33" t="s">
        <v>809</v>
      </c>
      <c r="D33" s="182">
        <f t="shared" ref="D33:I33" si="1">SUM(D5:D31)</f>
        <v>93598912.330000028</v>
      </c>
      <c r="E33" s="182">
        <f t="shared" si="1"/>
        <v>1972304.5700000003</v>
      </c>
      <c r="F33" s="182">
        <f t="shared" si="1"/>
        <v>1827878.4</v>
      </c>
      <c r="G33" s="182">
        <f t="shared" si="1"/>
        <v>2971929.7499999995</v>
      </c>
      <c r="H33" s="182">
        <f t="shared" si="1"/>
        <v>125600.97</v>
      </c>
      <c r="I33" s="182">
        <f t="shared" si="1"/>
        <v>4511163.5</v>
      </c>
    </row>
    <row r="34" spans="1:9" ht="12" thickBot="1" x14ac:dyDescent="0.25"/>
    <row r="35" spans="1:9" ht="12" thickBot="1" x14ac:dyDescent="0.25">
      <c r="B35" s="188" t="s">
        <v>830</v>
      </c>
      <c r="D35" s="189">
        <f>E33</f>
        <v>1972304.5700000003</v>
      </c>
      <c r="E35" s="185"/>
      <c r="F35" s="295" t="s">
        <v>1608</v>
      </c>
      <c r="G35" s="296"/>
      <c r="H35" s="296"/>
      <c r="I35" s="297"/>
    </row>
    <row r="36" spans="1:9" ht="12" thickTop="1" x14ac:dyDescent="0.2">
      <c r="B36" t="s">
        <v>810</v>
      </c>
      <c r="D36" s="19">
        <f>D33</f>
        <v>93598912.330000028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314"/>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rintOptions gridLines="1"/>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154" zoomScaleNormal="154" workbookViewId="0">
      <selection activeCell="I15" sqref="I1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Concord</v>
      </c>
      <c r="B2">
        <f>'DOE25'!B2</f>
        <v>111</v>
      </c>
      <c r="J2" s="224" t="s">
        <v>1808</v>
      </c>
      <c r="K2" s="309">
        <f>SUM('DOE25'!L198:L201)+SUM('DOE25'!L216:L219)+SUM('DOE25'!L234:L237)+SUM('DOE25'!L277:L280)+SUM('DOE25'!L296:L299)+SUM('DOE25'!L315:L318)</f>
        <v>58343485.180000007</v>
      </c>
      <c r="L2" s="309">
        <f>'DOE25'!L203+'DOE25'!L221+'DOE25'!L239+'DOE25'!L282+'DOE25'!L301+'DOE25'!L320</f>
        <v>9666764.1600000001</v>
      </c>
      <c r="M2" s="309">
        <f>'DOE25'!L204+'DOE25'!L222+'DOE25'!L240+'DOE25'!L283+'DOE25'!L302+'DOE25'!L321</f>
        <v>6399054.2499999991</v>
      </c>
      <c r="N2" s="309">
        <f>'DOE25'!L206+'DOE25'!L224+'DOE25'!L242+'DOE25'!L285+'DOE25'!L304+'DOE25'!L323</f>
        <v>5375766.8100000005</v>
      </c>
      <c r="O2" s="309">
        <f>'Salaries-Benefits'!B10+'Salaries-Benefits'!B12+'Salaries-Benefits'!B19+'Salaries-Benefits'!B21+'Salaries-Benefits'!B28+'Salaries-Benefits'!B30+'Salaries-Benefits'!B37+'Salaries-Benefits'!B39</f>
        <v>31469780.34</v>
      </c>
      <c r="P2" s="309">
        <f>'Salaries-Benefits'!B11+'Salaries-Benefits'!B20+'Salaries-Benefits'!B29+'Salaries-Benefits'!B38</f>
        <v>4009076.81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-58343485.180000007</v>
      </c>
      <c r="L3" s="311">
        <f t="shared" ref="L3:P3" si="0">L21+L33+L43-L2</f>
        <v>-9666764.1600000001</v>
      </c>
      <c r="M3" s="311">
        <f t="shared" si="0"/>
        <v>-6399054.2499999991</v>
      </c>
      <c r="N3" s="311">
        <f t="shared" si="0"/>
        <v>-5375766.8100000005</v>
      </c>
      <c r="O3" s="311">
        <f t="shared" si="0"/>
        <v>-31469780.34</v>
      </c>
      <c r="P3" s="311">
        <f t="shared" si="0"/>
        <v>-4009076.81</v>
      </c>
      <c r="Q3" s="310"/>
      <c r="R3" s="306"/>
      <c r="S3" s="215"/>
      <c r="T3" s="215"/>
      <c r="U3" s="216"/>
    </row>
    <row r="4" spans="1:21" ht="55.5" customHeight="1" thickBot="1" x14ac:dyDescent="0.25">
      <c r="A4" s="224" t="s">
        <v>1522</v>
      </c>
      <c r="B4" s="224" t="s">
        <v>1523</v>
      </c>
      <c r="C4" s="224" t="s">
        <v>896</v>
      </c>
      <c r="D4" s="224" t="s">
        <v>786</v>
      </c>
      <c r="E4" s="224" t="s">
        <v>786</v>
      </c>
      <c r="F4" s="228">
        <f>SUM(F5:F20)</f>
        <v>45969916.180000007</v>
      </c>
      <c r="G4" s="229">
        <f>'DOE25'!L212+'DOE25'!L291</f>
        <v>45969916.18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37393956.35-25162659.99</f>
        <v>12231296.360000003</v>
      </c>
      <c r="E5" s="220">
        <f>8575959.83-6972182.99</f>
        <v>1603776.8399999999</v>
      </c>
      <c r="F5" s="232">
        <f>D5+E5</f>
        <v>13835073.200000003</v>
      </c>
      <c r="G5" s="223"/>
      <c r="H5" s="223"/>
      <c r="J5" s="223"/>
      <c r="K5" s="223"/>
      <c r="L5" s="223"/>
      <c r="M5" s="223"/>
      <c r="N5" s="223"/>
      <c r="O5" s="223"/>
      <c r="P5" s="223"/>
      <c r="Q5" s="223"/>
    </row>
    <row r="6" spans="1:21" x14ac:dyDescent="0.2">
      <c r="A6" t="str" cm="1">
        <f t="array" ref="A6">IFERROR(INDEX('School Tables'!$A$4:$G$325,'School Tables'!$J4,3),"")</f>
        <v>Abbot-Downing School</v>
      </c>
      <c r="B6" s="230">
        <f>IFERROR(VLOOKUP(A6,'School Tables'!$C$3:$D$365,2,FALSE),"")</f>
        <v>20240</v>
      </c>
      <c r="C6" s="223" t="str">
        <f>IFERROR(INDEX('School Tables'!$B$3:$B$365,MATCH('School Level Expenditures'!B6,'School Tables'!$D$3:$D$365,0)),"")</f>
        <v>Concord</v>
      </c>
      <c r="D6" s="220">
        <v>4922493.55</v>
      </c>
      <c r="E6" s="220">
        <v>666225.39</v>
      </c>
      <c r="F6" s="232">
        <f t="shared" ref="F6:F20" si="1">D6+E6</f>
        <v>5588718.9399999995</v>
      </c>
      <c r="G6" s="223"/>
      <c r="H6" s="223"/>
      <c r="J6" t="str">
        <f>A6</f>
        <v>Abbot-Downing School</v>
      </c>
      <c r="K6" s="20"/>
      <c r="L6" s="20"/>
      <c r="M6" s="308"/>
      <c r="N6" s="20"/>
      <c r="O6" s="20"/>
      <c r="P6" s="20"/>
      <c r="Q6" s="20"/>
    </row>
    <row r="7" spans="1:21" x14ac:dyDescent="0.2">
      <c r="A7" t="str" cm="1">
        <f t="array" ref="A7">IFERROR(INDEX('School Tables'!$A$4:$G$325,'School Tables'!$J5,3),"")</f>
        <v>Beaver Meadow School</v>
      </c>
      <c r="B7" s="230">
        <f>IFERROR(VLOOKUP(A7,'School Tables'!$C$3:$D$365,2,FALSE),"")</f>
        <v>26490</v>
      </c>
      <c r="C7" s="223" t="str">
        <f>IFERROR(INDEX('School Tables'!$B$3:$B$365,MATCH('School Level Expenditures'!B7,'School Tables'!$D$3:$D$365,0)),"")</f>
        <v>Concord</v>
      </c>
      <c r="D7" s="220">
        <v>4890203.83</v>
      </c>
      <c r="E7" s="220">
        <v>561703.54</v>
      </c>
      <c r="F7" s="232">
        <f t="shared" si="1"/>
        <v>5451907.3700000001</v>
      </c>
      <c r="G7" s="223"/>
      <c r="H7" s="223"/>
      <c r="J7" t="str">
        <f t="shared" ref="J7:J20" si="2">A7</f>
        <v>Beaver Meadow School</v>
      </c>
      <c r="K7" s="20"/>
      <c r="L7" s="20"/>
      <c r="M7" s="308"/>
      <c r="N7" s="20"/>
      <c r="O7" s="20"/>
      <c r="P7" s="20"/>
      <c r="Q7" s="20"/>
    </row>
    <row r="8" spans="1:21" x14ac:dyDescent="0.2">
      <c r="A8" t="str" cm="1">
        <f t="array" ref="A8">IFERROR(INDEX('School Tables'!$A$4:$G$325,'School Tables'!$J6,3),"")</f>
        <v>Broken Ground School</v>
      </c>
      <c r="B8" s="230">
        <f>IFERROR(VLOOKUP(A8,'School Tables'!$C$3:$D$365,2,FALSE),"")</f>
        <v>20260</v>
      </c>
      <c r="C8" s="223" t="str">
        <f>IFERROR(INDEX('School Tables'!$B$3:$B$365,MATCH('School Level Expenditures'!B8,'School Tables'!$D$3:$D$365,0)),"")</f>
        <v>Concord</v>
      </c>
      <c r="D8" s="220">
        <v>5186881.71</v>
      </c>
      <c r="E8" s="220">
        <v>4114397.59</v>
      </c>
      <c r="F8" s="232">
        <f t="shared" si="1"/>
        <v>9301279.3000000007</v>
      </c>
      <c r="G8" s="223"/>
      <c r="H8" s="223"/>
      <c r="J8" t="str">
        <f t="shared" si="2"/>
        <v>Broken Ground School</v>
      </c>
      <c r="K8" s="20"/>
      <c r="L8" s="20"/>
      <c r="M8" s="308"/>
      <c r="N8" s="20"/>
      <c r="O8" s="20"/>
      <c r="P8" s="20"/>
      <c r="Q8" s="20"/>
    </row>
    <row r="9" spans="1:21" x14ac:dyDescent="0.2">
      <c r="A9" t="str" cm="1">
        <f t="array" ref="A9">IFERROR(INDEX('School Tables'!$A$4:$G$325,'School Tables'!$J7,3),"")</f>
        <v>Christa McAuliffe School</v>
      </c>
      <c r="B9" s="230">
        <f>IFERROR(VLOOKUP(A9,'School Tables'!$C$3:$D$365,2,FALSE),"")</f>
        <v>20305</v>
      </c>
      <c r="C9" s="223" t="str">
        <f>IFERROR(INDEX('School Tables'!$B$3:$B$365,MATCH('School Level Expenditures'!B9,'School Tables'!$D$3:$D$365,0)),"")</f>
        <v>Concord</v>
      </c>
      <c r="D9" s="220">
        <v>4942392.1900000004</v>
      </c>
      <c r="E9" s="220">
        <v>806559.69</v>
      </c>
      <c r="F9" s="232">
        <f t="shared" si="1"/>
        <v>5748951.8800000008</v>
      </c>
      <c r="G9" s="223"/>
      <c r="H9" s="223"/>
      <c r="J9" t="str">
        <f t="shared" si="2"/>
        <v>Christa McAuliffe School</v>
      </c>
      <c r="K9" s="20"/>
      <c r="L9" s="20"/>
      <c r="M9" s="308"/>
      <c r="N9" s="20"/>
      <c r="O9" s="20"/>
      <c r="P9" s="20"/>
      <c r="Q9" s="20"/>
    </row>
    <row r="10" spans="1:21" x14ac:dyDescent="0.2">
      <c r="A10" t="str" cm="1">
        <f t="array" ref="A10">IFERROR(INDEX('School Tables'!$A$4:$G$325,'School Tables'!$J8,3),"")</f>
        <v>Mill Brook School</v>
      </c>
      <c r="B10" s="230">
        <f>IFERROR(VLOOKUP(A10,'School Tables'!$C$3:$D$365,2,FALSE),"")</f>
        <v>20250</v>
      </c>
      <c r="C10" s="223" t="str">
        <f>IFERROR(INDEX('School Tables'!$B$3:$B$365,MATCH('School Level Expenditures'!B10,'School Tables'!$D$3:$D$365,0)),"")</f>
        <v>Concord</v>
      </c>
      <c r="D10" s="220">
        <v>5220688.71</v>
      </c>
      <c r="E10" s="220">
        <v>823296.78</v>
      </c>
      <c r="F10" s="232">
        <f t="shared" si="1"/>
        <v>6043985.4900000002</v>
      </c>
      <c r="G10" s="223"/>
      <c r="H10" s="223"/>
      <c r="J10" t="str">
        <f t="shared" si="2"/>
        <v>Mill Brook School</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37393956.350000001</v>
      </c>
      <c r="E21" s="262">
        <f>SUM(E5:E20)</f>
        <v>8575959.8299999982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18305670.759999998</v>
      </c>
      <c r="G24" s="229">
        <f>'DOE25'!L230+'DOE25'!L310</f>
        <v>18305670.759999998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Rundlett Middle School</v>
      </c>
      <c r="B26" s="230">
        <f>IFERROR(VLOOKUP(A26,'School Tables'!$N$4:$O$75,2,FALSE),"")</f>
        <v>20270</v>
      </c>
      <c r="C26" s="223" t="str">
        <f>IFERROR(INDEX('School Tables'!$M$4:$M$75,MATCH('School Level Expenditures'!A26,'School Tables'!$N$4:$N$75,0)),"")</f>
        <v>Concord</v>
      </c>
      <c r="D26" s="220">
        <v>17047831.039999999</v>
      </c>
      <c r="E26" s="220">
        <v>1257839.72</v>
      </c>
      <c r="F26" s="232">
        <f t="shared" ref="F26:F32" si="4">D26+E26</f>
        <v>18305670.759999998</v>
      </c>
      <c r="G26" s="223"/>
      <c r="H26" s="223"/>
      <c r="J26" t="str">
        <f t="shared" ref="J26:J32" si="5">A26</f>
        <v>Rundlett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17047831.039999999</v>
      </c>
      <c r="E33" s="262">
        <f>SUM(E25:E32)</f>
        <v>1257839.72</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34380070.039999999</v>
      </c>
      <c r="G36" s="229">
        <f>'DOE25'!L248+'DOE25'!L329</f>
        <v>34380070.039999999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Concord High School</v>
      </c>
      <c r="B38" s="230">
        <f>IFERROR(VLOOKUP(A38,'School Tables'!$Y$4:$Z$100,2,FALSE),"")</f>
        <v>20285</v>
      </c>
      <c r="C38" s="223" t="str">
        <f>IFERROR(INDEX('School Tables'!$X$4:$X$100,MATCH('School Level Expenditures'!A38,'School Tables'!$Y$4:$Y$100,0)),"")</f>
        <v>Concord</v>
      </c>
      <c r="D38" s="220">
        <v>32959654.559999999</v>
      </c>
      <c r="E38" s="220">
        <v>1420415.48</v>
      </c>
      <c r="F38" s="232">
        <f t="shared" si="7"/>
        <v>34380070.039999999</v>
      </c>
      <c r="G38" s="223"/>
      <c r="H38" s="223"/>
      <c r="J38" t="str">
        <f t="shared" ref="J38:J42" si="8">A38</f>
        <v>Concord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32959654.559999999</v>
      </c>
      <c r="E43" s="263">
        <f>SUM(E37:E42)</f>
        <v>1420415.48</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Concord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7861114.8199999994</v>
      </c>
      <c r="D8" s="73">
        <f>'DOE25'!G9</f>
        <v>1124786.56</v>
      </c>
      <c r="E8" s="73">
        <f>'DOE25'!H9</f>
        <v>-200340.99000000022</v>
      </c>
      <c r="F8" s="73">
        <f>'DOE25'!I9</f>
        <v>191166.03999999998</v>
      </c>
      <c r="G8" s="73">
        <f>'DOE25'!J9</f>
        <v>0</v>
      </c>
      <c r="H8" s="13">
        <f>SUM(C8:G8)</f>
        <v>8976726.4299999978</v>
      </c>
      <c r="I8" s="90"/>
    </row>
    <row r="9" spans="1:9" x14ac:dyDescent="0.2">
      <c r="A9" s="1" t="s">
        <v>140</v>
      </c>
      <c r="B9" s="6">
        <v>110</v>
      </c>
      <c r="C9" s="73">
        <f>'DOE25'!F10</f>
        <v>198.89</v>
      </c>
      <c r="D9" s="73">
        <f>'DOE25'!G10</f>
        <v>0</v>
      </c>
      <c r="E9" s="73">
        <f>'DOE25'!H10</f>
        <v>0</v>
      </c>
      <c r="F9" s="73">
        <f>'DOE25'!I10</f>
        <v>0</v>
      </c>
      <c r="G9" s="73">
        <f>'DOE25'!J10</f>
        <v>17776274.350000001</v>
      </c>
      <c r="H9" s="13">
        <f t="shared" ref="H9:H18" si="0">SUM(C9:G9)</f>
        <v>17776473.240000002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147404196.40999997</v>
      </c>
      <c r="D11" s="73">
        <f>'DOE25'!G12</f>
        <v>6884107.6200000001</v>
      </c>
      <c r="E11" s="73">
        <f>'DOE25'!H12</f>
        <v>75230196.829999998</v>
      </c>
      <c r="F11" s="73">
        <f>'DOE25'!I12</f>
        <v>67576312.769999996</v>
      </c>
      <c r="G11" s="73">
        <f>'DOE25'!J12</f>
        <v>-1703384.8</v>
      </c>
      <c r="H11" s="13">
        <f t="shared" si="0"/>
        <v>295391428.82999992</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3400807.8299999996</v>
      </c>
      <c r="D13" s="73">
        <f>'DOE25'!G14</f>
        <v>245748.97</v>
      </c>
      <c r="E13" s="73">
        <f>'DOE25'!H14</f>
        <v>2403836.23</v>
      </c>
      <c r="F13" s="73">
        <f>'DOE25'!I14</f>
        <v>0</v>
      </c>
      <c r="G13" s="73">
        <f>'DOE25'!J14</f>
        <v>0</v>
      </c>
      <c r="H13" s="13">
        <f t="shared" si="0"/>
        <v>6050393.0299999993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65612.59</v>
      </c>
      <c r="E15" s="73">
        <f>'DOE25'!H16</f>
        <v>0</v>
      </c>
      <c r="F15" s="73">
        <f>'DOE25'!I16</f>
        <v>0</v>
      </c>
      <c r="G15" s="23" t="s">
        <v>288</v>
      </c>
      <c r="H15" s="13">
        <f t="shared" si="0"/>
        <v>65612.59</v>
      </c>
      <c r="I15" s="90"/>
    </row>
    <row r="16" spans="1:9" x14ac:dyDescent="0.2">
      <c r="A16" s="1" t="s">
        <v>147</v>
      </c>
      <c r="B16" s="6">
        <v>180</v>
      </c>
      <c r="C16" s="73">
        <f>'DOE25'!F17</f>
        <v>1000</v>
      </c>
      <c r="D16" s="73">
        <f>'DOE25'!G17</f>
        <v>0</v>
      </c>
      <c r="E16" s="73">
        <f>'DOE25'!H17</f>
        <v>0</v>
      </c>
      <c r="F16" s="73">
        <f>'DOE25'!I17</f>
        <v>0</v>
      </c>
      <c r="G16" s="73">
        <f>'DOE25'!J17</f>
        <v>0</v>
      </c>
      <c r="H16" s="13">
        <f t="shared" si="0"/>
        <v>1000</v>
      </c>
      <c r="I16" s="90"/>
    </row>
    <row r="17" spans="1:9" ht="12" thickBot="1" x14ac:dyDescent="0.25">
      <c r="A17" s="1" t="s">
        <v>148</v>
      </c>
      <c r="B17" s="6">
        <v>190</v>
      </c>
      <c r="C17" s="73">
        <f>'DOE25'!F18</f>
        <v>120300</v>
      </c>
      <c r="D17" s="73">
        <f>'DOE25'!G18</f>
        <v>0</v>
      </c>
      <c r="E17" s="73">
        <f>'DOE25'!H18</f>
        <v>0</v>
      </c>
      <c r="F17" s="73">
        <f>'DOE25'!I18</f>
        <v>0</v>
      </c>
      <c r="G17" s="73">
        <f>'DOE25'!J18</f>
        <v>0</v>
      </c>
      <c r="H17" s="13">
        <f t="shared" si="0"/>
        <v>120300</v>
      </c>
      <c r="I17" s="90"/>
    </row>
    <row r="18" spans="1:9" ht="12" thickTop="1" x14ac:dyDescent="0.2">
      <c r="A18" s="35" t="s">
        <v>149</v>
      </c>
      <c r="B18" s="36"/>
      <c r="C18" s="38">
        <f>SUM(C8:C17)</f>
        <v>158787617.94999999</v>
      </c>
      <c r="D18" s="38">
        <f>SUM(D8:D17)</f>
        <v>8320255.7399999993</v>
      </c>
      <c r="E18" s="38">
        <f>SUM(E8:E17)</f>
        <v>77433692.070000008</v>
      </c>
      <c r="F18" s="38">
        <f>SUM(F8:F17)</f>
        <v>67767478.810000002</v>
      </c>
      <c r="G18" s="38">
        <f>SUM(G8:G17)</f>
        <v>16072889.550000001</v>
      </c>
      <c r="H18" s="38">
        <f t="shared" si="0"/>
        <v>328381934.12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148273716.57999998</v>
      </c>
      <c r="D21" s="73">
        <f>'DOE25'!G22</f>
        <v>6975698.7599999998</v>
      </c>
      <c r="E21" s="73">
        <f>'DOE25'!H22</f>
        <v>76930112.820000008</v>
      </c>
      <c r="F21" s="73">
        <f>'DOE25'!I22</f>
        <v>67767478.809999987</v>
      </c>
      <c r="G21" s="73">
        <f>'DOE25'!J22</f>
        <v>-4555798.1100000003</v>
      </c>
      <c r="H21" s="13">
        <f t="shared" ref="H21:H31" si="1">SUM(C21:G21)</f>
        <v>295391208.85999995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1870970.43</v>
      </c>
      <c r="D27" s="73">
        <f>'DOE25'!G28</f>
        <v>28338.27</v>
      </c>
      <c r="E27" s="73">
        <f>'DOE25'!H28</f>
        <v>157345.25</v>
      </c>
      <c r="F27" s="73">
        <f>'DOE25'!I28</f>
        <v>13586.15</v>
      </c>
      <c r="G27" s="23" t="s">
        <v>288</v>
      </c>
      <c r="H27" s="13">
        <f t="shared" si="1"/>
        <v>2070240.0999999999</v>
      </c>
      <c r="I27" s="90"/>
    </row>
    <row r="28" spans="1:9" x14ac:dyDescent="0.2">
      <c r="A28" s="1" t="s">
        <v>157</v>
      </c>
      <c r="B28" s="6">
        <v>470</v>
      </c>
      <c r="C28" s="73">
        <f>'DOE25'!F29</f>
        <v>3090623.0500000003</v>
      </c>
      <c r="D28" s="73">
        <f>'DOE25'!G29</f>
        <v>0</v>
      </c>
      <c r="E28" s="73">
        <f>'DOE25'!H29</f>
        <v>0</v>
      </c>
      <c r="F28" s="73">
        <f>'DOE25'!I29</f>
        <v>0</v>
      </c>
      <c r="G28" s="23" t="s">
        <v>288</v>
      </c>
      <c r="H28" s="13">
        <f t="shared" si="1"/>
        <v>3090623.0500000003</v>
      </c>
      <c r="I28" s="90"/>
    </row>
    <row r="29" spans="1:9" x14ac:dyDescent="0.2">
      <c r="A29" s="1" t="s">
        <v>158</v>
      </c>
      <c r="B29" s="6">
        <v>480</v>
      </c>
      <c r="C29" s="73">
        <f>'DOE25'!F30</f>
        <v>11632.35</v>
      </c>
      <c r="D29" s="73">
        <f>'DOE25'!G30</f>
        <v>207043.25</v>
      </c>
      <c r="E29" s="73">
        <f>'DOE25'!H30</f>
        <v>0</v>
      </c>
      <c r="F29" s="73">
        <f>'DOE25'!I30</f>
        <v>0</v>
      </c>
      <c r="G29" s="23" t="s">
        <v>288</v>
      </c>
      <c r="H29" s="13">
        <f t="shared" si="1"/>
        <v>218675.6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153246942.41</v>
      </c>
      <c r="D31" s="38">
        <f>SUM(D21:D30)</f>
        <v>7211080.2799999993</v>
      </c>
      <c r="E31" s="38">
        <f>SUM(E21:E30)</f>
        <v>77087458.070000008</v>
      </c>
      <c r="F31" s="38">
        <f>SUM(F21:F30)</f>
        <v>67781064.959999993</v>
      </c>
      <c r="G31" s="38">
        <f>SUM(G21:G30)</f>
        <v>-4555798.1100000003</v>
      </c>
      <c r="H31" s="38">
        <f t="shared" si="1"/>
        <v>300770747.60999995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993621.45</v>
      </c>
      <c r="D44" s="73">
        <f>'DOE25'!G45</f>
        <v>730</v>
      </c>
      <c r="E44" s="73">
        <f>'DOE25'!H45</f>
        <v>145437.16</v>
      </c>
      <c r="F44" s="73">
        <f>'DOE25'!I45</f>
        <v>9671</v>
      </c>
      <c r="G44" s="73">
        <f>'DOE25'!J45</f>
        <v>0</v>
      </c>
      <c r="H44" s="13">
        <f t="shared" si="2"/>
        <v>1149459.6099999999</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1108445.46</v>
      </c>
      <c r="E47" s="73">
        <f>'DOE25'!H48</f>
        <v>200796.84</v>
      </c>
      <c r="F47" s="73">
        <f>'DOE25'!I48</f>
        <v>-23257.15</v>
      </c>
      <c r="G47" s="73">
        <f>'DOE25'!J48</f>
        <v>20628687.66</v>
      </c>
      <c r="H47" s="13">
        <f t="shared" si="2"/>
        <v>21914672.809999999</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4547054.09</v>
      </c>
      <c r="D49" s="23" t="s">
        <v>288</v>
      </c>
      <c r="E49" s="23" t="s">
        <v>288</v>
      </c>
      <c r="F49" s="23" t="s">
        <v>288</v>
      </c>
      <c r="G49" s="23" t="s">
        <v>288</v>
      </c>
      <c r="H49" s="13">
        <f t="shared" si="2"/>
        <v>4547054.09</v>
      </c>
      <c r="I49" s="90"/>
    </row>
    <row r="50" spans="1:9" ht="12.75" thickTop="1" thickBot="1" x14ac:dyDescent="0.25">
      <c r="A50" s="35" t="s">
        <v>883</v>
      </c>
      <c r="B50" s="44"/>
      <c r="C50" s="38">
        <f>SUM(C34:C49)</f>
        <v>5540675.54</v>
      </c>
      <c r="D50" s="38">
        <f>SUM(D34:D49)</f>
        <v>1109175.46</v>
      </c>
      <c r="E50" s="38">
        <f>SUM(E34:E49)</f>
        <v>346234</v>
      </c>
      <c r="F50" s="38">
        <f>SUM(F34:F49)</f>
        <v>-13586.150000000001</v>
      </c>
      <c r="G50" s="38">
        <f>SUM(G34:G49)</f>
        <v>20628687.66</v>
      </c>
      <c r="H50" s="38">
        <f t="shared" si="2"/>
        <v>27611186.509999998</v>
      </c>
      <c r="I50" s="90"/>
    </row>
    <row r="51" spans="1:9" ht="12" thickTop="1" x14ac:dyDescent="0.2">
      <c r="A51" s="35" t="s">
        <v>884</v>
      </c>
      <c r="B51" s="2"/>
      <c r="C51" s="38">
        <f>C50+C31</f>
        <v>158787617.94999999</v>
      </c>
      <c r="D51" s="38">
        <f>D50+D31</f>
        <v>8320255.7399999993</v>
      </c>
      <c r="E51" s="38">
        <f>E50+E31</f>
        <v>77433692.070000008</v>
      </c>
      <c r="F51" s="38">
        <f>F50+F31</f>
        <v>67767478.809999987</v>
      </c>
      <c r="G51" s="38">
        <f>G50+G31</f>
        <v>16072889.550000001</v>
      </c>
      <c r="H51" s="38">
        <f t="shared" si="2"/>
        <v>328381934.12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62624477.649999999</v>
      </c>
      <c r="D56" s="73">
        <f>'DOE25'!G60</f>
        <v>0</v>
      </c>
      <c r="E56" s="73">
        <f>'DOE25'!H60</f>
        <v>0</v>
      </c>
      <c r="F56" s="73">
        <f>'DOE25'!I60</f>
        <v>0</v>
      </c>
      <c r="G56" s="73">
        <f>'DOE25'!J60</f>
        <v>0</v>
      </c>
      <c r="H56" s="13">
        <f t="shared" ref="H56:H63" si="3">SUM(C56:G56)</f>
        <v>62624477.649999999</v>
      </c>
      <c r="I56"/>
    </row>
    <row r="57" spans="1:9" x14ac:dyDescent="0.2">
      <c r="A57" s="1" t="s">
        <v>164</v>
      </c>
      <c r="B57" s="6" t="s">
        <v>165</v>
      </c>
      <c r="C57" s="73">
        <f>'DOE25'!F79</f>
        <v>5125589.7300000004</v>
      </c>
      <c r="D57" s="23" t="s">
        <v>288</v>
      </c>
      <c r="E57" s="73">
        <f>'DOE25'!H79</f>
        <v>0</v>
      </c>
      <c r="F57" s="23" t="s">
        <v>288</v>
      </c>
      <c r="G57" s="23" t="s">
        <v>288</v>
      </c>
      <c r="H57" s="13">
        <f t="shared" si="3"/>
        <v>5125589.7300000004</v>
      </c>
      <c r="I57"/>
    </row>
    <row r="58" spans="1:9" x14ac:dyDescent="0.2">
      <c r="A58" s="1" t="s">
        <v>166</v>
      </c>
      <c r="B58" s="6" t="s">
        <v>167</v>
      </c>
      <c r="C58" s="73">
        <f>'DOE25'!F94</f>
        <v>279803.59000000003</v>
      </c>
      <c r="D58" s="23" t="s">
        <v>288</v>
      </c>
      <c r="E58" s="73">
        <f>'DOE25'!H94</f>
        <v>0</v>
      </c>
      <c r="F58" s="23" t="s">
        <v>288</v>
      </c>
      <c r="G58" s="23" t="s">
        <v>288</v>
      </c>
      <c r="H58" s="13">
        <f t="shared" si="3"/>
        <v>279803.59000000003</v>
      </c>
      <c r="I58"/>
    </row>
    <row r="59" spans="1:9" x14ac:dyDescent="0.2">
      <c r="A59" s="1" t="s">
        <v>168</v>
      </c>
      <c r="B59" s="6" t="s">
        <v>169</v>
      </c>
      <c r="C59" s="73">
        <f>'DOE25'!F96</f>
        <v>89542.6</v>
      </c>
      <c r="D59" s="73">
        <f>'DOE25'!G96</f>
        <v>135.69</v>
      </c>
      <c r="E59" s="73">
        <f>'DOE25'!H96</f>
        <v>0</v>
      </c>
      <c r="F59" s="73">
        <f>'DOE25'!I96</f>
        <v>1.47</v>
      </c>
      <c r="G59" s="73">
        <f>'DOE25'!J96</f>
        <v>99406.2</v>
      </c>
      <c r="H59" s="13">
        <f t="shared" si="3"/>
        <v>189085.96000000002</v>
      </c>
      <c r="I59"/>
    </row>
    <row r="60" spans="1:9" x14ac:dyDescent="0.2">
      <c r="A60" s="1" t="s">
        <v>170</v>
      </c>
      <c r="B60" s="22" t="s">
        <v>171</v>
      </c>
      <c r="C60" s="23" t="s">
        <v>288</v>
      </c>
      <c r="D60" s="73">
        <f>'DOE25'!G97</f>
        <v>858773.25999999989</v>
      </c>
      <c r="E60" s="23" t="s">
        <v>288</v>
      </c>
      <c r="F60" s="23" t="s">
        <v>288</v>
      </c>
      <c r="G60" s="23" t="s">
        <v>288</v>
      </c>
      <c r="H60" s="13">
        <f t="shared" si="3"/>
        <v>858773.25999999989</v>
      </c>
      <c r="I60"/>
    </row>
    <row r="61" spans="1:9" ht="12" thickBot="1" x14ac:dyDescent="0.25">
      <c r="A61" s="1" t="s">
        <v>172</v>
      </c>
      <c r="B61" s="22" t="s">
        <v>173</v>
      </c>
      <c r="C61" s="73">
        <f>SUM('DOE25'!F98:F110)</f>
        <v>766433.37999999989</v>
      </c>
      <c r="D61" s="73">
        <f>SUM('DOE25'!G98:G110)</f>
        <v>4331.53</v>
      </c>
      <c r="E61" s="73">
        <f>SUM('DOE25'!H98:H110)</f>
        <v>91737.45</v>
      </c>
      <c r="F61" s="73">
        <f>SUM('DOE25'!I98:I110)</f>
        <v>0</v>
      </c>
      <c r="G61" s="73">
        <f>SUM('DOE25'!J98:J110)</f>
        <v>42532.92</v>
      </c>
      <c r="H61" s="13">
        <f t="shared" si="3"/>
        <v>905035.27999999991</v>
      </c>
      <c r="I61"/>
    </row>
    <row r="62" spans="1:9" ht="12.75" thickTop="1" thickBot="1" x14ac:dyDescent="0.25">
      <c r="A62" s="28" t="s">
        <v>174</v>
      </c>
      <c r="B62" s="6"/>
      <c r="C62" s="93">
        <f>SUM(C57:C61)</f>
        <v>6261369.2999999998</v>
      </c>
      <c r="D62" s="93">
        <f>SUM(D57:D61)</f>
        <v>863240.47999999986</v>
      </c>
      <c r="E62" s="93">
        <f>SUM(E57:E61)</f>
        <v>91737.45</v>
      </c>
      <c r="F62" s="93">
        <f>SUM(F57:F61)</f>
        <v>1.47</v>
      </c>
      <c r="G62" s="93">
        <f>SUM(G57:G61)</f>
        <v>141939.12</v>
      </c>
      <c r="H62" s="13">
        <f t="shared" si="3"/>
        <v>7358287.8199999994</v>
      </c>
      <c r="I62"/>
    </row>
    <row r="63" spans="1:9" ht="12" thickTop="1" x14ac:dyDescent="0.2">
      <c r="A63" s="28" t="s">
        <v>175</v>
      </c>
      <c r="B63" s="6"/>
      <c r="C63" s="21">
        <f>C56+C62</f>
        <v>68885846.950000003</v>
      </c>
      <c r="D63" s="21">
        <f>D56+D62</f>
        <v>863240.47999999986</v>
      </c>
      <c r="E63" s="21">
        <f>E56+E62</f>
        <v>91737.45</v>
      </c>
      <c r="F63" s="21">
        <f>F56+F62</f>
        <v>1.47</v>
      </c>
      <c r="G63" s="21">
        <f>G56+G62</f>
        <v>141939.12</v>
      </c>
      <c r="H63" s="13">
        <f t="shared" si="3"/>
        <v>69982765.470000014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16475899.51</v>
      </c>
      <c r="D66" s="23" t="s">
        <v>288</v>
      </c>
      <c r="E66" s="23" t="s">
        <v>288</v>
      </c>
      <c r="F66" s="23" t="s">
        <v>288</v>
      </c>
      <c r="G66" s="23" t="s">
        <v>288</v>
      </c>
      <c r="H66" s="13">
        <f t="shared" ref="H66:H81" si="4">SUM(C66:G66)</f>
        <v>16475899.51</v>
      </c>
      <c r="I66"/>
    </row>
    <row r="67" spans="1:9" x14ac:dyDescent="0.2">
      <c r="A67" s="1" t="s">
        <v>770</v>
      </c>
      <c r="B67" s="6">
        <v>3112</v>
      </c>
      <c r="C67" s="73">
        <f>'DOE25'!F118</f>
        <v>5353321</v>
      </c>
      <c r="D67" s="23"/>
      <c r="E67" s="23"/>
      <c r="F67" s="23"/>
      <c r="G67" s="23"/>
      <c r="H67" s="13">
        <f t="shared" si="4"/>
        <v>5353321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589753.85</v>
      </c>
      <c r="D69" s="73">
        <f>'DOE25'!G120</f>
        <v>0</v>
      </c>
      <c r="E69" s="73">
        <f>'DOE25'!H120</f>
        <v>0</v>
      </c>
      <c r="F69" s="73">
        <f>'DOE25'!I120</f>
        <v>0</v>
      </c>
      <c r="G69" s="73">
        <f>'DOE25'!J120</f>
        <v>0</v>
      </c>
      <c r="H69" s="13">
        <f t="shared" si="4"/>
        <v>589753.85</v>
      </c>
      <c r="I69"/>
    </row>
    <row r="70" spans="1:9" ht="12" thickTop="1" x14ac:dyDescent="0.2">
      <c r="A70" s="28" t="s">
        <v>252</v>
      </c>
      <c r="B70" s="2"/>
      <c r="C70" s="97">
        <f>SUM(C66:C69)</f>
        <v>22418974.359999999</v>
      </c>
      <c r="D70" s="97">
        <f>D69</f>
        <v>0</v>
      </c>
      <c r="E70" s="97">
        <f>E69</f>
        <v>0</v>
      </c>
      <c r="F70" s="97">
        <f>F69</f>
        <v>0</v>
      </c>
      <c r="G70" s="97">
        <f>G69</f>
        <v>0</v>
      </c>
      <c r="H70" s="13">
        <f t="shared" si="4"/>
        <v>22418974.359999999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932752.76</v>
      </c>
      <c r="D72" s="23" t="s">
        <v>288</v>
      </c>
      <c r="E72" s="23" t="s">
        <v>288</v>
      </c>
      <c r="F72" s="73">
        <f>'DOE25'!I123</f>
        <v>0</v>
      </c>
      <c r="G72" s="23" t="s">
        <v>288</v>
      </c>
      <c r="H72" s="13">
        <f t="shared" si="4"/>
        <v>932752.76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822567.95</v>
      </c>
      <c r="D75" s="23" t="s">
        <v>288</v>
      </c>
      <c r="E75" s="23" t="s">
        <v>288</v>
      </c>
      <c r="F75" s="23" t="s">
        <v>288</v>
      </c>
      <c r="G75" s="23" t="s">
        <v>288</v>
      </c>
      <c r="H75" s="13">
        <f t="shared" si="4"/>
        <v>822567.95</v>
      </c>
      <c r="I75"/>
    </row>
    <row r="76" spans="1:9" x14ac:dyDescent="0.2">
      <c r="A76" s="1" t="s">
        <v>257</v>
      </c>
      <c r="B76" s="6" t="s">
        <v>179</v>
      </c>
      <c r="C76" s="73">
        <f>SUM('DOE25'!F127:F130)</f>
        <v>1720199.27</v>
      </c>
      <c r="D76" s="23" t="s">
        <v>288</v>
      </c>
      <c r="E76" s="73">
        <f>SUM('DOE25'!H127:H130)</f>
        <v>103188.73999999999</v>
      </c>
      <c r="F76" s="73">
        <f>SUM('DOE25'!I127:I130)</f>
        <v>0</v>
      </c>
      <c r="G76" s="23" t="s">
        <v>288</v>
      </c>
      <c r="H76" s="13">
        <f t="shared" si="4"/>
        <v>1823388.01</v>
      </c>
      <c r="I76"/>
    </row>
    <row r="77" spans="1:9" ht="12" thickBot="1" x14ac:dyDescent="0.25">
      <c r="A77" s="1" t="s">
        <v>258</v>
      </c>
      <c r="B77" s="6" t="s">
        <v>180</v>
      </c>
      <c r="C77" s="73">
        <f>SUM('DOE25'!F131:F135)</f>
        <v>0</v>
      </c>
      <c r="D77" s="73">
        <f>SUM('DOE25'!G131:G135)</f>
        <v>31334.2</v>
      </c>
      <c r="E77" s="73">
        <f>SUM('DOE25'!H131:H135)</f>
        <v>33998.57</v>
      </c>
      <c r="F77" s="73">
        <f>SUM('DOE25'!I131:I135)</f>
        <v>0</v>
      </c>
      <c r="G77" s="73">
        <f>SUM('DOE25'!J131:J135)</f>
        <v>0</v>
      </c>
      <c r="H77" s="13">
        <f t="shared" si="4"/>
        <v>65332.770000000004</v>
      </c>
      <c r="I77"/>
    </row>
    <row r="78" spans="1:9" ht="12.75" thickTop="1" thickBot="1" x14ac:dyDescent="0.25">
      <c r="A78" s="28" t="s">
        <v>259</v>
      </c>
      <c r="B78" s="6"/>
      <c r="C78" s="93">
        <f>SUM(C72:C77)</f>
        <v>3475519.98</v>
      </c>
      <c r="D78" s="93">
        <f>SUM(D72:D77)</f>
        <v>31334.2</v>
      </c>
      <c r="E78" s="93">
        <f>SUM(E72:E77)</f>
        <v>137187.31</v>
      </c>
      <c r="F78" s="93">
        <f>SUM(F72:F77)</f>
        <v>0</v>
      </c>
      <c r="G78" s="93">
        <f>SUM(G72:G77)</f>
        <v>0</v>
      </c>
      <c r="H78" s="13">
        <f t="shared" si="4"/>
        <v>3644041.49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25894494.34</v>
      </c>
      <c r="D81" s="93">
        <f>SUM(D79:D80)+D78+D70</f>
        <v>31334.2</v>
      </c>
      <c r="E81" s="93">
        <f>SUM(E79:E80)+E78+E70</f>
        <v>137187.31</v>
      </c>
      <c r="F81" s="93">
        <f>SUM(F79:F80)+F78+F70</f>
        <v>0</v>
      </c>
      <c r="G81" s="93">
        <f>SUM(G79:G80)+G78+G70</f>
        <v>0</v>
      </c>
      <c r="H81" s="93">
        <f t="shared" si="4"/>
        <v>26063015.849999998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62158.6</v>
      </c>
      <c r="D85" s="73">
        <f>'DOE25'!G147</f>
        <v>0</v>
      </c>
      <c r="E85" s="73">
        <f>'DOE25'!H147</f>
        <v>0</v>
      </c>
      <c r="F85" s="73">
        <f>'DOE25'!I147</f>
        <v>0</v>
      </c>
      <c r="G85" s="23" t="s">
        <v>288</v>
      </c>
      <c r="H85" s="13">
        <f t="shared" ref="H85:H104" si="5">SUM(C85:G85)</f>
        <v>62158.6</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878902.16</v>
      </c>
      <c r="D88" s="253">
        <f>SUM('DOE25'!G153:G162)</f>
        <v>1214897.8799999999</v>
      </c>
      <c r="E88" s="253">
        <f>SUM('DOE25'!H153:H162)</f>
        <v>11418934.76</v>
      </c>
      <c r="F88" s="253">
        <f>SUM('DOE25'!I153:I162)</f>
        <v>0</v>
      </c>
      <c r="G88" s="23" t="s">
        <v>288</v>
      </c>
      <c r="H88" s="13">
        <f t="shared" si="5"/>
        <v>13512734.800000001</v>
      </c>
    </row>
    <row r="89" spans="1:9" x14ac:dyDescent="0.2">
      <c r="A89" t="s">
        <v>748</v>
      </c>
      <c r="B89" s="31" t="s">
        <v>185</v>
      </c>
      <c r="C89" s="73">
        <f>'DOE25'!F164+'DOE25'!F167+'DOE25'!F169</f>
        <v>0</v>
      </c>
      <c r="D89" s="73">
        <f>'DOE25'!G164+'DOE25'!G169</f>
        <v>0</v>
      </c>
      <c r="E89" s="73">
        <f>'DOE25'!H164+'DOE25'!H169</f>
        <v>185.92</v>
      </c>
      <c r="F89" s="73">
        <f>'DOE25'!I164</f>
        <v>0</v>
      </c>
      <c r="G89" s="23" t="s">
        <v>288</v>
      </c>
      <c r="H89" s="13">
        <f t="shared" si="5"/>
        <v>185.92</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941060.76</v>
      </c>
      <c r="D91" s="94">
        <f>SUM(D85:D90)</f>
        <v>1214897.8799999999</v>
      </c>
      <c r="E91" s="94">
        <f>SUM(E85:E90)</f>
        <v>11419120.68</v>
      </c>
      <c r="F91" s="94">
        <f>SUM(F85:F90)</f>
        <v>0</v>
      </c>
      <c r="G91" s="23" t="s">
        <v>288</v>
      </c>
      <c r="H91" s="13">
        <f t="shared" si="5"/>
        <v>13575079.32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75757.009999999995</v>
      </c>
      <c r="E96" s="73">
        <f>'DOE25'!H180</f>
        <v>0</v>
      </c>
      <c r="F96" s="73">
        <f>'DOE25'!I180</f>
        <v>0</v>
      </c>
      <c r="G96" s="73">
        <f>'DOE25'!J180</f>
        <v>3010693.33</v>
      </c>
      <c r="H96" s="13">
        <f t="shared" si="5"/>
        <v>3086450.34</v>
      </c>
    </row>
    <row r="97" spans="1:8" x14ac:dyDescent="0.2">
      <c r="A97" t="s">
        <v>754</v>
      </c>
      <c r="B97" s="31" t="s">
        <v>188</v>
      </c>
      <c r="C97" s="73">
        <f>SUM('DOE25'!F181:F182)</f>
        <v>264750.15999999997</v>
      </c>
      <c r="D97" s="73">
        <f>SUM('DOE25'!G181:G182)</f>
        <v>0</v>
      </c>
      <c r="E97" s="73">
        <f>SUM('DOE25'!H181:H182)</f>
        <v>0</v>
      </c>
      <c r="F97" s="73">
        <f>SUM('DOE25'!I181:I182)</f>
        <v>0</v>
      </c>
      <c r="G97" s="73">
        <f>SUM('DOE25'!J181:J182)</f>
        <v>0</v>
      </c>
      <c r="H97" s="13">
        <f t="shared" si="5"/>
        <v>264750.15999999997</v>
      </c>
    </row>
    <row r="98" spans="1:8" x14ac:dyDescent="0.2">
      <c r="A98" t="s">
        <v>755</v>
      </c>
      <c r="B98" s="31" t="s">
        <v>189</v>
      </c>
      <c r="C98" s="73">
        <f>'DOE25'!F183</f>
        <v>0</v>
      </c>
      <c r="D98" s="73">
        <f>'DOE25'!G183</f>
        <v>0</v>
      </c>
      <c r="E98" s="73">
        <f>'DOE25'!H183</f>
        <v>0</v>
      </c>
      <c r="F98" s="23" t="s">
        <v>288</v>
      </c>
      <c r="G98" s="73">
        <f>'DOE25'!J183</f>
        <v>1325.74</v>
      </c>
      <c r="H98" s="13">
        <f t="shared" si="5"/>
        <v>1325.74</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1220000.21</v>
      </c>
      <c r="D100" s="73">
        <f>SUM('DOE25'!G187:G188)</f>
        <v>0</v>
      </c>
      <c r="E100" s="73">
        <f>SUM('DOE25'!H187:H188)</f>
        <v>0</v>
      </c>
      <c r="F100" s="73">
        <f>SUM('DOE25'!I187:I188)</f>
        <v>158542.79999999999</v>
      </c>
      <c r="G100" s="23" t="s">
        <v>288</v>
      </c>
      <c r="H100" s="13">
        <f t="shared" si="5"/>
        <v>1378543.01</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1484750.3699999999</v>
      </c>
      <c r="D103" s="68">
        <f>SUM(D93:D102)</f>
        <v>75757.009999999995</v>
      </c>
      <c r="E103" s="68">
        <f>SUM(E93:E102)</f>
        <v>0</v>
      </c>
      <c r="F103" s="68">
        <f>SUM(F93:F102)</f>
        <v>158542.79999999999</v>
      </c>
      <c r="G103" s="68">
        <f>SUM(G93:G102)</f>
        <v>3012019.0700000003</v>
      </c>
      <c r="H103" s="68">
        <f t="shared" si="5"/>
        <v>4731069.25</v>
      </c>
    </row>
    <row r="104" spans="1:8" ht="12.75" thickTop="1" thickBot="1" x14ac:dyDescent="0.25">
      <c r="A104" s="32" t="s">
        <v>761</v>
      </c>
      <c r="C104" s="68">
        <f>C63+C81+C91+C103</f>
        <v>97206152.420000017</v>
      </c>
      <c r="D104" s="68">
        <f>D63+D81+D91+D103</f>
        <v>2185229.5699999994</v>
      </c>
      <c r="E104" s="68">
        <f>E63+E81+E91+E103</f>
        <v>11648045.439999999</v>
      </c>
      <c r="F104" s="68">
        <f>F63+F81+F91+F103</f>
        <v>158544.26999999999</v>
      </c>
      <c r="G104" s="68">
        <f>G63+G81+G103</f>
        <v>3153958.1900000004</v>
      </c>
      <c r="H104" s="68">
        <f t="shared" si="5"/>
        <v>114351929.89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34507321.179999992</v>
      </c>
      <c r="D109" s="23" t="s">
        <v>288</v>
      </c>
      <c r="E109" s="73">
        <f>('DOE25'!L277)+('DOE25'!L296)+('DOE25'!L315)</f>
        <v>2196640.08</v>
      </c>
      <c r="F109" s="23" t="s">
        <v>288</v>
      </c>
      <c r="G109" s="23" t="s">
        <v>288</v>
      </c>
      <c r="H109" s="13">
        <f t="shared" ref="H109:H115" si="6">SUM(C109:G109)</f>
        <v>36703961.25999999</v>
      </c>
    </row>
    <row r="110" spans="1:8" x14ac:dyDescent="0.2">
      <c r="A110" t="s">
        <v>198</v>
      </c>
      <c r="B110" s="31" t="s">
        <v>199</v>
      </c>
      <c r="C110" s="73">
        <f>('DOE25'!L199)+('DOE25'!L217)+('DOE25'!L235)</f>
        <v>15667779.73</v>
      </c>
      <c r="D110" s="23" t="s">
        <v>288</v>
      </c>
      <c r="E110" s="73">
        <f>('DOE25'!L278)+('DOE25'!L297)+('DOE25'!L316)</f>
        <v>1946359.78</v>
      </c>
      <c r="F110" s="23" t="s">
        <v>288</v>
      </c>
      <c r="G110" s="23" t="s">
        <v>288</v>
      </c>
      <c r="H110" s="13">
        <f t="shared" si="6"/>
        <v>17614139.510000002</v>
      </c>
    </row>
    <row r="111" spans="1:8" x14ac:dyDescent="0.2">
      <c r="A111" t="s">
        <v>200</v>
      </c>
      <c r="B111" s="31" t="s">
        <v>165</v>
      </c>
      <c r="C111" s="73">
        <f>('DOE25'!L200)+('DOE25'!L218)+('DOE25'!L236)</f>
        <v>2054744.8</v>
      </c>
      <c r="D111" s="23" t="s">
        <v>288</v>
      </c>
      <c r="E111" s="73">
        <f>('DOE25'!L279)+('DOE25'!L298)+('DOE25'!L317)</f>
        <v>262773.46999999997</v>
      </c>
      <c r="F111" s="23" t="s">
        <v>288</v>
      </c>
      <c r="G111" s="23" t="s">
        <v>288</v>
      </c>
      <c r="H111" s="13">
        <f t="shared" si="6"/>
        <v>2317518.27</v>
      </c>
    </row>
    <row r="112" spans="1:8" x14ac:dyDescent="0.2">
      <c r="A112" t="s">
        <v>201</v>
      </c>
      <c r="B112" s="31" t="s">
        <v>167</v>
      </c>
      <c r="C112" s="73">
        <f>('DOE25'!L201)+('DOE25'!L219)+('DOE25'!L237)</f>
        <v>1249915.02</v>
      </c>
      <c r="D112" s="23" t="s">
        <v>288</v>
      </c>
      <c r="E112" s="73">
        <f>+('DOE25'!L280)+('DOE25'!L299)+('DOE25'!L318)</f>
        <v>457951.12000000005</v>
      </c>
      <c r="F112" s="23" t="s">
        <v>288</v>
      </c>
      <c r="G112" s="23" t="s">
        <v>288</v>
      </c>
      <c r="H112" s="13">
        <f t="shared" si="6"/>
        <v>1707866.1400000001</v>
      </c>
    </row>
    <row r="113" spans="1:8" x14ac:dyDescent="0.2">
      <c r="A113" t="s">
        <v>202</v>
      </c>
      <c r="B113" s="31" t="s">
        <v>169</v>
      </c>
      <c r="C113" s="73">
        <f>'DOE25'!L251</f>
        <v>0</v>
      </c>
      <c r="D113" s="23" t="s">
        <v>288</v>
      </c>
      <c r="E113" s="73">
        <f>+'DOE25'!L333</f>
        <v>40389.270000000004</v>
      </c>
      <c r="F113" s="23" t="s">
        <v>288</v>
      </c>
      <c r="G113" s="23" t="s">
        <v>288</v>
      </c>
      <c r="H113" s="13">
        <f t="shared" si="6"/>
        <v>40389.270000000004</v>
      </c>
    </row>
    <row r="114" spans="1:8" ht="12" thickBot="1" x14ac:dyDescent="0.25">
      <c r="A114" t="s">
        <v>203</v>
      </c>
      <c r="B114" s="31" t="s">
        <v>204</v>
      </c>
      <c r="C114" s="73">
        <f>SUM('DOE25'!L252:L254)</f>
        <v>219388.25999999998</v>
      </c>
      <c r="D114" s="23" t="s">
        <v>288</v>
      </c>
      <c r="E114" s="73">
        <f>+ SUM('DOE25'!L334:L336)</f>
        <v>5488.07</v>
      </c>
      <c r="F114" s="23" t="s">
        <v>288</v>
      </c>
      <c r="G114" s="23" t="s">
        <v>288</v>
      </c>
      <c r="H114" s="13">
        <f t="shared" si="6"/>
        <v>224876.33</v>
      </c>
    </row>
    <row r="115" spans="1:8" ht="12.75" thickTop="1" thickBot="1" x14ac:dyDescent="0.25">
      <c r="A115" s="32" t="s">
        <v>205</v>
      </c>
      <c r="C115" s="68">
        <f>SUM(C109:C114)</f>
        <v>53699148.989999995</v>
      </c>
      <c r="D115" s="68">
        <f>SUM(D109:D114)</f>
        <v>0</v>
      </c>
      <c r="E115" s="68">
        <f>SUM(E109:E114)</f>
        <v>4909601.79</v>
      </c>
      <c r="F115" s="68">
        <f>SUM(F109:F114)</f>
        <v>0</v>
      </c>
      <c r="G115" s="68">
        <f>SUM(G109:G114)</f>
        <v>0</v>
      </c>
      <c r="H115" s="68">
        <f t="shared" si="6"/>
        <v>58608750.779999994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8746874.8000000007</v>
      </c>
      <c r="D118" s="23" t="s">
        <v>288</v>
      </c>
      <c r="E118" s="73">
        <f>+('DOE25'!L282)+('DOE25'!L301)+('DOE25'!L320)</f>
        <v>919889.35999999987</v>
      </c>
      <c r="F118" s="23" t="s">
        <v>288</v>
      </c>
      <c r="G118" s="23" t="s">
        <v>288</v>
      </c>
      <c r="H118" s="13">
        <f t="shared" ref="H118:H145" si="7">SUM(C118:G118)</f>
        <v>9666764.1600000001</v>
      </c>
    </row>
    <row r="119" spans="1:8" x14ac:dyDescent="0.2">
      <c r="A119" t="s">
        <v>208</v>
      </c>
      <c r="B119" s="31" t="s">
        <v>209</v>
      </c>
      <c r="C119" s="73">
        <f>('DOE25'!L204)+('DOE25'!L222)+('DOE25'!L240)</f>
        <v>5727924.6099999994</v>
      </c>
      <c r="D119" s="23" t="s">
        <v>288</v>
      </c>
      <c r="E119" s="73">
        <f>+('DOE25'!L283)+('DOE25'!L302)+('DOE25'!L321)</f>
        <v>671129.6399999999</v>
      </c>
      <c r="F119" s="23" t="s">
        <v>288</v>
      </c>
      <c r="G119" s="23" t="s">
        <v>288</v>
      </c>
      <c r="H119" s="13">
        <f t="shared" si="7"/>
        <v>6399054.2499999991</v>
      </c>
    </row>
    <row r="120" spans="1:8" x14ac:dyDescent="0.2">
      <c r="A120" t="s">
        <v>210</v>
      </c>
      <c r="B120" s="31" t="s">
        <v>211</v>
      </c>
      <c r="C120" s="73">
        <f>('DOE25'!L205)+('DOE25'!L223)+('DOE25'!L241)</f>
        <v>1580657.0099999998</v>
      </c>
      <c r="D120" s="23" t="s">
        <v>288</v>
      </c>
      <c r="E120" s="73">
        <f>+('DOE25'!L284)+('DOE25'!L303)+('DOE25'!L322)</f>
        <v>527793.19000000006</v>
      </c>
      <c r="F120" s="23" t="s">
        <v>288</v>
      </c>
      <c r="G120" s="23" t="s">
        <v>288</v>
      </c>
      <c r="H120" s="13">
        <f t="shared" si="7"/>
        <v>2108450.1999999997</v>
      </c>
    </row>
    <row r="121" spans="1:8" x14ac:dyDescent="0.2">
      <c r="A121" t="s">
        <v>212</v>
      </c>
      <c r="B121" s="31" t="s">
        <v>213</v>
      </c>
      <c r="C121" s="73">
        <f>('DOE25'!L206)+('DOE25'!L224)+('DOE25'!L242)</f>
        <v>5372093.6600000001</v>
      </c>
      <c r="D121" s="23" t="s">
        <v>288</v>
      </c>
      <c r="E121" s="73">
        <f>+('DOE25'!L285)+('DOE25'!L304)+('DOE25'!L323)</f>
        <v>3673.15</v>
      </c>
      <c r="F121" s="23" t="s">
        <v>288</v>
      </c>
      <c r="G121" s="23" t="s">
        <v>288</v>
      </c>
      <c r="H121" s="13">
        <f t="shared" si="7"/>
        <v>5375766.8100000005</v>
      </c>
    </row>
    <row r="122" spans="1:8" x14ac:dyDescent="0.2">
      <c r="A122" t="s">
        <v>214</v>
      </c>
      <c r="B122" s="31" t="s">
        <v>215</v>
      </c>
      <c r="C122" s="73">
        <f>('DOE25'!L207)+('DOE25'!L225)+('DOE25'!L243)</f>
        <v>1020016.0300000001</v>
      </c>
      <c r="D122" s="23" t="s">
        <v>288</v>
      </c>
      <c r="E122" s="73">
        <f>+('DOE25'!L286)+('DOE25'!L305)+('DOE25'!L324)</f>
        <v>0</v>
      </c>
      <c r="F122" s="23" t="s">
        <v>288</v>
      </c>
      <c r="G122" s="23" t="s">
        <v>288</v>
      </c>
      <c r="H122" s="13">
        <f t="shared" si="7"/>
        <v>1020016.0300000001</v>
      </c>
    </row>
    <row r="123" spans="1:8" x14ac:dyDescent="0.2">
      <c r="A123" t="s">
        <v>216</v>
      </c>
      <c r="B123" s="31" t="s">
        <v>217</v>
      </c>
      <c r="C123" s="73">
        <f>('DOE25'!L208)+('DOE25'!L226)+('DOE25'!L244)</f>
        <v>6888614.5300000003</v>
      </c>
      <c r="D123" s="23" t="s">
        <v>288</v>
      </c>
      <c r="E123" s="73">
        <f>+('DOE25'!L287)+('DOE25'!L306)+('DOE25'!L325)</f>
        <v>4041109.06</v>
      </c>
      <c r="F123" s="23" t="s">
        <v>288</v>
      </c>
      <c r="G123" s="23" t="s">
        <v>288</v>
      </c>
      <c r="H123" s="13">
        <f t="shared" si="7"/>
        <v>10929723.59</v>
      </c>
    </row>
    <row r="124" spans="1:8" x14ac:dyDescent="0.2">
      <c r="A124" t="s">
        <v>218</v>
      </c>
      <c r="B124" s="31" t="s">
        <v>219</v>
      </c>
      <c r="C124" s="73">
        <f>('DOE25'!L209)+('DOE25'!L227)+('DOE25'!L245+'DOE25'!L255)</f>
        <v>3900378.88</v>
      </c>
      <c r="D124" s="23" t="s">
        <v>288</v>
      </c>
      <c r="E124" s="73">
        <f>+('DOE25'!L288)+('DOE25'!L307)+('DOE25'!L326)</f>
        <v>226896.18</v>
      </c>
      <c r="F124" s="23" t="s">
        <v>288</v>
      </c>
      <c r="G124" s="23" t="s">
        <v>288</v>
      </c>
      <c r="H124" s="13">
        <f t="shared" si="7"/>
        <v>4127275.06</v>
      </c>
    </row>
    <row r="125" spans="1:8" x14ac:dyDescent="0.2">
      <c r="A125" t="s">
        <v>220</v>
      </c>
      <c r="B125" s="31" t="s">
        <v>221</v>
      </c>
      <c r="C125" s="73">
        <f>('DOE25'!L210)+('DOE25'!L228)+('DOE25'!L246)</f>
        <v>685121.70000000007</v>
      </c>
      <c r="D125" s="23" t="s">
        <v>288</v>
      </c>
      <c r="E125" s="73">
        <f>+('DOE25'!L289)+('DOE25'!L308)+('DOE25'!L327)</f>
        <v>0</v>
      </c>
      <c r="F125" s="23" t="s">
        <v>288</v>
      </c>
      <c r="G125" s="23" t="s">
        <v>288</v>
      </c>
      <c r="H125" s="13">
        <f t="shared" si="7"/>
        <v>685121.70000000007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2308374.4499999997</v>
      </c>
      <c r="E127" s="23" t="s">
        <v>288</v>
      </c>
      <c r="F127" s="23" t="s">
        <v>288</v>
      </c>
      <c r="G127" s="23" t="s">
        <v>288</v>
      </c>
      <c r="H127" s="13">
        <f t="shared" si="7"/>
        <v>2308374.4499999997</v>
      </c>
    </row>
    <row r="128" spans="1:8" ht="12.75" thickTop="1" thickBot="1" x14ac:dyDescent="0.25">
      <c r="A128" s="32" t="s">
        <v>226</v>
      </c>
      <c r="C128" s="68">
        <f>SUM(C118:C127)</f>
        <v>33921681.219999999</v>
      </c>
      <c r="D128" s="68">
        <f>SUM(D118:D127)</f>
        <v>2308374.4499999997</v>
      </c>
      <c r="E128" s="68">
        <f>SUM(E118:E127)</f>
        <v>6390490.5800000001</v>
      </c>
      <c r="F128" s="68">
        <f>SUM(F118:F127)</f>
        <v>0</v>
      </c>
      <c r="G128" s="68">
        <f>SUM(G118:G127)</f>
        <v>0</v>
      </c>
      <c r="H128" s="68">
        <f t="shared" si="7"/>
        <v>42620546.25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450704.99</v>
      </c>
      <c r="D130" s="23" t="s">
        <v>288</v>
      </c>
      <c r="E130" s="92">
        <f>'DOE25'!L337</f>
        <v>104795.56</v>
      </c>
      <c r="F130" s="92">
        <f>SUM('DOE25'!L375:'DOE25'!L381)</f>
        <v>154455.93999999997</v>
      </c>
      <c r="G130" s="23" t="s">
        <v>288</v>
      </c>
      <c r="H130" s="13">
        <f t="shared" si="7"/>
        <v>709956.49</v>
      </c>
    </row>
    <row r="131" spans="1:8" x14ac:dyDescent="0.2">
      <c r="A131" t="s">
        <v>229</v>
      </c>
      <c r="B131" s="31">
        <v>5110</v>
      </c>
      <c r="C131" s="73">
        <f>'DOE25'!L261</f>
        <v>3382700</v>
      </c>
      <c r="D131" s="23" t="s">
        <v>288</v>
      </c>
      <c r="E131" s="92">
        <f>'DOE25'!L342</f>
        <v>0</v>
      </c>
      <c r="F131" s="23" t="s">
        <v>288</v>
      </c>
      <c r="G131" s="23" t="s">
        <v>288</v>
      </c>
      <c r="H131" s="13">
        <f t="shared" si="7"/>
        <v>3382700</v>
      </c>
    </row>
    <row r="132" spans="1:8" x14ac:dyDescent="0.2">
      <c r="A132" t="s">
        <v>230</v>
      </c>
      <c r="B132" s="31">
        <v>5120</v>
      </c>
      <c r="C132" s="73">
        <f>'DOE25'!L262</f>
        <v>1128463.5</v>
      </c>
      <c r="D132" s="23" t="s">
        <v>288</v>
      </c>
      <c r="E132" s="92">
        <f>'DOE25'!L343</f>
        <v>0</v>
      </c>
      <c r="F132" s="23" t="s">
        <v>288</v>
      </c>
      <c r="G132" s="23" t="s">
        <v>288</v>
      </c>
      <c r="H132" s="13">
        <f t="shared" si="7"/>
        <v>1128463.5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264750.15999999997</v>
      </c>
      <c r="F134" s="73">
        <f>'DOE25'!K382</f>
        <v>0.21</v>
      </c>
      <c r="G134" s="73">
        <f>'DOE25'!K435</f>
        <v>1378542.8</v>
      </c>
      <c r="H134" s="13">
        <f t="shared" si="7"/>
        <v>1643293.17</v>
      </c>
    </row>
    <row r="135" spans="1:8" x14ac:dyDescent="0.2">
      <c r="A135" t="s">
        <v>233</v>
      </c>
      <c r="B135" s="31" t="s">
        <v>234</v>
      </c>
      <c r="C135" s="73">
        <f>'DOE25'!L264</f>
        <v>75757.009999999995</v>
      </c>
      <c r="D135" s="23" t="s">
        <v>288</v>
      </c>
      <c r="E135" s="92">
        <f>'DOE25'!L346</f>
        <v>0</v>
      </c>
      <c r="F135" s="23" t="s">
        <v>288</v>
      </c>
      <c r="G135" s="23" t="s">
        <v>288</v>
      </c>
      <c r="H135" s="13">
        <f t="shared" si="7"/>
        <v>75757.009999999995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3153958.1900000004</v>
      </c>
      <c r="D139" s="23" t="s">
        <v>288</v>
      </c>
      <c r="E139" s="23" t="s">
        <v>288</v>
      </c>
      <c r="F139" s="23" t="s">
        <v>288</v>
      </c>
      <c r="G139" s="23" t="s">
        <v>288</v>
      </c>
      <c r="H139" s="13">
        <f t="shared" si="7"/>
        <v>3153958.1900000004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-143264.86000000034</v>
      </c>
      <c r="D141" s="23" t="s">
        <v>288</v>
      </c>
      <c r="E141" s="23" t="s">
        <v>288</v>
      </c>
      <c r="F141" s="23" t="s">
        <v>288</v>
      </c>
      <c r="G141" s="23" t="s">
        <v>288</v>
      </c>
      <c r="H141" s="13">
        <f t="shared" si="7"/>
        <v>-143264.86000000034</v>
      </c>
    </row>
    <row r="142" spans="1:8" x14ac:dyDescent="0.2">
      <c r="A142" t="s">
        <v>241</v>
      </c>
      <c r="B142" s="31">
        <v>5310</v>
      </c>
      <c r="C142" s="92">
        <f>'DOE25'!L269</f>
        <v>274282.01</v>
      </c>
      <c r="D142" s="23" t="s">
        <v>288</v>
      </c>
      <c r="E142" s="92">
        <f>'DOE25'!L350</f>
        <v>0</v>
      </c>
      <c r="F142" s="23" t="s">
        <v>288</v>
      </c>
      <c r="G142" s="23" t="s">
        <v>288</v>
      </c>
      <c r="H142" s="13">
        <f t="shared" si="7"/>
        <v>274282.01</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8322600.8399999999</v>
      </c>
      <c r="D144" s="98">
        <f>SUM(D130:D143)</f>
        <v>0</v>
      </c>
      <c r="E144" s="98">
        <f>SUM(E130:E143)</f>
        <v>369545.72</v>
      </c>
      <c r="F144" s="98">
        <f>SUM(F130:F143)</f>
        <v>154456.14999999997</v>
      </c>
      <c r="G144" s="98">
        <f>SUM(G130:G143)</f>
        <v>1378542.8</v>
      </c>
      <c r="H144" s="98">
        <f t="shared" si="7"/>
        <v>10225145.510000002</v>
      </c>
    </row>
    <row r="145" spans="1:9" ht="12.75" thickTop="1" thickBot="1" x14ac:dyDescent="0.25">
      <c r="A145" s="32" t="s">
        <v>244</v>
      </c>
      <c r="C145" s="68">
        <f>(C115+C128+C144)</f>
        <v>95943431.049999997</v>
      </c>
      <c r="D145" s="68">
        <f>(D115+D128+D144)</f>
        <v>2308374.4499999997</v>
      </c>
      <c r="E145" s="68">
        <f>(E115+E128+E144)</f>
        <v>11669638.090000002</v>
      </c>
      <c r="F145" s="68">
        <f>(F115+F128+F144)</f>
        <v>154456.14999999997</v>
      </c>
      <c r="G145" s="68">
        <f>(G115+G128+G144)</f>
        <v>1378542.8</v>
      </c>
      <c r="H145" s="68">
        <f t="shared" si="7"/>
        <v>111454442.54000001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t="str">
        <f>'DOE25'!F491</f>
        <v>various</v>
      </c>
      <c r="C151" s="110">
        <f>'DOE25'!G491</f>
        <v>0</v>
      </c>
      <c r="D151" s="110">
        <f>'DOE25'!H491</f>
        <v>0</v>
      </c>
      <c r="E151" s="110">
        <f>'DOE25'!I491</f>
        <v>0</v>
      </c>
      <c r="F151" s="110">
        <f>'DOE25'!J491</f>
        <v>0</v>
      </c>
      <c r="G151" s="23" t="s">
        <v>288</v>
      </c>
    </row>
    <row r="152" spans="1:9" x14ac:dyDescent="0.2">
      <c r="A152" s="21" t="s">
        <v>28</v>
      </c>
      <c r="B152" s="109" t="str">
        <f>'DOE25'!F492</f>
        <v>6/10 - 8/20</v>
      </c>
      <c r="C152" s="109">
        <f>'DOE25'!G492</f>
        <v>0</v>
      </c>
      <c r="D152" s="109">
        <f>'DOE25'!H492</f>
        <v>0</v>
      </c>
      <c r="E152" s="109">
        <f>'DOE25'!I492</f>
        <v>0</v>
      </c>
      <c r="F152" s="109">
        <f>'DOE25'!J492</f>
        <v>0</v>
      </c>
      <c r="G152" s="23" t="s">
        <v>288</v>
      </c>
    </row>
    <row r="153" spans="1:9" x14ac:dyDescent="0.2">
      <c r="A153" s="21" t="s">
        <v>29</v>
      </c>
      <c r="B153" s="109" t="str">
        <f>'DOE25'!F493</f>
        <v>4/41</v>
      </c>
      <c r="C153" s="109">
        <f>'DOE25'!G493</f>
        <v>0</v>
      </c>
      <c r="D153" s="109">
        <f>'DOE25'!H493</f>
        <v>0</v>
      </c>
      <c r="E153" s="109">
        <f>'DOE25'!I493</f>
        <v>0</v>
      </c>
      <c r="F153" s="109">
        <f>'DOE25'!J493</f>
        <v>0</v>
      </c>
      <c r="G153" s="23" t="s">
        <v>288</v>
      </c>
    </row>
    <row r="154" spans="1:9" x14ac:dyDescent="0.2">
      <c r="A154" s="21" t="s">
        <v>30</v>
      </c>
      <c r="B154" s="19">
        <f>'DOE25'!F494</f>
        <v>108497234</v>
      </c>
      <c r="C154" s="19">
        <f>'DOE25'!G494</f>
        <v>0</v>
      </c>
      <c r="D154" s="19">
        <f>'DOE25'!H494</f>
        <v>0</v>
      </c>
      <c r="E154" s="19">
        <f>'DOE25'!I494</f>
        <v>0</v>
      </c>
      <c r="F154" s="19">
        <f>'DOE25'!J494</f>
        <v>0</v>
      </c>
      <c r="G154" s="23" t="s">
        <v>288</v>
      </c>
    </row>
    <row r="155" spans="1:9" x14ac:dyDescent="0.2">
      <c r="A155" s="21" t="s">
        <v>31</v>
      </c>
      <c r="B155" s="19" t="str">
        <f>'DOE25'!F495</f>
        <v>various</v>
      </c>
      <c r="C155" s="19">
        <f>'DOE25'!G495</f>
        <v>0</v>
      </c>
      <c r="D155" s="19">
        <f>'DOE25'!H495</f>
        <v>0</v>
      </c>
      <c r="E155" s="19">
        <f>'DOE25'!I495</f>
        <v>0</v>
      </c>
      <c r="F155" s="19">
        <f>'DOE25'!J495</f>
        <v>0</v>
      </c>
      <c r="G155" s="23" t="s">
        <v>288</v>
      </c>
    </row>
    <row r="156" spans="1:9" x14ac:dyDescent="0.2">
      <c r="A156" s="21" t="s">
        <v>32</v>
      </c>
      <c r="B156" s="19">
        <f>'DOE25'!F496</f>
        <v>43560000</v>
      </c>
      <c r="C156" s="19">
        <f>'DOE25'!G496</f>
        <v>0</v>
      </c>
      <c r="D156" s="19">
        <f>'DOE25'!H496</f>
        <v>0</v>
      </c>
      <c r="E156" s="19">
        <f>'DOE25'!I496</f>
        <v>0</v>
      </c>
      <c r="F156" s="19">
        <f>'DOE25'!J496</f>
        <v>0</v>
      </c>
      <c r="G156" s="96">
        <f>SUM(B156:F156)</f>
        <v>43560000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40610000</v>
      </c>
      <c r="C159" s="19">
        <f>'DOE25'!G499</f>
        <v>0</v>
      </c>
      <c r="D159" s="19">
        <f>'DOE25'!H499</f>
        <v>0</v>
      </c>
      <c r="E159" s="19">
        <f>'DOE25'!I499</f>
        <v>0</v>
      </c>
      <c r="F159" s="19">
        <f>'DOE25'!J499</f>
        <v>0</v>
      </c>
      <c r="G159" s="96">
        <f t="shared" si="8"/>
        <v>40610000</v>
      </c>
    </row>
    <row r="160" spans="1:9" x14ac:dyDescent="0.2">
      <c r="A160" s="21" t="s">
        <v>36</v>
      </c>
      <c r="B160" s="19">
        <f>'DOE25'!F500</f>
        <v>9006113</v>
      </c>
      <c r="C160" s="19">
        <f>'DOE25'!G500</f>
        <v>0</v>
      </c>
      <c r="D160" s="19">
        <f>'DOE25'!H500</f>
        <v>0</v>
      </c>
      <c r="E160" s="19">
        <f>'DOE25'!I500</f>
        <v>0</v>
      </c>
      <c r="F160" s="19">
        <f>'DOE25'!J500</f>
        <v>0</v>
      </c>
      <c r="G160" s="96">
        <f t="shared" si="8"/>
        <v>9006113</v>
      </c>
    </row>
    <row r="161" spans="1:7" x14ac:dyDescent="0.2">
      <c r="A161" s="21" t="s">
        <v>37</v>
      </c>
      <c r="B161" s="19">
        <f>'DOE25'!F501</f>
        <v>49616113</v>
      </c>
      <c r="C161" s="19">
        <f>'DOE25'!G501</f>
        <v>0</v>
      </c>
      <c r="D161" s="19">
        <f>'DOE25'!H501</f>
        <v>0</v>
      </c>
      <c r="E161" s="19">
        <f>'DOE25'!I501</f>
        <v>0</v>
      </c>
      <c r="F161" s="19">
        <f>'DOE25'!J501</f>
        <v>0</v>
      </c>
      <c r="G161" s="96">
        <f t="shared" si="8"/>
        <v>49616113</v>
      </c>
    </row>
    <row r="162" spans="1:7" x14ac:dyDescent="0.2">
      <c r="A162" s="21" t="s">
        <v>38</v>
      </c>
      <c r="B162" s="19">
        <f>'DOE25'!F502</f>
        <v>2970000</v>
      </c>
      <c r="C162" s="19">
        <f>'DOE25'!G502</f>
        <v>0</v>
      </c>
      <c r="D162" s="19">
        <f>'DOE25'!H502</f>
        <v>0</v>
      </c>
      <c r="E162" s="19">
        <f>'DOE25'!I502</f>
        <v>0</v>
      </c>
      <c r="F162" s="19">
        <f>'DOE25'!J502</f>
        <v>0</v>
      </c>
      <c r="G162" s="96">
        <f t="shared" si="8"/>
        <v>2970000</v>
      </c>
    </row>
    <row r="163" spans="1:7" x14ac:dyDescent="0.2">
      <c r="A163" s="21" t="s">
        <v>39</v>
      </c>
      <c r="B163" s="19">
        <f>'DOE25'!F503</f>
        <v>1361175</v>
      </c>
      <c r="C163" s="19">
        <f>'DOE25'!G503</f>
        <v>0</v>
      </c>
      <c r="D163" s="19">
        <f>'DOE25'!H503</f>
        <v>0</v>
      </c>
      <c r="E163" s="19">
        <f>'DOE25'!I503</f>
        <v>0</v>
      </c>
      <c r="F163" s="19">
        <f>'DOE25'!J503</f>
        <v>0</v>
      </c>
      <c r="G163" s="96">
        <f t="shared" si="8"/>
        <v>1361175</v>
      </c>
    </row>
    <row r="164" spans="1:7" x14ac:dyDescent="0.2">
      <c r="A164" s="21" t="s">
        <v>246</v>
      </c>
      <c r="B164" s="19">
        <f>'DOE25'!F504</f>
        <v>4331175</v>
      </c>
      <c r="C164" s="19">
        <f>'DOE25'!G504</f>
        <v>0</v>
      </c>
      <c r="D164" s="19">
        <f>'DOE25'!H504</f>
        <v>0</v>
      </c>
      <c r="E164" s="19">
        <f>'DOE25'!I504</f>
        <v>0</v>
      </c>
      <c r="F164" s="19">
        <f>'DOE25'!J504</f>
        <v>0</v>
      </c>
      <c r="G164" s="96">
        <f t="shared" si="8"/>
        <v>4331175</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Concord</v>
      </c>
    </row>
    <row r="3" spans="1:4" x14ac:dyDescent="0.2">
      <c r="B3" s="137" t="s">
        <v>1799</v>
      </c>
    </row>
    <row r="4" spans="1:4" x14ac:dyDescent="0.2">
      <c r="B4" t="s">
        <v>61</v>
      </c>
      <c r="C4" s="129">
        <f>IF('DOE25'!F666+'DOE25'!F671=0,0,ROUND('DOE25'!F673,0))</f>
        <v>26059</v>
      </c>
    </row>
    <row r="5" spans="1:4" x14ac:dyDescent="0.2">
      <c r="B5" t="s">
        <v>700</v>
      </c>
      <c r="C5" s="129">
        <f>IF('DOE25'!G666+'DOE25'!G671=0,0,ROUND('DOE25'!G673,0))</f>
        <v>20765</v>
      </c>
    </row>
    <row r="6" spans="1:4" x14ac:dyDescent="0.2">
      <c r="B6" t="s">
        <v>62</v>
      </c>
      <c r="C6" s="129">
        <f>IF('DOE25'!H666+'DOE25'!H671=0,0,ROUND('DOE25'!H673,0))</f>
        <v>18856</v>
      </c>
    </row>
    <row r="7" spans="1:4" x14ac:dyDescent="0.2">
      <c r="B7" t="s">
        <v>701</v>
      </c>
      <c r="C7" s="129">
        <f>IF('DOE25'!I666+'DOE25'!I671=0,0,ROUND('DOE25'!I673,0))</f>
        <v>22190</v>
      </c>
    </row>
    <row r="9" spans="1:4" x14ac:dyDescent="0.2">
      <c r="A9" s="136" t="s">
        <v>94</v>
      </c>
      <c r="B9" s="137" t="s">
        <v>1800</v>
      </c>
      <c r="C9" s="131" t="s">
        <v>720</v>
      </c>
      <c r="D9" s="131" t="s">
        <v>721</v>
      </c>
    </row>
    <row r="10" spans="1:4" x14ac:dyDescent="0.2">
      <c r="A10">
        <v>1100</v>
      </c>
      <c r="B10" t="s">
        <v>702</v>
      </c>
      <c r="C10" s="129">
        <f>ROUND('DOE25'!L198+'DOE25'!L216+'DOE25'!L234+'DOE25'!L277+'DOE25'!L296+'DOE25'!L315,0)</f>
        <v>36703961</v>
      </c>
      <c r="D10" s="132">
        <f>ROUND((C10/$C$28)*100,1)</f>
        <v>36.1</v>
      </c>
    </row>
    <row r="11" spans="1:4" x14ac:dyDescent="0.2">
      <c r="A11">
        <v>1200</v>
      </c>
      <c r="B11" t="s">
        <v>703</v>
      </c>
      <c r="C11" s="129">
        <f>ROUND('DOE25'!L199+'DOE25'!L217+'DOE25'!L235+'DOE25'!L278+'DOE25'!L297+'DOE25'!L316,0)</f>
        <v>17614140</v>
      </c>
      <c r="D11" s="132">
        <f>ROUND((C11/$C$28)*100,1)</f>
        <v>17.3</v>
      </c>
    </row>
    <row r="12" spans="1:4" x14ac:dyDescent="0.2">
      <c r="A12">
        <v>1300</v>
      </c>
      <c r="B12" t="s">
        <v>704</v>
      </c>
      <c r="C12" s="129">
        <f>ROUND('DOE25'!L200+'DOE25'!L218+'DOE25'!L236+'DOE25'!L279+'DOE25'!L298+'DOE25'!L317,0)</f>
        <v>2317518</v>
      </c>
      <c r="D12" s="132">
        <f>ROUND((C12/$C$28)*100,1)</f>
        <v>2.2999999999999998</v>
      </c>
    </row>
    <row r="13" spans="1:4" x14ac:dyDescent="0.2">
      <c r="A13">
        <v>1400</v>
      </c>
      <c r="B13" t="s">
        <v>705</v>
      </c>
      <c r="C13" s="129">
        <f>ROUND('DOE25'!L201+'DOE25'!L219+'DOE25'!L237+'DOE25'!L280+'DOE25'!L299+'DOE25'!L318,0)</f>
        <v>1707866</v>
      </c>
      <c r="D13" s="132">
        <f>ROUND((C13/$C$28)*100,1)</f>
        <v>1.7</v>
      </c>
    </row>
    <row r="14" spans="1:4" x14ac:dyDescent="0.2">
      <c r="D14" s="132"/>
    </row>
    <row r="15" spans="1:4" x14ac:dyDescent="0.2">
      <c r="A15">
        <v>2100</v>
      </c>
      <c r="B15" t="s">
        <v>706</v>
      </c>
      <c r="C15" s="129">
        <f>ROUND('DOE25'!L203+'DOE25'!L221+'DOE25'!L239+'DOE25'!L282+'DOE25'!L301+'DOE25'!L320,0)</f>
        <v>9666764</v>
      </c>
      <c r="D15" s="132">
        <f t="shared" ref="D15:D27" si="0">ROUND((C15/$C$28)*100,1)</f>
        <v>9.5</v>
      </c>
    </row>
    <row r="16" spans="1:4" x14ac:dyDescent="0.2">
      <c r="A16">
        <v>2200</v>
      </c>
      <c r="B16" t="s">
        <v>707</v>
      </c>
      <c r="C16" s="129">
        <f>ROUND('DOE25'!L204+'DOE25'!L222+'DOE25'!L240+'DOE25'!L283+'DOE25'!L302+'DOE25'!L321,0)</f>
        <v>6399054</v>
      </c>
      <c r="D16" s="132">
        <f t="shared" si="0"/>
        <v>6.3</v>
      </c>
    </row>
    <row r="17" spans="1:4" x14ac:dyDescent="0.2">
      <c r="A17" s="133" t="s">
        <v>723</v>
      </c>
      <c r="B17" t="s">
        <v>738</v>
      </c>
      <c r="C17" s="129">
        <f>ROUND('DOE25'!L205+'DOE25'!L210+'DOE25'!L223+'DOE25'!L228+'DOE25'!L241+'DOE25'!L246+'DOE25'!L284+'DOE25'!L289+'DOE25'!L303+'DOE25'!L308+'DOE25'!L322+'DOE25'!L327,0)</f>
        <v>2793572</v>
      </c>
      <c r="D17" s="132">
        <f t="shared" si="0"/>
        <v>2.7</v>
      </c>
    </row>
    <row r="18" spans="1:4" x14ac:dyDescent="0.2">
      <c r="A18">
        <v>2400</v>
      </c>
      <c r="B18" t="s">
        <v>711</v>
      </c>
      <c r="C18" s="129">
        <f>ROUND('DOE25'!L206+'DOE25'!L224+'DOE25'!L242+'DOE25'!L285+'DOE25'!L304+'DOE25'!L323,0)</f>
        <v>5375767</v>
      </c>
      <c r="D18" s="132">
        <f t="shared" si="0"/>
        <v>5.3</v>
      </c>
    </row>
    <row r="19" spans="1:4" x14ac:dyDescent="0.2">
      <c r="A19">
        <v>2500</v>
      </c>
      <c r="B19" t="s">
        <v>708</v>
      </c>
      <c r="C19" s="129">
        <f>ROUND('DOE25'!L207+'DOE25'!L225+'DOE25'!L243+'DOE25'!L286+'DOE25'!L305+'DOE25'!L324,0)</f>
        <v>1020016</v>
      </c>
      <c r="D19" s="132">
        <f t="shared" si="0"/>
        <v>1</v>
      </c>
    </row>
    <row r="20" spans="1:4" x14ac:dyDescent="0.2">
      <c r="A20">
        <v>2600</v>
      </c>
      <c r="B20" t="s">
        <v>709</v>
      </c>
      <c r="C20" s="129">
        <f>ROUND('DOE25'!L208+'DOE25'!L226+'DOE25'!L244+'DOE25'!L287+'DOE25'!L306+'DOE25'!L325,0)</f>
        <v>10929724</v>
      </c>
      <c r="D20" s="132">
        <f t="shared" si="0"/>
        <v>10.7</v>
      </c>
    </row>
    <row r="21" spans="1:4" x14ac:dyDescent="0.2">
      <c r="A21">
        <v>2700</v>
      </c>
      <c r="B21" t="s">
        <v>710</v>
      </c>
      <c r="C21" s="129">
        <f>ROUND('DOE25'!L209+'DOE25'!L227+'DOE25'!L245+'DOE25'!L288+'DOE25'!L307+'DOE25'!L326,0)</f>
        <v>4127275</v>
      </c>
      <c r="D21" s="132">
        <f t="shared" si="0"/>
        <v>4.0999999999999996</v>
      </c>
    </row>
    <row r="22" spans="1:4" x14ac:dyDescent="0.2">
      <c r="A22">
        <v>2900</v>
      </c>
      <c r="B22" t="s">
        <v>712</v>
      </c>
      <c r="C22" s="129">
        <v>0</v>
      </c>
      <c r="D22" s="132">
        <f t="shared" si="0"/>
        <v>0</v>
      </c>
    </row>
    <row r="23" spans="1:4" x14ac:dyDescent="0.2">
      <c r="A23">
        <v>1500</v>
      </c>
      <c r="B23" t="s">
        <v>714</v>
      </c>
      <c r="C23" s="129">
        <f>ROUND('DOE25'!L251+'DOE25'!L333,0)</f>
        <v>40389</v>
      </c>
      <c r="D23" s="132">
        <f t="shared" si="0"/>
        <v>0</v>
      </c>
    </row>
    <row r="24" spans="1:4" x14ac:dyDescent="0.2">
      <c r="A24" s="133" t="s">
        <v>722</v>
      </c>
      <c r="B24" t="s">
        <v>715</v>
      </c>
      <c r="C24" s="129">
        <f>ROUND('DOE25'!L252+'DOE25'!L253+'DOE25'!L254+'DOE25'!L255+'DOE25'!L334+'DOE25'!L335+'DOE25'!L336,0)</f>
        <v>224876</v>
      </c>
      <c r="D24" s="132">
        <f t="shared" si="0"/>
        <v>0.2</v>
      </c>
    </row>
    <row r="25" spans="1:4" x14ac:dyDescent="0.2">
      <c r="A25">
        <v>5120</v>
      </c>
      <c r="B25" t="s">
        <v>716</v>
      </c>
      <c r="C25" s="129">
        <f>ROUND('DOE25'!L262+'DOE25'!L343,0)</f>
        <v>1128464</v>
      </c>
      <c r="D25" s="132">
        <f t="shared" si="0"/>
        <v>1.1000000000000001</v>
      </c>
    </row>
    <row r="26" spans="1:4" x14ac:dyDescent="0.2">
      <c r="A26" s="133" t="s">
        <v>717</v>
      </c>
      <c r="B26" t="s">
        <v>718</v>
      </c>
      <c r="C26" s="129">
        <f>'DOE25'!L269+'DOE25'!L270+'DOE25'!L350+'DOE25'!L351</f>
        <v>274282.01</v>
      </c>
      <c r="D26" s="132">
        <f t="shared" si="0"/>
        <v>0.3</v>
      </c>
    </row>
    <row r="27" spans="1:4" x14ac:dyDescent="0.2">
      <c r="A27">
        <v>3100</v>
      </c>
      <c r="B27" t="s">
        <v>11</v>
      </c>
      <c r="C27" s="129">
        <f>ROUND('DOE25'!L363-'DOE25'!L362,0)-SUM('DOE25'!G97:G110)</f>
        <v>1445269.21</v>
      </c>
      <c r="D27" s="132">
        <f t="shared" si="0"/>
        <v>1.4</v>
      </c>
    </row>
    <row r="28" spans="1:4" x14ac:dyDescent="0.2">
      <c r="B28" s="136" t="s">
        <v>719</v>
      </c>
      <c r="C28" s="130">
        <f>SUM(C10:C27)</f>
        <v>101768937.22</v>
      </c>
      <c r="D28" s="134">
        <f>ROUND(SUM(D10:D27),0)</f>
        <v>100</v>
      </c>
    </row>
    <row r="29" spans="1:4" x14ac:dyDescent="0.2">
      <c r="A29">
        <v>4000</v>
      </c>
      <c r="B29" t="s">
        <v>724</v>
      </c>
      <c r="C29" s="129">
        <f>ROUND('DOE25'!L256+'DOE25'!L337+'DOE25'!L375+'DOE25'!L376+'DOE25'!L377+'DOE25'!L378+'DOE25'!L379+'DOE25'!L380+'DOE25'!L381,0)</f>
        <v>709956</v>
      </c>
    </row>
    <row r="30" spans="1:4" x14ac:dyDescent="0.2">
      <c r="B30" s="136" t="s">
        <v>725</v>
      </c>
      <c r="C30" s="130">
        <f>SUM(C28:C29)</f>
        <v>102478893.22</v>
      </c>
    </row>
    <row r="31" spans="1:4" x14ac:dyDescent="0.2">
      <c r="B31" s="32"/>
      <c r="C31" s="130"/>
    </row>
    <row r="32" spans="1:4" x14ac:dyDescent="0.2">
      <c r="A32">
        <v>5100</v>
      </c>
      <c r="B32" s="32" t="s">
        <v>726</v>
      </c>
      <c r="C32" s="130">
        <f>ROUND('DOE25'!L261+'DOE25'!L342,0)</f>
        <v>3382700</v>
      </c>
    </row>
    <row r="34" spans="1:4" x14ac:dyDescent="0.2">
      <c r="A34" s="136" t="s">
        <v>94</v>
      </c>
      <c r="B34" s="137" t="s">
        <v>1801</v>
      </c>
      <c r="C34" s="131" t="s">
        <v>720</v>
      </c>
      <c r="D34" s="131" t="s">
        <v>721</v>
      </c>
    </row>
    <row r="35" spans="1:4" x14ac:dyDescent="0.2">
      <c r="A35">
        <v>1100</v>
      </c>
      <c r="B35" s="71" t="s">
        <v>727</v>
      </c>
      <c r="C35" s="129">
        <f>ROUND('DOE25'!F60+'DOE25'!G60+'DOE25'!H60+'DOE25'!I60+'DOE25'!J60,0)</f>
        <v>62624478</v>
      </c>
      <c r="D35" s="132">
        <f t="shared" ref="D35:D40" si="1">ROUND((C35/$C$41)*100,1)</f>
        <v>57.6</v>
      </c>
    </row>
    <row r="36" spans="1:4" x14ac:dyDescent="0.2">
      <c r="B36" s="71" t="s">
        <v>739</v>
      </c>
      <c r="C36" s="129">
        <f>SUM('DOE25'!F112:J112)-SUM('DOE25'!G97:G110)+('DOE25'!F175+'DOE25'!F176+'DOE25'!I175+'DOE25'!I176)-C35</f>
        <v>6495182.6800000072</v>
      </c>
      <c r="D36" s="132">
        <f t="shared" si="1"/>
        <v>6</v>
      </c>
    </row>
    <row r="37" spans="1:4" x14ac:dyDescent="0.2">
      <c r="A37" s="133" t="s">
        <v>834</v>
      </c>
      <c r="B37" s="71" t="s">
        <v>728</v>
      </c>
      <c r="C37" s="129">
        <f>ROUND('DOE25'!F117+'DOE25'!F118,0)</f>
        <v>21829221</v>
      </c>
      <c r="D37" s="132">
        <f t="shared" si="1"/>
        <v>20.100000000000001</v>
      </c>
    </row>
    <row r="38" spans="1:4" x14ac:dyDescent="0.2">
      <c r="A38" s="133" t="s">
        <v>734</v>
      </c>
      <c r="B38" s="71" t="s">
        <v>729</v>
      </c>
      <c r="C38" s="129">
        <f>ROUND(SUM('DOE25'!F140:J140)-SUM('DOE25'!F117:F119),0)</f>
        <v>4233795</v>
      </c>
      <c r="D38" s="132">
        <f t="shared" si="1"/>
        <v>3.9</v>
      </c>
    </row>
    <row r="39" spans="1:4" x14ac:dyDescent="0.2">
      <c r="A39">
        <v>4000</v>
      </c>
      <c r="B39" s="71" t="s">
        <v>730</v>
      </c>
      <c r="C39" s="129">
        <f>ROUND('DOE25'!F170+'DOE25'!G170+'DOE25'!H170+'DOE25'!I170,0)</f>
        <v>13575079</v>
      </c>
      <c r="D39" s="132">
        <f t="shared" si="1"/>
        <v>12.5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108757755.68000001</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Concord</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f>IF('School Level Expenditures'!$B$2=A4,'School Tables'!H4,"")</f>
        <v>1</v>
      </c>
      <c r="J4" s="282">
        <f>IFERROR(SMALL($I$4:$I$325,ROWS($I$4:I4)),"")</f>
        <v>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60</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14</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19</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33</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47</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191</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f>IF('School Level Expenditures'!$B$2='School Tables'!W17,'School Tables'!AD17,"")</f>
        <v>14</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f>IF('School Level Expenditures'!$B$2=A22,'School Tables'!H22,"")</f>
        <v>19</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f>IF('School Level Expenditures'!$B$2=A36,'School Tables'!H36,"")</f>
        <v>33</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f>IF('School Level Expenditures'!$B$2=A50,'School Tables'!H50,"")</f>
        <v>47</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f>IF('School Level Expenditures'!$B$2='School Tables'!L63,'School Tables'!S63,"")</f>
        <v>60</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f>IF('School Level Expenditures'!$B$2=A194,'School Tables'!H194,"")</f>
        <v>191</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F888AEF45F72D49B49CE9B49B39115F" ma:contentTypeVersion="15" ma:contentTypeDescription="Create a new document." ma:contentTypeScope="" ma:versionID="a2b454068aabb5c78890fb71a0f1e7ba">
  <xsd:schema xmlns:xsd="http://www.w3.org/2001/XMLSchema" xmlns:xs="http://www.w3.org/2001/XMLSchema" xmlns:p="http://schemas.microsoft.com/office/2006/metadata/properties" xmlns:ns1="http://schemas.microsoft.com/sharepoint/v3" xmlns:ns2="68b15671-150a-4b7e-82bb-e8f96724f58c" xmlns:ns3="5c981f77-b780-42f2-ac0b-ba6c38a67ccd" targetNamespace="http://schemas.microsoft.com/office/2006/metadata/properties" ma:root="true" ma:fieldsID="182b6450fc686f3ebbc8f5851c136dd7" ns1:_="" ns2:_="" ns3:_="">
    <xsd:import namespace="http://schemas.microsoft.com/sharepoint/v3"/>
    <xsd:import namespace="68b15671-150a-4b7e-82bb-e8f96724f58c"/>
    <xsd:import namespace="5c981f77-b780-42f2-ac0b-ba6c38a67cc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1:_ip_UnifiedCompliancePolicyProperties" minOccurs="0"/>
                <xsd:element ref="ns1:_ip_UnifiedCompliancePolicyUIAction"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b15671-150a-4b7e-82bb-e8f96724f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7d5dfa7-91ef-439b-9ebf-24fc4f21943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c981f77-b780-42f2-ac0b-ba6c38a67cc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e5e65f4-88bf-4da9-a3b5-629a1ca61026}" ma:internalName="TaxCatchAll" ma:showField="CatchAllData" ma:web="5c981f77-b780-42f2-ac0b-ba6c38a67ccd">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5c981f77-b780-42f2-ac0b-ba6c38a67ccd" xsi:nil="true"/>
    <_ip_UnifiedCompliancePolicyProperties xmlns="http://schemas.microsoft.com/sharepoint/v3" xsi:nil="true"/>
    <lcf76f155ced4ddcb4097134ff3c332f xmlns="68b15671-150a-4b7e-82bb-e8f96724f58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4CE5B46-52F0-4070-8A26-F55362D80E0D}">
  <ds:schemaRefs>
    <ds:schemaRef ds:uri="http://schemas.microsoft.com/sharepoint/v3/contenttype/forms"/>
  </ds:schemaRefs>
</ds:datastoreItem>
</file>

<file path=customXml/itemProps2.xml><?xml version="1.0" encoding="utf-8"?>
<ds:datastoreItem xmlns:ds="http://schemas.openxmlformats.org/officeDocument/2006/customXml" ds:itemID="{952EEA3C-94AE-4493-AC38-85C91A255E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b15671-150a-4b7e-82bb-e8f96724f58c"/>
    <ds:schemaRef ds:uri="5c981f77-b780-42f2-ac0b-ba6c38a67c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525C63-7A65-4C77-A3C3-3474AD31DDFB}">
  <ds:schemaRefs>
    <ds:schemaRef ds:uri="http://purl.org/dc/elements/1.1/"/>
    <ds:schemaRef ds:uri="http://schemas.openxmlformats.org/package/2006/metadata/core-properties"/>
    <ds:schemaRef ds:uri="5c981f77-b780-42f2-ac0b-ba6c38a67ccd"/>
    <ds:schemaRef ds:uri="http://www.w3.org/XML/1998/namespace"/>
    <ds:schemaRef ds:uri="http://purl.org/dc/terms/"/>
    <ds:schemaRef ds:uri="http://schemas.microsoft.com/office/2006/documentManagement/types"/>
    <ds:schemaRef ds:uri="http://schemas.microsoft.com/office/2006/metadata/properties"/>
    <ds:schemaRef ds:uri="http://schemas.microsoft.com/office/infopath/2007/PartnerControls"/>
    <ds:schemaRef ds:uri="68b15671-150a-4b7e-82bb-e8f96724f58c"/>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2023-10-04T12:33:18Z</cp:lastPrinted>
  <dcterms:created xsi:type="dcterms:W3CDTF">1997-12-04T19:04:30Z</dcterms:created>
  <dcterms:modified xsi:type="dcterms:W3CDTF">2023-12-28T16:24:41Z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0x010100DF888AEF45F72D49B49CE9B49B39115F</vt:lpwstr>
  </property>
  <property fmtid="{D5CDD505-2E9C-101B-9397-08002B2CF9AE}" pid="3" name="MediaServiceImageTags">
    <vt:lpwstr/>
  </property>
</Properties>
</file>