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2D050AC-CB71-435A-9995-CA4F4F7BFD7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34" i="1" l="1"/>
  <c r="C39" i="12"/>
  <c r="B39" i="12"/>
  <c r="C30" i="12"/>
  <c r="B30" i="12"/>
  <c r="C28" i="12"/>
  <c r="C19" i="12"/>
  <c r="B21" i="12"/>
  <c r="C21" i="12"/>
  <c r="B19" i="12"/>
  <c r="C12" i="12" l="1"/>
  <c r="C10" i="12"/>
  <c r="B10" i="12"/>
  <c r="B12" i="12"/>
  <c r="F583" i="1" l="1"/>
  <c r="H542" i="1" l="1"/>
  <c r="H528" i="1"/>
  <c r="H527" i="1"/>
  <c r="F527" i="1"/>
  <c r="I529" i="1"/>
  <c r="I527" i="1"/>
  <c r="I522" i="1"/>
  <c r="H522" i="1"/>
  <c r="G527" i="1"/>
  <c r="G522" i="1"/>
  <c r="F522" i="1"/>
  <c r="J524" i="1"/>
  <c r="I524" i="1"/>
  <c r="I523" i="1"/>
  <c r="I528" i="1"/>
  <c r="J596" i="1" l="1"/>
  <c r="I596" i="1"/>
  <c r="H596" i="1"/>
  <c r="F277" i="1"/>
  <c r="H326" i="1"/>
  <c r="H307" i="1"/>
  <c r="H288" i="1"/>
  <c r="J325" i="1"/>
  <c r="H321" i="1"/>
  <c r="H302" i="1"/>
  <c r="H283" i="1"/>
  <c r="G283" i="1"/>
  <c r="F283" i="1"/>
  <c r="G320" i="1"/>
  <c r="G282" i="1"/>
  <c r="F320" i="1"/>
  <c r="F282" i="1"/>
  <c r="G280" i="1"/>
  <c r="F280" i="1"/>
  <c r="I277" i="1"/>
  <c r="G277" i="1"/>
  <c r="H282" i="1"/>
  <c r="H278" i="1" l="1"/>
  <c r="G278" i="1"/>
  <c r="F278" i="1"/>
  <c r="G216" i="1" l="1"/>
  <c r="G198" i="1"/>
  <c r="F234" i="1"/>
  <c r="F216" i="1"/>
  <c r="F198" i="1"/>
  <c r="H209" i="1"/>
  <c r="G245" i="1"/>
  <c r="G227" i="1"/>
  <c r="G209" i="1"/>
  <c r="F245" i="1"/>
  <c r="F227" i="1"/>
  <c r="F209" i="1"/>
  <c r="F244" i="1"/>
  <c r="J244" i="1"/>
  <c r="J226" i="1"/>
  <c r="J208" i="1"/>
  <c r="I244" i="1"/>
  <c r="I226" i="1"/>
  <c r="I208" i="1"/>
  <c r="H244" i="1"/>
  <c r="H226" i="1"/>
  <c r="H208" i="1"/>
  <c r="G244" i="1"/>
  <c r="G226" i="1"/>
  <c r="G208" i="1"/>
  <c r="F226" i="1"/>
  <c r="F208" i="1"/>
  <c r="H240" i="1"/>
  <c r="H222" i="1"/>
  <c r="H204" i="1"/>
  <c r="G240" i="1"/>
  <c r="G222" i="1"/>
  <c r="G204" i="1"/>
  <c r="F240" i="1"/>
  <c r="F222" i="1"/>
  <c r="F204" i="1"/>
  <c r="H239" i="1"/>
  <c r="H221" i="1"/>
  <c r="H203" i="1"/>
  <c r="G239" i="1"/>
  <c r="G221" i="1"/>
  <c r="G203" i="1"/>
  <c r="F239" i="1"/>
  <c r="F221" i="1"/>
  <c r="F203" i="1"/>
  <c r="F235" i="1"/>
  <c r="I235" i="1"/>
  <c r="I217" i="1"/>
  <c r="I199" i="1"/>
  <c r="H235" i="1"/>
  <c r="H217" i="1"/>
  <c r="H199" i="1"/>
  <c r="H198" i="1"/>
  <c r="G235" i="1"/>
  <c r="G217" i="1"/>
  <c r="G199" i="1"/>
  <c r="F217" i="1"/>
  <c r="F199" i="1"/>
  <c r="J216" i="1"/>
  <c r="I216" i="1"/>
  <c r="H216" i="1"/>
  <c r="J234" i="1"/>
  <c r="I234" i="1"/>
  <c r="H234" i="1"/>
  <c r="J198" i="1"/>
  <c r="I198" i="1"/>
  <c r="K242" i="1"/>
  <c r="J242" i="1"/>
  <c r="I242" i="1"/>
  <c r="H242" i="1"/>
  <c r="G242" i="1"/>
  <c r="F242" i="1"/>
  <c r="K240" i="1"/>
  <c r="K239" i="1"/>
  <c r="I23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H653" i="1"/>
  <c r="G654" i="1"/>
  <c r="H654" i="1"/>
  <c r="H655" i="1"/>
  <c r="H656" i="1"/>
  <c r="I170" i="1"/>
  <c r="H93" i="2" l="1"/>
  <c r="H69" i="2"/>
  <c r="H30" i="2"/>
  <c r="H28" i="2"/>
  <c r="H25" i="2"/>
  <c r="H17" i="2"/>
  <c r="H15" i="2"/>
  <c r="G663" i="1"/>
  <c r="H102" i="2"/>
  <c r="H100" i="2"/>
  <c r="H98" i="2"/>
  <c r="C12" i="10"/>
  <c r="H87" i="2"/>
  <c r="H22" i="2"/>
  <c r="H143" i="2"/>
  <c r="H477" i="1"/>
  <c r="H625" i="1" s="1"/>
  <c r="H80" i="2"/>
  <c r="H34" i="2"/>
  <c r="H132" i="2"/>
  <c r="C110" i="2"/>
  <c r="H36" i="2"/>
  <c r="H42" i="2"/>
  <c r="H44" i="2"/>
  <c r="H48" i="2"/>
  <c r="H58" i="2"/>
  <c r="H97" i="2"/>
  <c r="H35" i="2"/>
  <c r="I409" i="1"/>
  <c r="H89" i="2"/>
  <c r="H72" i="2"/>
  <c r="H113" i="2"/>
  <c r="J112" i="1"/>
  <c r="H26" i="2"/>
  <c r="H9" i="2"/>
  <c r="H94" i="2"/>
  <c r="H76" i="2"/>
  <c r="H29" i="2"/>
  <c r="H27" i="2"/>
  <c r="H24" i="2"/>
  <c r="H12" i="2"/>
  <c r="A40" i="12"/>
  <c r="H96" i="2"/>
  <c r="G646" i="1"/>
  <c r="J646" i="1" s="1"/>
  <c r="G409" i="1"/>
  <c r="H646" i="1" s="1"/>
  <c r="H8" i="2"/>
  <c r="J652" i="1"/>
  <c r="G662" i="1"/>
  <c r="D29" i="13"/>
  <c r="C29" i="13" s="1"/>
  <c r="E124" i="2"/>
  <c r="E121" i="2"/>
  <c r="E112" i="2"/>
  <c r="G651" i="1"/>
  <c r="C120" i="2"/>
  <c r="H120" i="2" s="1"/>
  <c r="C119" i="2"/>
  <c r="C112" i="2"/>
  <c r="D15" i="13"/>
  <c r="C15" i="13" s="1"/>
  <c r="N2" i="14"/>
  <c r="N3" i="14" s="1"/>
  <c r="M2" i="14"/>
  <c r="M3" i="14" s="1"/>
  <c r="C13" i="10"/>
  <c r="C121" i="2"/>
  <c r="D6" i="13"/>
  <c r="C6" i="13" s="1"/>
  <c r="L2" i="14"/>
  <c r="L3" i="14" s="1"/>
  <c r="K2" i="14"/>
  <c r="K3" i="14" s="1"/>
  <c r="D78" i="2"/>
  <c r="H77" i="2"/>
  <c r="H59" i="2"/>
  <c r="H61" i="2"/>
  <c r="H47" i="2"/>
  <c r="H13" i="2"/>
  <c r="H11" i="2"/>
  <c r="H23" i="2"/>
  <c r="G477" i="1"/>
  <c r="H624" i="1" s="1"/>
  <c r="J624" i="1"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H122" i="2"/>
  <c r="H57" i="2"/>
  <c r="H124" i="2"/>
  <c r="H110" i="2"/>
  <c r="H16" i="2"/>
  <c r="E51" i="2"/>
  <c r="H85" i="2"/>
  <c r="H121" i="2"/>
  <c r="H21" i="2"/>
  <c r="G144" i="2"/>
  <c r="G145" i="2" s="1"/>
  <c r="H134" i="2"/>
  <c r="D128" i="2"/>
  <c r="D145" i="2" s="1"/>
  <c r="H127" i="2"/>
  <c r="I663" i="1"/>
  <c r="H112" i="2"/>
  <c r="E128" i="2"/>
  <c r="H119" i="2"/>
  <c r="H118" i="2"/>
  <c r="G24" i="14"/>
  <c r="H24" i="14" s="1"/>
  <c r="I24" i="14" s="1"/>
  <c r="H103" i="2"/>
  <c r="I662" i="1"/>
  <c r="H78" i="2"/>
  <c r="H62" i="2"/>
  <c r="C81" i="2"/>
  <c r="H81" i="2" s="1"/>
  <c r="F194" i="1"/>
  <c r="G628" i="1" s="1"/>
  <c r="J628" i="1" s="1"/>
  <c r="H31" i="2"/>
  <c r="H50" i="2"/>
  <c r="D51" i="2"/>
  <c r="H18" i="2"/>
  <c r="B33" i="16"/>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H128" i="2"/>
  <c r="M24" i="14"/>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<sst xmlns="http://schemas.openxmlformats.org/spreadsheetml/2006/main" count="6566" uniqueCount="1821">
  <si>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</si>
  <si>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</si>
  <si>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</si>
  <si>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</si>
  <si>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</si>
  <si>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</si>
  <si>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</si>
  <si>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</si>
  <si>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</si>
  <si>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</si>
  <si>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</si>
  <si>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</si>
  <si>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</si>
  <si>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</si>
  <si>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</si>
  <si>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</si>
  <si>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</si>
  <si>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</si>
  <si>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</si>
  <si>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</si>
  <si>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</si>
  <si>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</si>
  <si>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</si>
  <si>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</si>
  <si>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</si>
  <si>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</si>
  <si>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</si>
  <si>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</si>
  <si>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</si>
  <si>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</si>
  <si>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</si>
  <si>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</si>
  <si>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</si>
  <si>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</si>
  <si>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</si>
  <si>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</si>
  <si>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</si>
  <si>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</si>
  <si>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</si>
  <si>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</si>
  <si>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</si>
  <si>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</si>
  <si>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</si>
  <si>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</si>
  <si>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</si>
  <si>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</si>
  <si>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</si>
  <si>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</si>
  <si>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</si>
  <si>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</si>
  <si>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</si>
  <si>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</si>
  <si>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</si>
  <si>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</si>
  <si>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</si>
  <si>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</si>
  <si>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</si>
  <si>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</si>
  <si>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</si>
  <si>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</si>
  <si>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</si>
  <si>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</si>
  <si>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</si>
  <si>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</si>
  <si>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</si>
  <si>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</si>
  <si>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</si>
  <si>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</si>
  <si>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</si>
  <si>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</si>
  <si>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</si>
  <si>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</si>
  <si>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</si>
  <si>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</si>
  <si>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</si>
  <si>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</si>
  <si>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</si>
  <si>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</si>
  <si>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</si>
  <si>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</si>
  <si>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</si>
  <si>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</si>
  <si>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</si>
  <si>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</si>
  <si>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</si>
  <si>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</si>
  <si>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</si>
  <si>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</si>
  <si>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</si>
  <si>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</si>
  <si>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</si>
  <si>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</si>
  <si>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</si>
  <si>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</si>
  <si>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</si>
  <si>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</si>
  <si>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</si>
  <si>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</si>
  <si>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</si>
  <si>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</si>
  <si>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</si>
  <si>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</si>
  <si>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</si>
  <si>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</si>
  <si>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</si>
  <si>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</si>
  <si>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</si>
  <si>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</si>
  <si>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</si>
  <si>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</si>
  <si>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</si>
  <si>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</si>
  <si>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</si>
  <si>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</si>
  <si>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</si>
  <si>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</si>
  <si>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</si>
  <si>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</si>
  <si>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</si>
  <si>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</si>
  <si>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</si>
  <si>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</si>
  <si>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</si>
  <si>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</si>
  <si>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</si>
  <si>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</si>
  <si>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</si>
  <si>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</si>
  <si>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</si>
  <si>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</si>
  <si>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</si>
  <si>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</si>
  <si>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</si>
  <si>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</si>
  <si>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</si>
  <si>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</si>
  <si>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</si>
  <si>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</si>
  <si>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</si>
  <si>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</si>
  <si>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</si>
  <si>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</si>
  <si>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</si>
  <si>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</si>
  <si>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</si>
  <si>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</si>
  <si>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</si>
  <si>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</si>
  <si>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</si>
  <si>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</si>
  <si>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</si>
  <si>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</si>
  <si>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</si>
  <si>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</si>
  <si>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</si>
  <si>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</si>
  <si>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</si>
  <si>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</si>
  <si>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</si>
  <si>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</si>
  <si>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</si>
  <si>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</si>
  <si>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</si>
  <si>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</si>
  <si>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</si>
  <si>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</si>
  <si>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</si>
  <si>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</si>
  <si>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</si>
  <si>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</si>
  <si>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</si>
  <si>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</si>
  <si>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</si>
  <si>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</si>
  <si>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</si>
  <si>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</si>
  <si>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</si>
  <si>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</si>
  <si>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</si>
  <si>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</si>
  <si>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</si>
  <si>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</si>
  <si>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</si>
  <si>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</si>
  <si>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</si>
  <si>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</si>
  <si>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</si>
  <si>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</si>
  <si>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</si>
  <si>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</si>
  <si>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</si>
  <si>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</si>
  <si>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</si>
  <si>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</si>
  <si>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</si>
  <si>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</si>
  <si>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</si>
  <si>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</si>
  <si>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</si>
  <si>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</si>
  <si>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</si>
  <si>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</si>
  <si>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</si>
  <si>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</si>
  <si>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</si>
  <si>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</si>
  <si>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</si>
  <si>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</si>
  <si>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</si>
  <si>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</si>
  <si>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</si>
  <si>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</si>
  <si>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</si>
  <si>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</si>
  <si>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</si>
  <si>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</si>
  <si>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</si>
  <si>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</si>
  <si>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</si>
  <si>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</si>
  <si>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</si>
  <si>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</si>
  <si>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</si>
  <si>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</si>
  <si>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</si>
  <si>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</si>
  <si>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</si>
  <si>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</si>
  <si>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</si>
  <si>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</si>
  <si>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</si>
  <si>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</si>
  <si>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</si>
  <si>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</si>
  <si>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</si>
  <si>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</si>
  <si>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</si>
  <si>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</si>
  <si>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</si>
  <si>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</si>
  <si>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</si>
  <si>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</si>
  <si>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</si>
  <si>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</si>
  <si>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</si>
  <si>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</si>
  <si>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</si>
  <si>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</si>
  <si>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</si>
  <si>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</si>
  <si>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</si>
  <si>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</si>
  <si>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</si>
  <si>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</si>
  <si>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</si>
  <si>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</si>
  <si>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</si>
  <si>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</si>
  <si>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</si>
  <si>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</si>
  <si>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</si>
  <si>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</si>
  <si>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</si>
  <si>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</si>
  <si>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</si>
  <si>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</si>
  <si>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</si>
  <si>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</si>
  <si>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</si>
  <si>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</si>
  <si>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</si>
  <si>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</si>
  <si>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</si>
  <si>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</si>
  <si>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</si>
  <si>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</si>
  <si>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</si>
  <si>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</si>
  <si>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</si>
  <si>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</si>
  <si>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</si>
  <si>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</si>
  <si>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</si>
  <si>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</si>
  <si>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</si>
  <si>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</si>
  <si>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</si>
  <si>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</si>
  <si>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</si>
  <si>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</si>
  <si>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</si>
  <si>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</si>
  <si>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</si>
  <si>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</si>
  <si>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</si>
  <si>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</si>
  <si>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</si>
  <si>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</si>
  <si>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</si>
  <si>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</si>
  <si>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</si>
  <si>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</si>
  <si>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</si>
  <si>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</si>
  <si>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</si>
  <si>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</si>
  <si>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</si>
  <si>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</si>
  <si>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</si>
  <si>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</si>
  <si>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</si>
  <si>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</si>
  <si>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</si>
  <si>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</si>
  <si>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</si>
  <si>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</si>
  <si>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</si>
  <si>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</si>
  <si>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</si>
  <si>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</si>
  <si>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</si>
  <si>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</si>
  <si>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</si>
  <si>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</si>
  <si>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</si>
  <si>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</si>
  <si>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</si>
  <si>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</si>
  <si>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</si>
  <si>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</si>
  <si>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</si>
  <si>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</si>
  <si>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</si>
  <si>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</si>
  <si>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</si>
  <si>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</si>
  <si>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</si>
  <si>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</si>
  <si>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</si>
  <si>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</si>
  <si>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</si>
  <si>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</si>
  <si>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</si>
  <si>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</si>
  <si>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</si>
  <si>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</si>
  <si>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</si>
  <si>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</si>
  <si>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</si>
  <si>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</si>
  <si>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</si>
  <si>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</si>
  <si>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</si>
  <si>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</si>
  <si>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</si>
  <si>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</si>
  <si>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</si>
  <si>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</si>
  <si>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</si>
  <si>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</si>
  <si>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</si>
  <si>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</si>
  <si>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</si>
  <si>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</si>
  <si>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</si>
  <si>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</si>
  <si>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</si>
  <si>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</si>
  <si>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</si>
  <si>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</si>
  <si>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</si>
  <si>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</si>
  <si>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</si>
  <si>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</si>
  <si>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</si>
  <si>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</si>
  <si>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</si>
  <si>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</si>
  <si>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</si>
  <si>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</si>
  <si>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</si>
  <si>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</si>
  <si>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</si>
  <si>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</si>
  <si>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</si>
  <si>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</si>
  <si>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</si>
  <si>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</si>
  <si>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</si>
  <si>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</si>
  <si>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</si>
  <si>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</si>
  <si>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</si>
  <si>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</si>
  <si>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</si>
  <si>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</si>
  <si>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</si>
  <si>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</si>
  <si>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</si>
  <si>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</si>
  <si>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</si>
  <si>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</si>
  <si>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</si>
  <si>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</si>
  <si>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</si>
  <si>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</si>
  <si>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</si>
  <si>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</si>
  <si>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</si>
  <si>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</si>
  <si>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</si>
  <si>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</si>
  <si>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</si>
  <si>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</si>
  <si>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</si>
  <si>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</si>
  <si>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</si>
  <si>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</si>
  <si>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</si>
  <si>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</si>
  <si>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</si>
  <si>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</si>
  <si>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</si>
  <si>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</si>
  <si>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</si>
  <si>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</si>
  <si>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</si>
  <si>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</si>
  <si>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</si>
  <si>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</si>
  <si>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</si>
  <si>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</si>
  <si>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</si>
  <si>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</si>
  <si>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</si>
  <si>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</si>
  <si>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</si>
  <si>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</si>
  <si>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</si>
  <si>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</si>
  <si>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</si>
  <si>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</si>
  <si>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</si>
  <si>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</si>
  <si>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</si>
  <si>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</si>
  <si>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</si>
  <si>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</si>
  <si>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</si>
  <si>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</si>
  <si>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</si>
  <si>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</si>
  <si>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</si>
  <si>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</si>
  <si>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</si>
  <si>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</si>
  <si>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</si>
  <si>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</si>
  <si>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</si>
  <si>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</si>
  <si>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</si>
  <si>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</si>
  <si>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</si>
  <si>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</si>
  <si>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</si>
  <si>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</si>
  <si>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</si>
  <si>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</si>
  <si>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</si>
  <si>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</si>
  <si>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</si>
  <si>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</si>
  <si>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</si>
  <si>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</si>
  <si>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</si>
  <si>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</si>
  <si>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</si>
  <si>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</si>
  <si>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</si>
  <si>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</si>
  <si>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</si>
  <si>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</si>
  <si>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</si>
  <si>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</si>
  <si>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</si>
  <si>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</si>
  <si>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</si>
  <si>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</si>
  <si>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</si>
  <si>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</si>
  <si>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</si>
  <si>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</si>
  <si>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</si>
  <si>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</si>
  <si>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</si>
  <si>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</si>
  <si>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</si>
  <si>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</si>
  <si>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</si>
  <si>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</si>
  <si>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</si>
  <si>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</si>
  <si>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</si>
  <si>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</si>
  <si>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</si>
  <si>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</si>
  <si>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</si>
  <si>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</si>
  <si>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</si>
  <si>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</si>
  <si>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</si>
  <si>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</si>
  <si>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</si>
  <si>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</si>
  <si>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</si>
  <si>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</si>
  <si>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</si>
  <si>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</si>
  <si>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</si>
  <si>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</si>
  <si>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</si>
  <si>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</si>
  <si>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</si>
  <si>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</si>
  <si>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</si>
  <si>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</si>
  <si>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</si>
  <si>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</si>
  <si>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</si>
  <si>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</si>
  <si>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</si>
  <si>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</si>
  <si>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</si>
  <si>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</si>
  <si>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</si>
  <si>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</si>
  <si>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</si>
  <si>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</si>
  <si>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</si>
  <si>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</si>
  <si>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</si>
  <si>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</si>
  <si>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</si>
  <si>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</si>
  <si>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</si>
  <si>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</si>
  <si>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</si>
  <si>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</si>
  <si>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</si>
  <si>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</si>
  <si>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</si>
  <si>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</si>
  <si>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</si>
  <si>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</si>
  <si>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</si>
  <si>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</si>
  <si>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</si>
  <si>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</si>
  <si>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</si>
  <si>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</si>
  <si>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</si>
  <si>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</si>
  <si>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</si>
  <si>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</si>
  <si>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</si>
  <si>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</si>
  <si>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</si>
  <si>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</si>
  <si>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</si>
  <si>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</si>
  <si>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</si>
  <si>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</si>
  <si>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</si>
  <si>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</si>
  <si>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</si>
  <si>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</si>
  <si>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</si>
  <si>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</si>
  <si>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</si>
  <si>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</si>
  <si>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</si>
  <si>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</si>
  <si>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</si>
  <si>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</si>
  <si>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</si>
  <si>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</si>
  <si>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</si>
  <si>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</si>
  <si>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</si>
  <si>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</si>
  <si>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</si>
  <si>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</si>
  <si>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</si>
  <si>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</si>
  <si>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</si>
  <si>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</si>
  <si>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</si>
  <si>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</si>
  <si>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</si>
  <si>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</si>
  <si>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</si>
  <si>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</si>
  <si>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</si>
  <si>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</si>
  <si>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</si>
  <si>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</si>
  <si>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</si>
  <si>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</si>
  <si>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</si>
  <si>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</si>
  <si>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</si>
  <si>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</si>
  <si>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</si>
  <si>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</si>
  <si>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</si>
  <si>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</si>
  <si>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</si>
  <si>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</si>
  <si>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</si>
  <si>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</si>
  <si>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</si>
  <si>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</si>
  <si>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</si>
  <si>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</si>
  <si>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</si>
  <si>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</si>
  <si>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</si>
  <si>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</si>
  <si>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</si>
  <si>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</si>
  <si>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</si>
  <si>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</si>
  <si>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</si>
  <si>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</si>
  <si>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</si>
  <si>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</si>
  <si>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</si>
  <si>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</si>
  <si>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</si>
  <si>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</si>
  <si>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</si>
  <si>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</si>
  <si>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</si>
  <si>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</si>
  <si>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</si>
  <si>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</si>
  <si>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</si>
  <si>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</si>
  <si>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</si>
  <si>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</si>
  <si>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</si>
  <si>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</si>
  <si>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</si>
  <si>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</si>
  <si>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</si>
  <si>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</si>
  <si>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</si>
  <si>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</si>
  <si>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</si>
  <si>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</si>
  <si>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</si>
  <si>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</si>
  <si>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</si>
  <si>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</si>
  <si>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</si>
  <si>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</si>
  <si>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</si>
  <si>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</si>
  <si>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</si>
  <si>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</si>
  <si>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</si>
  <si>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</si>
  <si>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</si>
  <si>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</si>
  <si>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</si>
  <si>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</si>
  <si>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</si>
  <si>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</si>
  <si>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</si>
  <si>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</si>
  <si>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</si>
  <si>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</si>
  <si>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</si>
  <si>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</si>
  <si>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</si>
  <si>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</si>
  <si>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</si>
  <si>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</si>
  <si>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</si>
  <si>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</si>
  <si>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</si>
  <si>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</si>
  <si>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</si>
  <si>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</si>
  <si>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</si>
  <si>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</si>
  <si>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</si>
  <si>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</si>
  <si>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</si>
  <si>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</si>
  <si>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</si>
  <si>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</si>
  <si>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</si>
  <si>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</si>
  <si>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</si>
  <si>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</si>
  <si>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</si>
  <si>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</si>
  <si>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</si>
  <si>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</si>
  <si>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</si>
  <si>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</si>
  <si>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</si>
  <si>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</si>
  <si>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</si>
  <si>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</si>
  <si>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</si>
  <si>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</si>
  <si>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</si>
  <si>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</si>
  <si>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</si>
  <si>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</si>
  <si>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</si>
  <si>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</si>
  <si>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</si>
  <si>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</si>
  <si>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</si>
  <si>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</si>
  <si>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</si>
  <si>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</si>
  <si>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</si>
  <si>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</si>
  <si>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</si>
  <si>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</si>
  <si>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</si>
  <si>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</si>
  <si>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</si>
  <si>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</si>
  <si>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</si>
  <si>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</si>
  <si>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</si>
  <si>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</si>
  <si>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</si>
  <si>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</si>
  <si>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</si>
  <si>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</si>
  <si>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</si>
  <si>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</si>
  <si>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</si>
  <si>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</si>
  <si>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</si>
  <si>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</si>
  <si>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</si>
  <si>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</si>
  <si>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</si>
  <si>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</si>
  <si>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</si>
  <si>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</si>
  <si>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</si>
  <si>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</si>
  <si>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</si>
  <si>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</si>
  <si>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</si>
  <si>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</si>
  <si>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</si>
  <si>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</si>
  <si>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</si>
  <si>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</si>
  <si>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</si>
  <si>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</si>
  <si>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</si>
  <si>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</si>
  <si>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</si>
  <si>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</si>
  <si>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</si>
  <si>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</si>
  <si>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</si>
  <si>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</si>
  <si>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</si>
  <si>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</si>
  <si>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</si>
  <si>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</si>
  <si>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</si>
  <si>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</si>
  <si>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</si>
  <si>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</si>
  <si>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</si>
  <si>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</si>
  <si>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</si>
  <si>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</si>
  <si>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</si>
  <si>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</si>
  <si>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</si>
  <si>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</si>
  <si>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</si>
  <si>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</si>
  <si>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</si>
  <si>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</si>
  <si>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</si>
  <si>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</si>
  <si>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</si>
  <si>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</si>
  <si>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</si>
  <si>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</si>
  <si>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</si>
  <si>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</si>
  <si>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</si>
  <si>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</si>
  <si>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</si>
  <si>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</si>
  <si>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</si>
  <si>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</si>
  <si>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</si>
  <si>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</si>
  <si>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</si>
  <si>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</si>
  <si>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</si>
  <si>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</si>
  <si>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</si>
  <si>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</si>
  <si>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</si>
  <si>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</si>
  <si>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</si>
  <si>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</si>
  <si>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</si>
  <si>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</si>
  <si>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</si>
  <si>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</si>
  <si>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</si>
  <si>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</si>
  <si>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</si>
  <si>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</si>
  <si>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</si>
  <si>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</si>
  <si>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</si>
  <si>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</si>
  <si>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</si>
  <si>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</si>
  <si>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</si>
  <si>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</si>
  <si>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</si>
  <si>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</si>
  <si>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</si>
  <si>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</si>
  <si>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</si>
  <si>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</si>
  <si>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</si>
  <si>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</si>
  <si>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</si>
  <si>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</si>
  <si>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</si>
  <si>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</si>
  <si>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</si>
  <si>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</si>
  <si>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</si>
  <si>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</si>
  <si>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</si>
  <si>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</si>
  <si>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</si>
  <si>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</si>
  <si>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</si>
  <si>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</si>
  <si>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</si>
  <si>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</si>
  <si>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</si>
  <si>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</si>
  <si>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</si>
  <si>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</si>
  <si>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</si>
  <si>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</si>
  <si>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</si>
  <si>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</si>
  <si>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</si>
  <si>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</si>
  <si>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</si>
  <si>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</si>
  <si>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</si>
  <si>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</si>
  <si>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</si>
  <si>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</si>
  <si>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</si>
  <si>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</si>
  <si>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</si>
  <si>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</si>
  <si>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</si>
  <si>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</si>
  <si>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</si>
  <si>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</si>
  <si>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</si>
  <si>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</si>
  <si>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</si>
  <si>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</si>
  <si>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</si>
  <si>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</si>
  <si>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</si>
  <si>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</si>
  <si>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</si>
  <si>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</si>
  <si>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</si>
  <si>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</si>
  <si>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</si>
  <si>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</si>
  <si>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</si>
  <si>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</si>
  <si>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</si>
  <si>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</si>
  <si>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</si>
  <si>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</si>
  <si>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</si>
  <si>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</si>
  <si>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</si>
  <si>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</si>
  <si>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</si>
  <si>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</si>
  <si>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</si>
  <si>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</si>
  <si>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</si>
  <si>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</si>
  <si>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</si>
  <si>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</si>
  <si>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</si>
  <si>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</si>
  <si>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</si>
  <si>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</si>
  <si>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</si>
  <si>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</si>
  <si>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</si>
  <si>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</si>
  <si>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</si>
  <si>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</si>
  <si>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</si>
  <si>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</si>
  <si>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</si>
  <si>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</si>
  <si>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</si>
  <si>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</si>
  <si>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</si>
  <si>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</si>
  <si>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</si>
  <si>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</si>
  <si>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</si>
  <si>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</si>
  <si>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</si>
  <si>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</si>
  <si>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</si>
  <si>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</si>
  <si>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</si>
  <si>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</si>
  <si>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</si>
  <si>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</si>
  <si>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</si>
  <si>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</si>
  <si>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</si>
  <si>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</si>
  <si>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</si>
  <si>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</si>
  <si>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</si>
  <si>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</si>
  <si>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</si>
  <si>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</si>
  <si>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</si>
  <si>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</si>
  <si>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</si>
  <si>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</si>
  <si>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</si>
  <si>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</si>
  <si>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</si>
  <si>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</si>
  <si>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</si>
  <si>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</si>
  <si>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</si>
  <si>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</si>
  <si>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</si>
  <si>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</si>
  <si>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</si>
  <si>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</si>
  <si>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</si>
  <si>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</si>
  <si>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</si>
  <si>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</si>
  <si>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</si>
  <si>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</si>
  <si>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</si>
  <si>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</si>
  <si>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</si>
  <si>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</si>
  <si>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</si>
  <si>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</si>
  <si>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</si>
  <si>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</si>
  <si>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</si>
  <si>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</si>
  <si>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</si>
  <si>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</si>
  <si>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</si>
  <si>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</si>
  <si>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</si>
  <si>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</si>
  <si>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</si>
  <si>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</si>
  <si>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</si>
  <si>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</si>
  <si>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</si>
  <si>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</si>
  <si>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</si>
  <si>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</si>
  <si>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</si>
  <si>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</si>
  <si>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</si>
  <si>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</si>
  <si>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</si>
  <si>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</si>
  <si>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</si>
  <si>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</si>
  <si>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</si>
  <si>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</si>
  <si>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</si>
  <si>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</si>
  <si>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</si>
  <si>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</si>
  <si>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</si>
  <si>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</si>
  <si>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</si>
  <si>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</si>
  <si>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</si>
  <si>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</si>
  <si>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</si>
  <si>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</si>
  <si>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</si>
  <si>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</si>
  <si>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</si>
  <si>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</si>
  <si>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</si>
  <si>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</si>
  <si>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</si>
  <si>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</si>
  <si>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</si>
  <si>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</si>
  <si>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</si>
  <si>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</si>
  <si>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</si>
  <si>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</si>
  <si>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</si>
  <si>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</si>
  <si>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</si>
  <si>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</si>
  <si>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</si>
  <si>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</si>
  <si>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</si>
  <si>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</si>
  <si>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</si>
  <si>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</si>
  <si>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</si>
  <si>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</si>
  <si>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</si>
  <si>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</si>
  <si>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</si>
  <si>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</si>
  <si>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</si>
  <si>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</si>
  <si>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</si>
  <si>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</si>
  <si>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</si>
  <si>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</si>
  <si>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</si>
  <si>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</si>
  <si>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</si>
  <si>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</si>
  <si>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</si>
  <si>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</si>
  <si>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</si>
  <si>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</si>
  <si>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</si>
  <si>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</si>
  <si>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</si>
  <si>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</si>
  <si>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</si>
  <si>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</si>
  <si>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</si>
  <si>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</si>
  <si>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</si>
  <si>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</si>
  <si>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</si>
  <si>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</si>
  <si>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</si>
  <si>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</si>
  <si>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</si>
  <si>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</si>
  <si>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</si>
  <si>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</si>
  <si>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</si>
  <si>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</si>
  <si>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</si>
  <si>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</si>
  <si>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</si>
  <si>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</si>
  <si>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</si>
  <si>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</si>
  <si>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</si>
  <si>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</si>
  <si>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</si>
  <si>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</si>
  <si>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</si>
  <si>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</si>
  <si>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</si>
  <si>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</si>
  <si>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</si>
  <si>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</si>
  <si>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</si>
  <si>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</si>
  <si>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</si>
  <si>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</si>
  <si>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</si>
  <si>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</si>
  <si>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</si>
  <si>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</si>
  <si>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</si>
  <si>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</si>
  <si>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</si>
  <si>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</si>
  <si>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</si>
  <si>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</si>
  <si>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</si>
  <si>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</si>
  <si>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</si>
  <si>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</si>
  <si>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</si>
  <si>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</si>
  <si>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</si>
  <si>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</si>
  <si>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</si>
  <si>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</si>
  <si>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</si>
  <si>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</si>
  <si>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</si>
  <si>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</si>
  <si>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</si>
  <si>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</si>
  <si>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</si>
  <si>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</si>
  <si>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</si>
  <si>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</si>
  <si>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</si>
  <si>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</si>
  <si>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</si>
  <si>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</si>
  <si>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</si>
  <si>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</si>
  <si>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</si>
  <si>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</si>
  <si>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</si>
  <si>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</si>
  <si>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</si>
  <si>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</si>
  <si>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</si>
  <si>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</si>
  <si>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</si>
  <si>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</si>
  <si>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</si>
  <si>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</si>
  <si>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</si>
  <si>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</si>
  <si>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</si>
  <si>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</si>
  <si>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</si>
  <si>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</si>
  <si>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</si>
  <si>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</si>
  <si>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</si>
  <si>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</si>
  <si>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</si>
  <si>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</si>
  <si>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</si>
  <si>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</si>
  <si>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</si>
  <si>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</si>
  <si>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</si>
  <si>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</si>
  <si>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</si>
  <si>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</si>
  <si>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</si>
  <si>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</si>
  <si>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</si>
  <si>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</si>
  <si>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</si>
  <si>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</si>
  <si>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</si>
  <si>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</si>
  <si>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</si>
  <si>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</si>
  <si>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</si>
  <si>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</si>
  <si>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</si>
  <si>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</si>
  <si>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</si>
  <si>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</si>
  <si>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</si>
  <si>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</si>
  <si>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</si>
  <si>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</si>
  <si>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</si>
  <si>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</si>
  <si>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</si>
  <si>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</si>
  <si>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</si>
  <si>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</si>
  <si>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</si>
  <si>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</si>
  <si>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</si>
  <si>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</si>
  <si>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</si>
  <si>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</si>
  <si>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</si>
  <si>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</si>
  <si>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</si>
  <si>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</si>
  <si>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</si>
  <si>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</si>
  <si>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</si>
  <si>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</si>
  <si>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</si>
  <si>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</si>
  <si>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</si>
  <si>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</si>
  <si>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</si>
  <si>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</si>
  <si>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</si>
  <si>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</si>
  <si>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</si>
  <si>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</si>
  <si>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</si>
  <si>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</si>
  <si>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</si>
  <si>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</si>
  <si>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</si>
  <si>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</si>
  <si>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</si>
  <si>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</si>
  <si>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</si>
  <si>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</si>
  <si>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</si>
  <si>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</si>
  <si>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</si>
  <si>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</si>
  <si>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</si>
  <si>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</si>
  <si>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</si>
  <si>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</si>
  <si>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</si>
  <si>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</si>
  <si>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</si>
  <si>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</si>
  <si>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</si>
  <si>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</si>
  <si>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</si>
  <si>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</si>
  <si>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</si>
  <si>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</si>
  <si>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</si>
  <si>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</si>
  <si>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</si>
  <si>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</si>
  <si>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</si>
  <si>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</si>
  <si>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</si>
  <si>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</si>
  <si>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</si>
  <si>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</si>
  <si>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</si>
  <si>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</si>
  <si>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</si>
  <si>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</si>
  <si>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</si>
  <si>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</si>
  <si>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</si>
  <si>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</si>
  <si>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</si>
  <si>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</si>
  <si>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</si>
  <si>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</si>
  <si>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</si>
  <si>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</si>
  <si>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</si>
  <si>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</si>
  <si>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</si>
  <si>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</si>
  <si>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</si>
  <si>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</si>
  <si>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</si>
  <si>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</si>
  <si>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</si>
  <si>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</si>
  <si>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</si>
  <si>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</si>
  <si>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</si>
  <si>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</si>
  <si>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</si>
  <si>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</si>
  <si>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</si>
  <si>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</si>
  <si>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</si>
  <si>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</si>
  <si>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</si>
  <si>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</si>
  <si>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</si>
  <si>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</si>
  <si>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</si>
  <si>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</si>
  <si>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</si>
  <si>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</si>
  <si>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</si>
  <si>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</si>
  <si>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</si>
  <si>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</si>
  <si>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</si>
  <si>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</si>
  <si>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</si>
  <si>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</si>
  <si>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</si>
  <si>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</si>
  <si>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</si>
  <si>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</si>
  <si>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</si>
  <si>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</si>
  <si>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</si>
  <si>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</si>
  <si>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</si>
  <si>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</si>
  <si>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</si>
  <si>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</si>
  <si>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</si>
  <si>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</si>
  <si>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</si>
  <si>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</si>
  <si>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</si>
  <si>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</si>
  <si>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</si>
  <si>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</si>
  <si>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</si>
  <si>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</si>
  <si>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</si>
  <si>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</si>
  <si>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</si>
  <si>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</si>
  <si>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</si>
  <si>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</si>
  <si>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</si>
  <si>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</si>
  <si>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</si>
  <si>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</si>
  <si>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</si>
  <si>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</si>
  <si>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</si>
  <si>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</si>
  <si>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</si>
  <si>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</si>
  <si>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</si>
  <si>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</si>
  <si>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</si>
  <si>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</si>
  <si>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</si>
  <si>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</si>
  <si>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</si>
  <si>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</si>
  <si>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</si>
  <si>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</si>
  <si>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</si>
  <si>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</si>
  <si>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</si>
  <si>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</si>
  <si>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</si>
  <si>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</si>
  <si>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</si>
  <si>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</si>
  <si>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</si>
  <si>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</si>
  <si>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</si>
  <si>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</si>
  <si>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</si>
  <si>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</si>
  <si>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</si>
  <si>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</si>
  <si>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</si>
  <si>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</si>
  <si>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</si>
  <si>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</si>
  <si>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</si>
  <si>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</si>
  <si>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</si>
  <si>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</si>
  <si>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</si>
  <si>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</si>
  <si>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</si>
  <si>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</si>
  <si>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</si>
  <si>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</si>
  <si>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</si>
  <si>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</si>
  <si>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</si>
  <si>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</si>
  <si>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</si>
  <si>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</si>
  <si>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</si>
  <si>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</si>
  <si>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</si>
  <si>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</si>
  <si>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</si>
  <si>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</si>
  <si>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</si>
  <si>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</si>
  <si>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</si>
  <si>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</si>
  <si>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</si>
  <si>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</si>
  <si>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</si>
  <si>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</si>
  <si>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</si>
  <si>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</si>
  <si>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</si>
  <si>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</si>
  <si>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</si>
  <si>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</si>
  <si>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</si>
  <si>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</si>
  <si>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</si>
  <si>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</si>
  <si>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</si>
  <si>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</si>
  <si>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</si>
  <si>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</si>
  <si>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</si>
  <si>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</si>
  <si>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</si>
  <si>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</si>
  <si>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</si>
  <si>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</si>
  <si>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</si>
  <si>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</si>
  <si>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</si>
  <si>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</si>
  <si>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</si>
  <si>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</si>
  <si>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</si>
  <si>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</si>
  <si>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</si>
  <si>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</si>
  <si>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</si>
  <si>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</si>
  <si>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</si>
  <si>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</si>
  <si>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</si>
  <si>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</si>
  <si>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</si>
  <si>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</si>
  <si>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</si>
  <si>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</si>
  <si>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</si>
  <si>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</si>
  <si>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</si>
  <si>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</si>
  <si>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</si>
  <si>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</si>
  <si>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</si>
  <si>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</si>
  <si>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</si>
  <si>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</si>
  <si>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</si>
  <si>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</si>
  <si>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</si>
  <si>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</si>
  <si>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</si>
  <si>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</si>
  <si>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</si>
  <si>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</si>
  <si>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</si>
  <si>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</si>
  <si>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</si>
  <si>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</si>
  <si>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</si>
  <si>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</si>
  <si>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</si>
  <si>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</si>
  <si>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</si>
  <si>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</si>
  <si>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</si>
  <si>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</si>
  <si>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</si>
  <si>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</si>
  <si>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</si>
  <si>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</si>
  <si>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</si>
  <si>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</si>
  <si>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</si>
  <si>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</si>
  <si>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</si>
  <si>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</si>
  <si>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</si>
  <si>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</si>
  <si>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</si>
  <si>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</si>
  <si>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</si>
  <si>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</si>
  <si>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</si>
  <si>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</si>
  <si>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</si>
  <si>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</si>
  <si>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</si>
  <si>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</si>
  <si>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</si>
  <si>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</si>
  <si>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</si>
  <si>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</si>
  <si>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</si>
  <si>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</si>
  <si>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</si>
  <si>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</si>
  <si>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</si>
  <si>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</si>
  <si>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</si>
  <si>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</si>
  <si>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</si>
  <si>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</si>
  <si>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</si>
  <si>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</si>
  <si>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</si>
  <si>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</si>
  <si>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</si>
  <si>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</si>
  <si>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</si>
  <si>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</si>
  <si>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</si>
  <si>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</si>
  <si>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</si>
  <si>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</si>
  <si>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</si>
  <si>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</si>
  <si>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</si>
  <si>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</si>
  <si>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</si>
  <si>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</si>
  <si>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</si>
  <si>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</si>
  <si>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</si>
  <si>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</si>
  <si>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</si>
  <si>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</si>
  <si>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</si>
  <si>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</si>
  <si>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</si>
  <si>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</si>
  <si>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</si>
  <si>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</si>
  <si>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</si>
  <si>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</si>
  <si>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</si>
  <si>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</si>
  <si>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</si>
  <si>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</si>
  <si>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</si>
  <si>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</si>
  <si>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</si>
  <si>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</si>
  <si>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</si>
  <si>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</si>
  <si>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</si>
  <si>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</si>
  <si>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</si>
  <si>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</si>
  <si>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</si>
  <si>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</si>
  <si>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</si>
  <si>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</si>
  <si>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</si>
  <si>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</si>
  <si>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</si>
  <si>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</si>
  <si>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</si>
  <si>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</si>
  <si>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</si>
  <si>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</si>
  <si>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</si>
  <si>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</si>
  <si>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</si>
  <si>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</si>
  <si>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</si>
  <si>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</si>
  <si>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</si>
  <si>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</si>
  <si>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</si>
  <si>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</si>
  <si>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</si>
  <si>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</si>
  <si>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</si>
  <si>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</si>
  <si>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</si>
  <si>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</si>
  <si>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</si>
  <si>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</si>
  <si>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</si>
  <si>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</si>
  <si>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</si>
  <si>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</si>
  <si>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</si>
  <si>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</si>
  <si>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</si>
  <si>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</si>
  <si>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</si>
  <si>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</si>
  <si>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</si>
  <si>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</si>
  <si>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</si>
  <si>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</si>
  <si>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</si>
  <si>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</si>
  <si>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</si>
  <si>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</si>
  <si>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</si>
  <si>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</si>
  <si>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</si>
  <si>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</si>
  <si>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</si>
  <si>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</si>
  <si>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</si>
  <si>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</si>
  <si>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</si>
  <si>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</si>
  <si>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</si>
  <si>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</si>
  <si>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</si>
  <si>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</si>
  <si>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</si>
  <si>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</si>
  <si>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</si>
  <si>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</si>
  <si>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</si>
  <si>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</si>
  <si>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</si>
  <si>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</si>
  <si>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</si>
  <si>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</si>
  <si>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</si>
  <si>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</si>
  <si>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</si>
  <si>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</si>
  <si>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</si>
  <si>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</si>
  <si>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</si>
  <si>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</si>
  <si>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</si>
  <si>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</si>
  <si>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</si>
  <si>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</si>
  <si>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</si>
  <si>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</si>
  <si>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</si>
  <si>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</si>
  <si>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</si>
  <si>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</si>
  <si>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</si>
  <si>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</si>
  <si>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</si>
  <si>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</si>
  <si>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</si>
  <si>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</si>
  <si>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</si>
  <si>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</si>
  <si>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</si>
  <si>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</si>
  <si>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</si>
  <si>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</si>
  <si>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</si>
  <si>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</si>
  <si>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</si>
  <si>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</si>
  <si>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</si>
  <si>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</si>
  <si>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</si>
  <si>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</si>
  <si>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</si>
  <si>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</si>
  <si>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</si>
  <si>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</si>
  <si>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</si>
  <si>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</si>
  <si>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</si>
  <si>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</si>
  <si>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</si>
  <si>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</si>
  <si>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</si>
  <si>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</si>
  <si>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</si>
  <si>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</si>
  <si>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</si>
  <si>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</si>
  <si>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</si>
  <si>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</si>
  <si>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</si>
  <si>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</si>
  <si>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</si>
  <si>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</si>
  <si>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</si>
  <si>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</si>
  <si>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</si>
  <si>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</si>
  <si>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</si>
  <si>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</si>
  <si>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</si>
  <si>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</si>
  <si>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</si>
  <si>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</si>
  <si>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</si>
  <si>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</si>
  <si>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</si>
  <si>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</si>
  <si>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</si>
  <si>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</si>
  <si>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</si>
  <si>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</si>
  <si>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</si>
  <si>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</si>
  <si>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</si>
  <si>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</si>
  <si>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</si>
  <si>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</si>
  <si>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</si>
  <si>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</si>
  <si>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</si>
  <si>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</si>
  <si>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</si>
  <si>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</si>
  <si>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</si>
  <si>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</si>
  <si>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</si>
  <si>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</si>
  <si>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</si>
  <si>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</si>
  <si>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</si>
  <si>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</si>
  <si>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</si>
  <si>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</si>
  <si>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</si>
  <si>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</si>
  <si>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</si>
  <si>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</si>
  <si>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</si>
  <si>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</si>
  <si>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</si>
  <si>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</si>
  <si>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</si>
  <si>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</si>
  <si>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</si>
  <si>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</si>
  <si>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</si>
  <si>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</si>
  <si>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</si>
  <si>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</si>
  <si>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</si>
  <si>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</si>
  <si>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</si>
  <si>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</si>
  <si>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</si>
  <si>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</si>
  <si>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</si>
  <si>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</si>
  <si>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</si>
  <si>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</si>
  <si>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</si>
  <si>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</si>
  <si>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</si>
  <si>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</si>
  <si>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</si>
  <si>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</si>
  <si>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</si>
  <si>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</si>
  <si>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</si>
  <si>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</si>
  <si>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</si>
  <si>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</si>
  <si>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</si>
  <si>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</si>
  <si>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</si>
  <si>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</si>
  <si>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</si>
  <si>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</si>
  <si>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</si>
  <si>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</si>
  <si>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</si>
  <si>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</si>
  <si>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</si>
  <si>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</si>
  <si>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</si>
  <si>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</si>
  <si>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</si>
  <si>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</si>
  <si>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</si>
  <si>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</si>
  <si>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</si>
  <si>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</si>
  <si>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</si>
  <si>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</si>
  <si>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</si>
  <si>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</si>
  <si>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</si>
  <si>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</si>
  <si>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</si>
  <si>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</si>
  <si>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</si>
  <si>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</si>
  <si>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</si>
  <si>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</si>
  <si>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</si>
  <si>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</si>
  <si>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Fund 21 FICA Accrued</t>
  </si>
  <si>
    <t>12/03</t>
  </si>
  <si>
    <t>07/16</t>
  </si>
  <si>
    <t>7/17</t>
  </si>
  <si>
    <t>6/18</t>
  </si>
  <si>
    <t>01/24</t>
  </si>
  <si>
    <t>08/36</t>
  </si>
  <si>
    <t>08/37</t>
  </si>
  <si>
    <t>08/38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</si>
</sst>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981</v>
      </c>
      <c r="B2">
        <f>INDEX('School Tables'!$AH$3:$AH$209,MATCH('DOE25'!A2,'School Tables'!$AJ$3:$AJ$209,0))</f>
        <v>113</v>
      </c>
      <c r="C2">
        <f>INDEX('School Tables'!$AI$3:$AI$209,MATCH('DOE25'!A2,'School Tables'!$AJ$3:$AJ$209,0))</f>
        <v>113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2758685.54</v>
      </c>
      <c r="G9" s="18">
        <v>659433.61</v>
      </c>
      <c r="H9" s="18"/>
      <c r="I9" s="18"/>
      <c r="J9" s="13">
        <f>SUM(I440)</f>
        <v>2441309.96</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10501331.98</v>
      </c>
      <c r="G12" s="18">
        <v>1743493.5</v>
      </c>
      <c r="H12" s="18">
        <v>7412473.1799999997</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121656.04</v>
      </c>
      <c r="G13" s="18">
        <v>69621.22</v>
      </c>
      <c r="H13" s="18">
        <v>387091.15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444932.09</v>
      </c>
      <c r="G14" s="18"/>
      <c r="H14" s="18">
        <v>643.39</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51953.22</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13826605.649999999</v>
      </c>
      <c r="G19" s="38">
        <f>SUM(G9:G18)</f>
        <v>2524501.5500000003</v>
      </c>
      <c r="H19" s="38">
        <f>SUM(H9:H18)</f>
        <v>7800207.7199999997</v>
      </c>
      <c r="I19" s="38">
        <f>SUM(I9:I18)</f>
        <v>0</v>
      </c>
      <c r="J19" s="38">
        <f>SUM(J9:J18)</f>
        <v>2441309.96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10014525.300000001</v>
      </c>
      <c r="G22" s="18">
        <v>2471895.16</v>
      </c>
      <c r="H22" s="18">
        <v>7170930.7199999997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296610.13</v>
      </c>
      <c r="G24" s="18">
        <v>648.41999999999996</v>
      </c>
      <c r="H24" s="18">
        <v>126837.25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34870.14</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758.98</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10346764.550000003</v>
      </c>
      <c r="G32" s="38">
        <f>SUM(G22:G31)</f>
        <v>2472543.58</v>
      </c>
      <c r="H32" s="38">
        <f>SUM(H22:H31)</f>
        <v>7297767.9699999997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51957.97</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502439.75</v>
      </c>
      <c r="I48" s="18"/>
      <c r="J48" s="13">
        <f>SUM(I460)</f>
        <v>2441309.96</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3479841.1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3479841.1</v>
      </c>
      <c r="G51" s="38">
        <f>SUM(G35:G50)</f>
        <v>51957.97</v>
      </c>
      <c r="H51" s="38">
        <f>SUM(H35:H50)</f>
        <v>502439.75</v>
      </c>
      <c r="I51" s="38">
        <f>SUM(I35:I50)</f>
        <v>0</v>
      </c>
      <c r="J51" s="38">
        <f>SUM(J35:J50)</f>
        <v>2441309.96</v>
      </c>
      <c r="K51" s="42" t="s">
        <v>288</v>
      </c>
      <c r="L51" s="42" t="s">
        <v>288</v>
      </c>
      <c r="N51" s="131"/>
    </row>
    <row r="52" spans="1:14" s="3" customFormat="1" ht="12.2" customHeight="1" thickTop="1" x14ac:dyDescent="0.15">
      <c r="A52" s="35" t="s">
        <v>455</v>
      </c>
      <c r="B52" s="36" t="s">
        <v>289</v>
      </c>
      <c r="C52" s="6">
        <v>37</v>
      </c>
      <c r="D52" s="36" t="s">
        <v>653</v>
      </c>
      <c r="E52" s="36"/>
      <c r="F52" s="38">
        <f>F51+F32</f>
        <v>13826605.650000002</v>
      </c>
      <c r="G52" s="38">
        <f>G51+G32</f>
        <v>2524501.5500000003</v>
      </c>
      <c r="H52" s="38">
        <f>H51+H32</f>
        <v>7800207.7199999997</v>
      </c>
      <c r="I52" s="38">
        <f>I51+I32</f>
        <v>0</v>
      </c>
      <c r="J52" s="38">
        <f>J51+J32</f>
        <v>2441309.96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16195827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16195827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10264096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10264096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23430.04</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23430.04</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101626.43</v>
      </c>
      <c r="G96" s="18">
        <v>1133.01</v>
      </c>
      <c r="H96" s="18"/>
      <c r="I96" s="18"/>
      <c r="J96" s="18">
        <v>49166.69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300010.32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59987.57</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318737.03999999998</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206270.85</v>
      </c>
      <c r="G110" s="18"/>
      <c r="H110" s="18">
        <v>153282.29</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686621.89</v>
      </c>
      <c r="G111" s="38">
        <f>SUM(G96:G110)</f>
        <v>301143.33</v>
      </c>
      <c r="H111" s="38">
        <f>SUM(H96:H110)</f>
        <v>153282.29</v>
      </c>
      <c r="I111" s="38">
        <f>SUM(I96:I110)</f>
        <v>0</v>
      </c>
      <c r="J111" s="38">
        <f>SUM(J96:J110)</f>
        <v>49166.69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27169974.93</v>
      </c>
      <c r="G112" s="38">
        <f>G60+G111</f>
        <v>301143.33</v>
      </c>
      <c r="H112" s="38">
        <f>H60+H79+H94+H111</f>
        <v>153282.29</v>
      </c>
      <c r="I112" s="38">
        <f>I60+I111</f>
        <v>0</v>
      </c>
      <c r="J112" s="38">
        <f>J60+J111</f>
        <v>49166.69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3740927.99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2505537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173524.26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6419989.25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1059831.67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6132.97</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7402.72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1059831.67</v>
      </c>
      <c r="G136" s="38">
        <f>SUM(G123:G135)</f>
        <v>7402.72</v>
      </c>
      <c r="H136" s="38">
        <f>SUM(H123:H135)</f>
        <v>6132.97</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7479820.9199999999</v>
      </c>
      <c r="G140" s="38">
        <f>G121+SUM(G136:G137)</f>
        <v>7402.72</v>
      </c>
      <c r="H140" s="38">
        <f>H121+SUM(H136:H139)</f>
        <v>6132.97</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539048.13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376783.6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111842.57</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394540.39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452135.7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18951.72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96155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1531006.6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18951.72</v>
      </c>
      <c r="G163" s="38">
        <f>SUM(G150:G162)</f>
        <v>394540.39</v>
      </c>
      <c r="H163" s="38">
        <f>SUM(H150:H162)</f>
        <v>3106971.6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772.02</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19723.740000000002</v>
      </c>
      <c r="G170" s="38">
        <f>G147+G163+SUM(G164:G169)</f>
        <v>394540.39</v>
      </c>
      <c r="H170" s="38">
        <f>H147+H163+SUM(H164:H169)</f>
        <v>3106971.6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41278.800000000003</v>
      </c>
      <c r="H180" s="18"/>
      <c r="I180" s="18"/>
      <c r="J180" s="18">
        <v>331429</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41278.800000000003</v>
      </c>
      <c r="H184" s="38">
        <f>SUM(H180:H183)</f>
        <v>0</v>
      </c>
      <c r="I184" s="38">
        <f>SUM(I180:I183)</f>
        <v>0</v>
      </c>
      <c r="J184" s="38">
        <f>SUM(J180:J183)</f>
        <v>331429</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410678</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128105.4</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538783.4</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538783.4</v>
      </c>
      <c r="G193" s="38">
        <f>G184+SUM(G189:G192)</f>
        <v>41278.800000000003</v>
      </c>
      <c r="H193" s="38">
        <f>+H184+SUM(H189:H192)</f>
        <v>0</v>
      </c>
      <c r="I193" s="38">
        <f>I178+I184+SUM(I189:I192)</f>
        <v>0</v>
      </c>
      <c r="J193" s="38">
        <f>J184</f>
        <v>331429</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35208302.990000002</v>
      </c>
      <c r="G194" s="38">
        <f>G112+G140+G170+G193</f>
        <v>744365.24</v>
      </c>
      <c r="H194" s="38">
        <f>H112+H140+H170+H193</f>
        <v>3266386.8600000003</v>
      </c>
      <c r="I194" s="38">
        <f>I112+I140+I170+I193</f>
        <v>0</v>
      </c>
      <c r="J194" s="38">
        <f>J112+J140+J193</f>
        <v>380595.69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2882874.06+121857+75388.29+57544.75</f>
        <v>3137664.1</v>
      </c>
      <c r="G198" s="18">
        <f>1544896.79+33055.7+43554.81+914137.67</f>
        <v>2535644.9700000002</v>
      </c>
      <c r="H198" s="18">
        <f>22066.08+262.11+17429.46</f>
        <v>39757.65</v>
      </c>
      <c r="I198" s="18">
        <f>152337.34+25880.53</f>
        <v>178217.87</v>
      </c>
      <c r="J198" s="18">
        <f>16339.08+29678.71+87495.15</f>
        <v>133512.94</v>
      </c>
      <c r="K198" s="18"/>
      <c r="L198" s="13">
        <f>SUM(F198:K198)</f>
        <v>6024797.5300000012</v>
      </c>
      <c r="M198" s="8"/>
      <c r="N198" s="165"/>
    </row>
    <row r="199" spans="1:14" s="3" customFormat="1" ht="12.2" customHeight="1" x14ac:dyDescent="0.15">
      <c r="A199" s="1" t="s">
        <v>439</v>
      </c>
      <c r="B199" s="2" t="s">
        <v>341</v>
      </c>
      <c r="C199" s="2" t="s">
        <v>291</v>
      </c>
      <c r="D199" s="2" t="s">
        <v>431</v>
      </c>
      <c r="E199" s="6">
        <v>1200</v>
      </c>
      <c r="F199" s="18">
        <f>1285272.87+45989.18</f>
        <v>1331262.05</v>
      </c>
      <c r="G199" s="18">
        <f>784479.36+23957.49</f>
        <v>808436.85</v>
      </c>
      <c r="H199" s="18">
        <f>379770.94+888.27</f>
        <v>380659.21</v>
      </c>
      <c r="I199" s="18">
        <f>1883.06+358.45</f>
        <v>2241.5099999999998</v>
      </c>
      <c r="J199" s="18"/>
      <c r="K199" s="18"/>
      <c r="L199" s="13">
        <f>SUM(F199:K199)</f>
        <v>2522599.6199999996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111793.29</v>
      </c>
      <c r="G201" s="18">
        <v>35816.89</v>
      </c>
      <c r="H201" s="18">
        <v>3558</v>
      </c>
      <c r="I201" s="18">
        <v>4811.87</v>
      </c>
      <c r="J201" s="18"/>
      <c r="K201" s="18"/>
      <c r="L201" s="13">
        <f>SUM(F201:K201)</f>
        <v>155980.04999999999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549931.6+22047.79</f>
        <v>571979.39</v>
      </c>
      <c r="G203" s="18">
        <f>302095.36+8494.45</f>
        <v>310589.81</v>
      </c>
      <c r="H203" s="18">
        <f>326266.94+189.57</f>
        <v>326456.51</v>
      </c>
      <c r="I203" s="18">
        <v>7734.63</v>
      </c>
      <c r="J203" s="18">
        <v>3655.98</v>
      </c>
      <c r="K203" s="18">
        <v>357.5</v>
      </c>
      <c r="L203" s="13">
        <f t="shared" ref="L203:L209" si="0">SUM(F203:K203)</f>
        <v>1220773.8199999998</v>
      </c>
      <c r="M203" s="8"/>
      <c r="N203" s="165"/>
    </row>
    <row r="204" spans="1:14" s="3" customFormat="1" ht="12.2" customHeight="1" x14ac:dyDescent="0.15">
      <c r="A204" s="1" t="s">
        <v>443</v>
      </c>
      <c r="B204" s="2" t="s">
        <v>341</v>
      </c>
      <c r="C204" s="2" t="s">
        <v>295</v>
      </c>
      <c r="D204" s="2" t="s">
        <v>431</v>
      </c>
      <c r="E204" s="6">
        <v>2200</v>
      </c>
      <c r="F204" s="18">
        <f>152882.2+5549.61</f>
        <v>158431.81</v>
      </c>
      <c r="G204" s="18">
        <f>106512.12+1607.62</f>
        <v>108119.73999999999</v>
      </c>
      <c r="H204" s="18">
        <f>30326.32+8163.78</f>
        <v>38490.1</v>
      </c>
      <c r="I204" s="18">
        <v>29778.86</v>
      </c>
      <c r="J204" s="18">
        <v>1429.46</v>
      </c>
      <c r="K204" s="18"/>
      <c r="L204" s="13">
        <f t="shared" si="0"/>
        <v>336249.97</v>
      </c>
      <c r="M204" s="8"/>
      <c r="N204" s="165"/>
    </row>
    <row r="205" spans="1:14" s="3" customFormat="1" ht="12.2" customHeight="1" x14ac:dyDescent="0.15">
      <c r="A205" s="1" t="s">
        <v>444</v>
      </c>
      <c r="B205" s="2" t="s">
        <v>341</v>
      </c>
      <c r="C205" s="2" t="s">
        <v>296</v>
      </c>
      <c r="D205" s="2" t="s">
        <v>431</v>
      </c>
      <c r="E205" s="6">
        <v>2300</v>
      </c>
      <c r="F205" s="18">
        <v>8919</v>
      </c>
      <c r="G205" s="18">
        <v>758.75</v>
      </c>
      <c r="H205" s="18">
        <v>586831.05000000005</v>
      </c>
      <c r="I205" s="18">
        <v>1349.57</v>
      </c>
      <c r="J205" s="18"/>
      <c r="K205" s="18">
        <v>2182.6799999999998</v>
      </c>
      <c r="L205" s="13">
        <f t="shared" si="0"/>
        <v>600041.05000000005</v>
      </c>
      <c r="M205" s="8"/>
      <c r="N205" s="165"/>
    </row>
    <row r="206" spans="1:14" s="3" customFormat="1" ht="12.2" customHeight="1" x14ac:dyDescent="0.15">
      <c r="A206" s="1" t="s">
        <v>445</v>
      </c>
      <c r="B206" s="2" t="s">
        <v>341</v>
      </c>
      <c r="C206" s="2" t="s">
        <v>297</v>
      </c>
      <c r="D206" s="2" t="s">
        <v>431</v>
      </c>
      <c r="E206" s="6">
        <v>2400</v>
      </c>
      <c r="F206" s="18">
        <v>408822.44</v>
      </c>
      <c r="G206" s="18">
        <v>210224.42</v>
      </c>
      <c r="H206" s="18">
        <v>67073.759999999995</v>
      </c>
      <c r="I206" s="18">
        <v>5307.26</v>
      </c>
      <c r="J206" s="18">
        <v>3122.51</v>
      </c>
      <c r="K206" s="18">
        <v>2835</v>
      </c>
      <c r="L206" s="13">
        <f t="shared" si="0"/>
        <v>697385.39</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237833.4+159160.54</f>
        <v>396993.94</v>
      </c>
      <c r="G208" s="18">
        <f>148393.56+61911.55</f>
        <v>210305.11</v>
      </c>
      <c r="H208" s="18">
        <f>274917.43+82029.02</f>
        <v>356946.45</v>
      </c>
      <c r="I208" s="18">
        <f>273640.57+5787.9</f>
        <v>279428.47000000003</v>
      </c>
      <c r="J208" s="18">
        <f>14177.26+2904.79</f>
        <v>17082.05</v>
      </c>
      <c r="K208" s="18"/>
      <c r="L208" s="13">
        <f t="shared" si="0"/>
        <v>1260756.02</v>
      </c>
      <c r="M208" s="8"/>
      <c r="N208" s="165"/>
    </row>
    <row r="209" spans="1:14" s="3" customFormat="1" ht="12.2" customHeight="1" x14ac:dyDescent="0.15">
      <c r="A209" s="1" t="s">
        <v>448</v>
      </c>
      <c r="B209" s="2" t="s">
        <v>341</v>
      </c>
      <c r="C209" s="2" t="s">
        <v>300</v>
      </c>
      <c r="D209" s="2" t="s">
        <v>431</v>
      </c>
      <c r="E209" s="6">
        <v>2700</v>
      </c>
      <c r="F209" s="18">
        <f>17751.01+20283.01+110319.3</f>
        <v>148353.32</v>
      </c>
      <c r="G209" s="18">
        <f>2510.87+4319.61+73395.72</f>
        <v>80226.2</v>
      </c>
      <c r="H209" s="18">
        <f>45505.13+59939.97</f>
        <v>105445.1</v>
      </c>
      <c r="I209" s="18">
        <v>43636.63</v>
      </c>
      <c r="J209" s="18">
        <v>162792.91</v>
      </c>
      <c r="K209" s="18"/>
      <c r="L209" s="13">
        <f t="shared" si="0"/>
        <v>540454.16</v>
      </c>
      <c r="M209" s="8"/>
      <c r="N209" s="165"/>
    </row>
    <row r="210" spans="1:14" s="3" customFormat="1" ht="12.2" customHeight="1" x14ac:dyDescent="0.15">
      <c r="A210" s="1" t="s">
        <v>449</v>
      </c>
      <c r="B210" s="2" t="s">
        <v>341</v>
      </c>
      <c r="C210" s="2" t="s">
        <v>343</v>
      </c>
      <c r="D210" s="2" t="s">
        <v>431</v>
      </c>
      <c r="E210" s="6">
        <v>2800</v>
      </c>
      <c r="F210" s="18"/>
      <c r="G210" s="18"/>
      <c r="H210" s="18">
        <v>1577.21</v>
      </c>
      <c r="I210" s="18"/>
      <c r="J210" s="18"/>
      <c r="K210" s="18"/>
      <c r="L210" s="13">
        <f>SUM(F210:K210)</f>
        <v>1577.21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6274219.3400000008</v>
      </c>
      <c r="G212" s="38">
        <f t="shared" si="1"/>
        <v>4300122.7400000012</v>
      </c>
      <c r="H212" s="38">
        <f t="shared" si="1"/>
        <v>1906795.04</v>
      </c>
      <c r="I212" s="38">
        <f t="shared" si="1"/>
        <v>552506.67000000004</v>
      </c>
      <c r="J212" s="38">
        <f t="shared" si="1"/>
        <v>321595.84999999998</v>
      </c>
      <c r="K212" s="38">
        <f t="shared" si="1"/>
        <v>5375.18</v>
      </c>
      <c r="L212" s="38">
        <f t="shared" si="1"/>
        <v>13360614.820000004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1164430.54+54854+29721.29+22686.6</f>
        <v>1271692.4300000002</v>
      </c>
      <c r="G216" s="18">
        <f>608749.21+13031.97+21543.02+360392.14</f>
        <v>1003716.34</v>
      </c>
      <c r="H216" s="18">
        <f>8524.85+103.34+7718.67</f>
        <v>16346.86</v>
      </c>
      <c r="I216" s="18">
        <f>64075.63+6035.43</f>
        <v>70111.06</v>
      </c>
      <c r="J216" s="18">
        <f>7555.82+11700.61+39382.79</f>
        <v>58639.22</v>
      </c>
      <c r="K216" s="18"/>
      <c r="L216" s="13">
        <f>SUM(F216:K216)</f>
        <v>2420505.91</v>
      </c>
      <c r="M216" s="8"/>
      <c r="N216" s="165"/>
    </row>
    <row r="217" spans="1:14" s="3" customFormat="1" ht="12.2" customHeight="1" x14ac:dyDescent="0.15">
      <c r="A217" s="1" t="s">
        <v>439</v>
      </c>
      <c r="B217" s="2" t="s">
        <v>346</v>
      </c>
      <c r="C217" s="2" t="s">
        <v>291</v>
      </c>
      <c r="D217" s="2" t="s">
        <v>431</v>
      </c>
      <c r="E217" s="6">
        <v>1200</v>
      </c>
      <c r="F217" s="18">
        <f>424686.46+18130.9</f>
        <v>442817.36000000004</v>
      </c>
      <c r="G217" s="18">
        <f>274040.09+9445.07</f>
        <v>283485.16000000003</v>
      </c>
      <c r="H217" s="18">
        <f>35640.75+350.19</f>
        <v>35990.94</v>
      </c>
      <c r="I217" s="18">
        <f>6775.35+141.32</f>
        <v>6916.67</v>
      </c>
      <c r="J217" s="18"/>
      <c r="K217" s="18"/>
      <c r="L217" s="13">
        <f>SUM(F217:K217)</f>
        <v>769210.13</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69356</v>
      </c>
      <c r="G219" s="18">
        <v>15342.82</v>
      </c>
      <c r="H219" s="18">
        <v>23851.759999999998</v>
      </c>
      <c r="I219" s="18">
        <v>6305.73</v>
      </c>
      <c r="J219" s="18">
        <v>1956.04</v>
      </c>
      <c r="K219" s="18">
        <v>1943.94</v>
      </c>
      <c r="L219" s="13">
        <f>SUM(F219:K219)</f>
        <v>118756.29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212325.94+8692.18</f>
        <v>221018.12</v>
      </c>
      <c r="G221" s="18">
        <f>128654.11+3348.88</f>
        <v>132002.99</v>
      </c>
      <c r="H221" s="18">
        <f>8953.69+74.74</f>
        <v>9028.43</v>
      </c>
      <c r="I221" s="18">
        <v>6370.29</v>
      </c>
      <c r="J221" s="18">
        <v>498.01</v>
      </c>
      <c r="K221" s="18">
        <v>50</v>
      </c>
      <c r="L221" s="13">
        <f t="shared" ref="L221:L227" si="2">SUM(F221:K221)</f>
        <v>368967.83999999997</v>
      </c>
      <c r="M221" s="8"/>
      <c r="N221" s="165"/>
    </row>
    <row r="222" spans="1:14" s="3" customFormat="1" ht="12.2" customHeight="1" x14ac:dyDescent="0.15">
      <c r="A222" s="1" t="s">
        <v>443</v>
      </c>
      <c r="B222" s="2" t="s">
        <v>346</v>
      </c>
      <c r="C222" s="2" t="s">
        <v>295</v>
      </c>
      <c r="D222" s="2" t="s">
        <v>431</v>
      </c>
      <c r="E222" s="6">
        <v>2200</v>
      </c>
      <c r="F222" s="18">
        <f>49907+2187.89</f>
        <v>52094.89</v>
      </c>
      <c r="G222" s="18">
        <f>37509.99+633.79</f>
        <v>38143.78</v>
      </c>
      <c r="H222" s="18">
        <f>16125.34+3218.51</f>
        <v>19343.849999999999</v>
      </c>
      <c r="I222" s="18">
        <v>8719.32</v>
      </c>
      <c r="J222" s="18">
        <v>165.73</v>
      </c>
      <c r="K222" s="18"/>
      <c r="L222" s="13">
        <f t="shared" si="2"/>
        <v>118467.56999999999</v>
      </c>
      <c r="M222" s="8"/>
      <c r="N222" s="165"/>
    </row>
    <row r="223" spans="1:14" s="3" customFormat="1" ht="12.2" customHeight="1" x14ac:dyDescent="0.15">
      <c r="A223" s="1" t="s">
        <v>444</v>
      </c>
      <c r="B223" s="2" t="s">
        <v>346</v>
      </c>
      <c r="C223" s="2" t="s">
        <v>296</v>
      </c>
      <c r="D223" s="2" t="s">
        <v>431</v>
      </c>
      <c r="E223" s="6">
        <v>2300</v>
      </c>
      <c r="F223" s="18">
        <v>3516.25</v>
      </c>
      <c r="G223" s="18">
        <v>299.13</v>
      </c>
      <c r="H223" s="18">
        <v>231353.88</v>
      </c>
      <c r="I223" s="18">
        <v>532.05999999999995</v>
      </c>
      <c r="J223" s="18"/>
      <c r="K223" s="18">
        <v>860.51</v>
      </c>
      <c r="L223" s="13">
        <f t="shared" si="2"/>
        <v>236561.83000000002</v>
      </c>
      <c r="M223" s="8"/>
      <c r="N223" s="165"/>
    </row>
    <row r="224" spans="1:14" s="3" customFormat="1" ht="12.2" customHeight="1" x14ac:dyDescent="0.15">
      <c r="A224" s="1" t="s">
        <v>445</v>
      </c>
      <c r="B224" s="2" t="s">
        <v>346</v>
      </c>
      <c r="C224" s="2" t="s">
        <v>297</v>
      </c>
      <c r="D224" s="2" t="s">
        <v>431</v>
      </c>
      <c r="E224" s="6">
        <v>2400</v>
      </c>
      <c r="F224" s="18">
        <v>173439.13</v>
      </c>
      <c r="G224" s="18">
        <v>89111.55</v>
      </c>
      <c r="H224" s="18">
        <v>27763.02</v>
      </c>
      <c r="I224" s="18">
        <v>924.48</v>
      </c>
      <c r="J224" s="18">
        <v>990.3</v>
      </c>
      <c r="K224" s="18">
        <v>2903.4</v>
      </c>
      <c r="L224" s="13">
        <f t="shared" si="2"/>
        <v>295131.88</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f>221417.87+62747.89</f>
        <v>284165.76000000001</v>
      </c>
      <c r="G226" s="18">
        <f>118522.72+24408.18</f>
        <v>142930.9</v>
      </c>
      <c r="H226" s="18">
        <f>196874.65+32339.34</f>
        <v>229213.99</v>
      </c>
      <c r="I226" s="18">
        <f>298562.22+2281.84</f>
        <v>300844.06</v>
      </c>
      <c r="J226" s="18">
        <f>30730.77+1145.19</f>
        <v>31875.96</v>
      </c>
      <c r="K226" s="18"/>
      <c r="L226" s="13">
        <f t="shared" si="2"/>
        <v>989030.66999999993</v>
      </c>
      <c r="M226" s="8"/>
      <c r="N226" s="165"/>
    </row>
    <row r="227" spans="1:14" s="3" customFormat="1" ht="12.2" customHeight="1" x14ac:dyDescent="0.15">
      <c r="A227" s="1" t="s">
        <v>448</v>
      </c>
      <c r="B227" s="2" t="s">
        <v>346</v>
      </c>
      <c r="C227" s="2" t="s">
        <v>300</v>
      </c>
      <c r="D227" s="2" t="s">
        <v>431</v>
      </c>
      <c r="E227" s="6">
        <v>2700</v>
      </c>
      <c r="F227" s="18">
        <f>14705.55+43492.58</f>
        <v>58198.130000000005</v>
      </c>
      <c r="G227" s="18">
        <f>2216.25+28935.73</f>
        <v>31151.98</v>
      </c>
      <c r="H227" s="18">
        <v>23630.9</v>
      </c>
      <c r="I227" s="18">
        <v>17203.43</v>
      </c>
      <c r="J227" s="18">
        <v>64179.92</v>
      </c>
      <c r="K227" s="18"/>
      <c r="L227" s="13">
        <f t="shared" si="2"/>
        <v>194364.36</v>
      </c>
      <c r="M227" s="8"/>
      <c r="N227" s="165"/>
    </row>
    <row r="228" spans="1:14" s="3" customFormat="1" ht="12.2" customHeight="1" x14ac:dyDescent="0.15">
      <c r="A228" s="1" t="s">
        <v>449</v>
      </c>
      <c r="B228" s="2" t="s">
        <v>346</v>
      </c>
      <c r="C228" s="2" t="s">
        <v>343</v>
      </c>
      <c r="D228" s="2" t="s">
        <v>431</v>
      </c>
      <c r="E228" s="6">
        <v>2800</v>
      </c>
      <c r="F228" s="18"/>
      <c r="G228" s="18"/>
      <c r="H228" s="18">
        <v>621.79999999999995</v>
      </c>
      <c r="I228" s="18"/>
      <c r="J228" s="18"/>
      <c r="K228" s="18"/>
      <c r="L228" s="13">
        <f>SUM(F228:K228)</f>
        <v>621.79999999999995</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2576298.0700000003</v>
      </c>
      <c r="G230" s="38">
        <f>SUM(G216:G229)</f>
        <v>1736184.65</v>
      </c>
      <c r="H230" s="38">
        <f>SUM(H216:H229)</f>
        <v>617145.43000000005</v>
      </c>
      <c r="I230" s="38">
        <f>SUM(I216:I229)</f>
        <v>417927.1</v>
      </c>
      <c r="J230" s="38">
        <f>SUM(J216:J229)</f>
        <v>158305.18</v>
      </c>
      <c r="K230" s="38">
        <f t="shared" si="3"/>
        <v>5757.85</v>
      </c>
      <c r="L230" s="38">
        <f t="shared" si="3"/>
        <v>5511618.2800000003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2650173.06+85072.61+61354+64936.9</f>
        <v>2861536.57</v>
      </c>
      <c r="G234" s="18">
        <f>1533745.46+37302.01+32466.33+1031567.11</f>
        <v>2635080.91</v>
      </c>
      <c r="H234" s="18">
        <f>34169.94+295.78+20829.46</f>
        <v>55295.18</v>
      </c>
      <c r="I234" s="18">
        <f>90317.35+24704.37</f>
        <v>115021.72</v>
      </c>
      <c r="J234" s="18">
        <f>22462.13+33491.21+80719</f>
        <v>136672.34</v>
      </c>
      <c r="K234" s="18"/>
      <c r="L234" s="13">
        <f>SUM(F234:K234)</f>
        <v>5803606.7199999997</v>
      </c>
      <c r="M234" s="8"/>
      <c r="N234" s="165"/>
    </row>
    <row r="235" spans="1:14" s="3" customFormat="1" ht="12.2" customHeight="1" x14ac:dyDescent="0.15">
      <c r="A235" s="1" t="s">
        <v>439</v>
      </c>
      <c r="B235" s="2" t="s">
        <v>350</v>
      </c>
      <c r="C235" s="2" t="s">
        <v>291</v>
      </c>
      <c r="D235" s="2" t="s">
        <v>431</v>
      </c>
      <c r="E235" s="6">
        <v>1200</v>
      </c>
      <c r="F235" s="18">
        <f>585550.74+51896.91</f>
        <v>637447.65</v>
      </c>
      <c r="G235" s="18">
        <f>359737.01+27035.05</f>
        <v>386772.06</v>
      </c>
      <c r="H235" s="18">
        <f>166184.14+1002.37</f>
        <v>167186.51</v>
      </c>
      <c r="I235" s="18">
        <f>4223.92+404.5</f>
        <v>4628.42</v>
      </c>
      <c r="J235" s="18">
        <v>3014.63</v>
      </c>
      <c r="K235" s="18"/>
      <c r="L235" s="13">
        <f>SUM(F235:K235)</f>
        <v>1199049.2699999998</v>
      </c>
      <c r="M235" s="8"/>
      <c r="N235" s="165"/>
    </row>
    <row r="236" spans="1:14" s="3" customFormat="1" ht="12.2" customHeight="1" x14ac:dyDescent="0.15">
      <c r="A236" s="1" t="s">
        <v>440</v>
      </c>
      <c r="B236" s="2" t="s">
        <v>350</v>
      </c>
      <c r="C236" s="2" t="s">
        <v>292</v>
      </c>
      <c r="D236" s="2" t="s">
        <v>431</v>
      </c>
      <c r="E236" s="6">
        <v>1300</v>
      </c>
      <c r="F236" s="18">
        <v>581149.49</v>
      </c>
      <c r="G236" s="18">
        <v>346755.25</v>
      </c>
      <c r="H236" s="18">
        <v>45495.33</v>
      </c>
      <c r="I236" s="18">
        <v>87961.36</v>
      </c>
      <c r="J236" s="18">
        <v>20937.21</v>
      </c>
      <c r="K236" s="18">
        <v>850</v>
      </c>
      <c r="L236" s="13">
        <f>SUM(F236:K236)</f>
        <v>1083148.6399999999</v>
      </c>
      <c r="M236" s="8"/>
      <c r="N236" s="165"/>
    </row>
    <row r="237" spans="1:14" s="3" customFormat="1" ht="12.2" customHeight="1" x14ac:dyDescent="0.15">
      <c r="A237" s="1" t="s">
        <v>441</v>
      </c>
      <c r="B237" s="2" t="s">
        <v>350</v>
      </c>
      <c r="C237" s="2" t="s">
        <v>293</v>
      </c>
      <c r="D237" s="2" t="s">
        <v>431</v>
      </c>
      <c r="E237" s="6">
        <v>1400</v>
      </c>
      <c r="F237" s="18">
        <v>249496</v>
      </c>
      <c r="G237" s="18">
        <v>54354.46</v>
      </c>
      <c r="H237" s="18">
        <v>112579.51</v>
      </c>
      <c r="I237" s="18">
        <v>29949.54</v>
      </c>
      <c r="J237" s="18">
        <v>16613.97</v>
      </c>
      <c r="K237" s="18">
        <v>12436</v>
      </c>
      <c r="L237" s="13">
        <f>SUM(F237:K237)</f>
        <v>475429.48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626028.42+33588.63+24880.03</f>
        <v>684497.08000000007</v>
      </c>
      <c r="G239" s="18">
        <f>328333.74+21558.65+9585.64</f>
        <v>359478.03</v>
      </c>
      <c r="H239" s="18">
        <f>87961.68+762.73+213.93</f>
        <v>88938.339999999982</v>
      </c>
      <c r="I239" s="18">
        <f>7926.13+2355.96</f>
        <v>10282.09</v>
      </c>
      <c r="J239" s="18">
        <v>3207.61</v>
      </c>
      <c r="K239" s="18">
        <f>243+880</f>
        <v>1123</v>
      </c>
      <c r="L239" s="13">
        <f t="shared" ref="L239:L245" si="4">SUM(F239:K239)</f>
        <v>1147526.1500000004</v>
      </c>
      <c r="M239" s="8"/>
      <c r="N239" s="165"/>
    </row>
    <row r="240" spans="1:14" s="3" customFormat="1" ht="12.2" customHeight="1" x14ac:dyDescent="0.15">
      <c r="A240" s="1" t="s">
        <v>443</v>
      </c>
      <c r="B240" s="2" t="s">
        <v>350</v>
      </c>
      <c r="C240" s="2" t="s">
        <v>295</v>
      </c>
      <c r="D240" s="2" t="s">
        <v>431</v>
      </c>
      <c r="E240" s="6">
        <v>2200</v>
      </c>
      <c r="F240" s="18">
        <f>57781+3210+6262.5</f>
        <v>67253.5</v>
      </c>
      <c r="G240" s="18">
        <f>51563.54+2232.23+1814.14</f>
        <v>55609.91</v>
      </c>
      <c r="H240" s="18">
        <f>11612.61+4656.31+9212.49</f>
        <v>25481.410000000003</v>
      </c>
      <c r="I240" s="18">
        <v>6505.46</v>
      </c>
      <c r="J240" s="18">
        <v>3257.15</v>
      </c>
      <c r="K240" s="18">
        <f>698+624</f>
        <v>1322</v>
      </c>
      <c r="L240" s="13">
        <f t="shared" si="4"/>
        <v>159429.43</v>
      </c>
      <c r="M240" s="8"/>
      <c r="N240" s="165"/>
    </row>
    <row r="241" spans="1:14" s="3" customFormat="1" ht="12.2" customHeight="1" x14ac:dyDescent="0.15">
      <c r="A241" s="1" t="s">
        <v>444</v>
      </c>
      <c r="B241" s="2" t="s">
        <v>350</v>
      </c>
      <c r="C241" s="2" t="s">
        <v>296</v>
      </c>
      <c r="D241" s="2" t="s">
        <v>431</v>
      </c>
      <c r="E241" s="6">
        <v>2300</v>
      </c>
      <c r="F241" s="18">
        <v>10064.73</v>
      </c>
      <c r="G241" s="18">
        <v>856.21</v>
      </c>
      <c r="H241" s="18">
        <v>662214.93999999994</v>
      </c>
      <c r="I241" s="18">
        <v>1522.94</v>
      </c>
      <c r="J241" s="18"/>
      <c r="K241" s="18">
        <v>2463.0700000000002</v>
      </c>
      <c r="L241" s="13">
        <f t="shared" si="4"/>
        <v>677121.88999999978</v>
      </c>
      <c r="M241" s="8"/>
      <c r="N241" s="165"/>
    </row>
    <row r="242" spans="1:14" s="3" customFormat="1" ht="12.2" customHeight="1" x14ac:dyDescent="0.15">
      <c r="A242" s="1" t="s">
        <v>445</v>
      </c>
      <c r="B242" s="2" t="s">
        <v>350</v>
      </c>
      <c r="C242" s="2" t="s">
        <v>297</v>
      </c>
      <c r="D242" s="2" t="s">
        <v>431</v>
      </c>
      <c r="E242" s="6">
        <v>2400</v>
      </c>
      <c r="F242" s="18">
        <f>458763.34+136003.48</f>
        <v>594766.82000000007</v>
      </c>
      <c r="G242" s="18">
        <f>233256.17+74766.22</f>
        <v>308022.39</v>
      </c>
      <c r="H242" s="18">
        <f>49917.46+6202.39</f>
        <v>56119.85</v>
      </c>
      <c r="I242" s="18">
        <f>10194.01+7101.31</f>
        <v>17295.32</v>
      </c>
      <c r="J242" s="18">
        <f>3501.76+1533.24</f>
        <v>5035</v>
      </c>
      <c r="K242" s="18">
        <f>29742.13+640</f>
        <v>30382.13</v>
      </c>
      <c r="L242" s="13">
        <f t="shared" si="4"/>
        <v>1011621.51</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400426.92+179606.17</f>
        <v>580033.09</v>
      </c>
      <c r="G244" s="18">
        <f>218747.37+69864.66</f>
        <v>288612.03000000003</v>
      </c>
      <c r="H244" s="18">
        <f>505000.47+42.97+92566.4</f>
        <v>597609.84</v>
      </c>
      <c r="I244" s="18">
        <f>399916.46+2583.99+6531.41</f>
        <v>409031.86</v>
      </c>
      <c r="J244" s="18">
        <f>68430.53+3277.94</f>
        <v>71708.47</v>
      </c>
      <c r="K244" s="18"/>
      <c r="L244" s="13">
        <f t="shared" si="4"/>
        <v>1946995.2899999998</v>
      </c>
      <c r="M244" s="8"/>
      <c r="N244" s="165"/>
    </row>
    <row r="245" spans="1:14" s="3" customFormat="1" ht="12.2" customHeight="1" x14ac:dyDescent="0.15">
      <c r="A245" s="1" t="s">
        <v>448</v>
      </c>
      <c r="B245" s="2" t="s">
        <v>350</v>
      </c>
      <c r="C245" s="2" t="s">
        <v>300</v>
      </c>
      <c r="D245" s="2" t="s">
        <v>431</v>
      </c>
      <c r="E245" s="6">
        <v>2700</v>
      </c>
      <c r="F245" s="18">
        <f>67609.05+5779.38+124490.83</f>
        <v>197879.26</v>
      </c>
      <c r="G245" s="18">
        <f>12129.57+529.24+82824.08</f>
        <v>95482.89</v>
      </c>
      <c r="H245" s="18">
        <v>67639.81</v>
      </c>
      <c r="I245" s="18">
        <v>49242.16</v>
      </c>
      <c r="J245" s="18">
        <v>183705.17</v>
      </c>
      <c r="K245" s="18"/>
      <c r="L245" s="13">
        <f t="shared" si="4"/>
        <v>593949.29</v>
      </c>
      <c r="M245" s="8"/>
      <c r="N245" s="165"/>
    </row>
    <row r="246" spans="1:14" s="3" customFormat="1" ht="12.2" customHeight="1" x14ac:dyDescent="0.15">
      <c r="A246" s="1" t="s">
        <v>449</v>
      </c>
      <c r="B246" s="2" t="s">
        <v>350</v>
      </c>
      <c r="C246" s="2" t="s">
        <v>343</v>
      </c>
      <c r="D246" s="2" t="s">
        <v>431</v>
      </c>
      <c r="E246" s="6">
        <v>2800</v>
      </c>
      <c r="F246" s="18"/>
      <c r="G246" s="18"/>
      <c r="H246" s="18">
        <v>1779.81</v>
      </c>
      <c r="I246" s="18"/>
      <c r="J246" s="18"/>
      <c r="K246" s="18"/>
      <c r="L246" s="13">
        <f>SUM(F246:K246)</f>
        <v>1779.81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6464124.1900000004</v>
      </c>
      <c r="G248" s="38">
        <f t="shared" si="5"/>
        <v>4531024.1399999997</v>
      </c>
      <c r="H248" s="38">
        <f t="shared" si="5"/>
        <v>1880340.5300000003</v>
      </c>
      <c r="I248" s="38">
        <f t="shared" si="5"/>
        <v>731440.87</v>
      </c>
      <c r="J248" s="38">
        <f t="shared" si="5"/>
        <v>444151.55</v>
      </c>
      <c r="K248" s="38">
        <f t="shared" si="5"/>
        <v>48576.2</v>
      </c>
      <c r="L248" s="38">
        <f t="shared" si="5"/>
        <v>14099657.479999999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15314641.600000001</v>
      </c>
      <c r="G258" s="38">
        <f t="shared" si="8"/>
        <v>10567331.530000001</v>
      </c>
      <c r="H258" s="38">
        <f t="shared" si="8"/>
        <v>4404281</v>
      </c>
      <c r="I258" s="38">
        <f t="shared" si="8"/>
        <v>1701874.6400000001</v>
      </c>
      <c r="J258" s="38">
        <f t="shared" si="8"/>
        <v>924052.58</v>
      </c>
      <c r="K258" s="38">
        <f t="shared" si="8"/>
        <v>59709.229999999996</v>
      </c>
      <c r="L258" s="38">
        <f t="shared" si="8"/>
        <v>32971890.580000006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2090000</v>
      </c>
      <c r="L261" s="13">
        <f>SUM(F261:K261)</f>
        <v>2090000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267595.26</v>
      </c>
      <c r="L262" s="13">
        <f>SUM(F262:K262)</f>
        <v>267595.26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41278.800000000003</v>
      </c>
      <c r="L264" s="13">
        <f>SUM(F264:K264)</f>
        <v>41278.800000000003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331429</v>
      </c>
      <c r="L267" s="13">
        <f t="shared" si="9"/>
        <v>331429</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2730303.0599999996</v>
      </c>
      <c r="L271" s="38">
        <f t="shared" si="9"/>
        <v>2730303.0599999996</v>
      </c>
      <c r="M271" s="8"/>
      <c r="N271" s="165"/>
    </row>
    <row r="272" spans="1:14" s="33" customFormat="1" ht="12.2" customHeight="1" thickTop="1" x14ac:dyDescent="0.2">
      <c r="A272" s="40" t="s">
        <v>464</v>
      </c>
      <c r="B272" s="37">
        <v>10</v>
      </c>
      <c r="C272" s="37">
        <v>18</v>
      </c>
      <c r="D272" s="36" t="s">
        <v>431</v>
      </c>
      <c r="E272" s="37"/>
      <c r="F272" s="39">
        <f t="shared" ref="F272:L272" si="11">F258+F271</f>
        <v>15314641.600000001</v>
      </c>
      <c r="G272" s="39">
        <f t="shared" si="11"/>
        <v>10567331.530000001</v>
      </c>
      <c r="H272" s="39">
        <f t="shared" si="11"/>
        <v>4404281</v>
      </c>
      <c r="I272" s="39">
        <f t="shared" si="11"/>
        <v>1701874.6400000001</v>
      </c>
      <c r="J272" s="39">
        <f t="shared" si="11"/>
        <v>924052.58</v>
      </c>
      <c r="K272" s="39">
        <f t="shared" si="11"/>
        <v>2790012.2899999996</v>
      </c>
      <c r="L272" s="39">
        <f t="shared" si="11"/>
        <v>35702193.640000008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381907.74+52323.18+0.03</f>
        <v>434230.95</v>
      </c>
      <c r="G277" s="18">
        <f>151665.1+25339.82</f>
        <v>177004.92</v>
      </c>
      <c r="H277" s="18">
        <v>18504.46</v>
      </c>
      <c r="I277" s="18">
        <f>3452.73+38364.39</f>
        <v>41817.120000000003</v>
      </c>
      <c r="J277" s="18">
        <v>14581.59</v>
      </c>
      <c r="K277" s="18"/>
      <c r="L277" s="13">
        <f>SUM(F277:K277)</f>
        <v>686139.03999999992</v>
      </c>
      <c r="M277" s="8"/>
      <c r="N277" s="165"/>
    </row>
    <row r="278" spans="1:14" s="3" customFormat="1" ht="12.2" customHeight="1" x14ac:dyDescent="0.15">
      <c r="A278" s="1" t="s">
        <v>439</v>
      </c>
      <c r="B278" s="2" t="s">
        <v>357</v>
      </c>
      <c r="C278" s="2" t="s">
        <v>291</v>
      </c>
      <c r="D278" s="2" t="s">
        <v>431</v>
      </c>
      <c r="E278" s="6">
        <v>1200</v>
      </c>
      <c r="F278" s="18">
        <f>54159+5500</f>
        <v>59659</v>
      </c>
      <c r="G278" s="18">
        <f>22980.29+1167.54</f>
        <v>24147.83</v>
      </c>
      <c r="H278" s="18">
        <f>56146.05+10703.4</f>
        <v>66849.45</v>
      </c>
      <c r="I278" s="18">
        <v>10912.79</v>
      </c>
      <c r="J278" s="18"/>
      <c r="K278" s="18"/>
      <c r="L278" s="13">
        <f>SUM(F278:K278)</f>
        <v>161569.07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171632.49+4578.42</f>
        <v>176210.91</v>
      </c>
      <c r="G280" s="18">
        <f>43311.65+958.63</f>
        <v>44270.28</v>
      </c>
      <c r="H280" s="18">
        <v>25033.32</v>
      </c>
      <c r="I280" s="18">
        <v>32019.360000000001</v>
      </c>
      <c r="J280" s="18"/>
      <c r="K280" s="18"/>
      <c r="L280" s="13">
        <f>SUM(F280:K280)</f>
        <v>277533.87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48101+3424.9</f>
        <v>51525.9</v>
      </c>
      <c r="G282" s="18">
        <f>21427.37+973.8</f>
        <v>22401.17</v>
      </c>
      <c r="H282" s="18">
        <f>50141.25+22790.2</f>
        <v>72931.45</v>
      </c>
      <c r="I282" s="18"/>
      <c r="J282" s="18"/>
      <c r="K282" s="18"/>
      <c r="L282" s="13">
        <f t="shared" ref="L282:L288" si="12">SUM(F282:K282)</f>
        <v>146858.52000000002</v>
      </c>
      <c r="M282" s="8"/>
      <c r="N282" s="165"/>
    </row>
    <row r="283" spans="1:14" s="3" customFormat="1" ht="12.2" customHeight="1" x14ac:dyDescent="0.15">
      <c r="A283" s="1" t="s">
        <v>443</v>
      </c>
      <c r="B283" s="2" t="s">
        <v>357</v>
      </c>
      <c r="C283" s="2" t="s">
        <v>295</v>
      </c>
      <c r="D283" s="2" t="s">
        <v>431</v>
      </c>
      <c r="E283" s="6">
        <v>2200</v>
      </c>
      <c r="F283" s="18">
        <f>10800+36419.28</f>
        <v>47219.28</v>
      </c>
      <c r="G283" s="18">
        <f>3096.31+44738.75</f>
        <v>47835.06</v>
      </c>
      <c r="H283" s="18">
        <f>38687.04+2748.64+76095.01</f>
        <v>117530.69</v>
      </c>
      <c r="I283" s="18">
        <v>1429.46</v>
      </c>
      <c r="J283" s="18">
        <v>965.93</v>
      </c>
      <c r="K283" s="18">
        <v>1679.91</v>
      </c>
      <c r="L283" s="13">
        <f t="shared" si="12"/>
        <v>216660.33</v>
      </c>
      <c r="M283" s="8"/>
      <c r="N283" s="165"/>
    </row>
    <row r="284" spans="1:14" s="3" customFormat="1" ht="12.2" customHeight="1" x14ac:dyDescent="0.15">
      <c r="A284" s="1" t="s">
        <v>444</v>
      </c>
      <c r="B284" s="2" t="s">
        <v>357</v>
      </c>
      <c r="C284" s="2" t="s">
        <v>296</v>
      </c>
      <c r="D284" s="2" t="s">
        <v>431</v>
      </c>
      <c r="E284" s="6">
        <v>2300</v>
      </c>
      <c r="F284" s="18">
        <v>7345.3</v>
      </c>
      <c r="G284" s="18">
        <v>1594.67</v>
      </c>
      <c r="H284" s="18"/>
      <c r="I284" s="18"/>
      <c r="J284" s="18"/>
      <c r="K284" s="18"/>
      <c r="L284" s="13">
        <f t="shared" si="12"/>
        <v>8939.9700000000012</v>
      </c>
      <c r="M284" s="8"/>
      <c r="N284" s="165"/>
    </row>
    <row r="285" spans="1:14" s="3" customFormat="1" ht="12.2" customHeight="1" x14ac:dyDescent="0.15">
      <c r="A285" s="1" t="s">
        <v>445</v>
      </c>
      <c r="B285" s="2" t="s">
        <v>357</v>
      </c>
      <c r="C285" s="2" t="s">
        <v>297</v>
      </c>
      <c r="D285" s="2" t="s">
        <v>431</v>
      </c>
      <c r="E285" s="6">
        <v>2400</v>
      </c>
      <c r="F285" s="18"/>
      <c r="G285" s="18"/>
      <c r="H285" s="18">
        <v>1771.68</v>
      </c>
      <c r="I285" s="18"/>
      <c r="J285" s="18"/>
      <c r="K285" s="18"/>
      <c r="L285" s="13">
        <f t="shared" si="12"/>
        <v>1771.68</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v>27532.42</v>
      </c>
      <c r="K287" s="18"/>
      <c r="L287" s="13">
        <f t="shared" si="12"/>
        <v>27532.42</v>
      </c>
      <c r="M287" s="8"/>
      <c r="N287" s="165"/>
    </row>
    <row r="288" spans="1:14" s="3" customFormat="1" ht="12.2" customHeight="1" x14ac:dyDescent="0.15">
      <c r="A288" s="1" t="s">
        <v>448</v>
      </c>
      <c r="B288" s="2" t="s">
        <v>357</v>
      </c>
      <c r="C288" s="2" t="s">
        <v>300</v>
      </c>
      <c r="D288" s="2" t="s">
        <v>431</v>
      </c>
      <c r="E288" s="6">
        <v>2700</v>
      </c>
      <c r="F288" s="18">
        <v>625.22</v>
      </c>
      <c r="G288" s="18">
        <v>132.69</v>
      </c>
      <c r="H288" s="18">
        <f>2719.08+118.92</f>
        <v>2838</v>
      </c>
      <c r="I288" s="18"/>
      <c r="J288" s="18">
        <v>17183.96</v>
      </c>
      <c r="K288" s="18"/>
      <c r="L288" s="13">
        <f t="shared" si="12"/>
        <v>20779.87</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776816.56</v>
      </c>
      <c r="G291" s="39">
        <f t="shared" si="13"/>
        <v>317386.62</v>
      </c>
      <c r="H291" s="39">
        <f t="shared" si="13"/>
        <v>305459.05</v>
      </c>
      <c r="I291" s="39">
        <f t="shared" si="13"/>
        <v>86178.73000000001</v>
      </c>
      <c r="J291" s="39">
        <f t="shared" si="13"/>
        <v>60263.9</v>
      </c>
      <c r="K291" s="39">
        <f t="shared" si="13"/>
        <v>1679.91</v>
      </c>
      <c r="L291" s="38">
        <f t="shared" si="13"/>
        <v>1547784.77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20628.03</v>
      </c>
      <c r="G296" s="18">
        <v>9990.0400000000009</v>
      </c>
      <c r="H296" s="18">
        <v>7295.25</v>
      </c>
      <c r="I296" s="18">
        <v>15124.88</v>
      </c>
      <c r="J296" s="18">
        <v>5748.69</v>
      </c>
      <c r="K296" s="18"/>
      <c r="L296" s="13">
        <f>SUM(F296:K296)</f>
        <v>58786.89</v>
      </c>
      <c r="M296" s="8"/>
      <c r="N296" s="165"/>
    </row>
    <row r="297" spans="1:14" s="3" customFormat="1" ht="12.2" customHeight="1" x14ac:dyDescent="0.15">
      <c r="A297" s="1" t="s">
        <v>439</v>
      </c>
      <c r="B297" s="2" t="s">
        <v>358</v>
      </c>
      <c r="C297" s="2" t="s">
        <v>291</v>
      </c>
      <c r="D297" s="2" t="s">
        <v>431</v>
      </c>
      <c r="E297" s="6">
        <v>1200</v>
      </c>
      <c r="F297" s="18"/>
      <c r="G297" s="18"/>
      <c r="H297" s="18"/>
      <c r="I297" s="18">
        <v>150.35</v>
      </c>
      <c r="J297" s="18"/>
      <c r="K297" s="18"/>
      <c r="L297" s="13">
        <f>SUM(F297:K297)</f>
        <v>150.35</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1805.01</v>
      </c>
      <c r="G299" s="18">
        <v>377.93</v>
      </c>
      <c r="H299" s="18"/>
      <c r="I299" s="18"/>
      <c r="J299" s="18"/>
      <c r="K299" s="18"/>
      <c r="L299" s="13">
        <f>SUM(F299:K299)</f>
        <v>2182.94</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1350.24</v>
      </c>
      <c r="G301" s="18">
        <v>383.91</v>
      </c>
      <c r="H301" s="18">
        <v>15480.96</v>
      </c>
      <c r="I301" s="18"/>
      <c r="J301" s="18"/>
      <c r="K301" s="18"/>
      <c r="L301" s="13">
        <f t="shared" ref="L301:L307" si="14">SUM(F301:K301)</f>
        <v>17215.11</v>
      </c>
      <c r="M301" s="8"/>
      <c r="N301" s="165"/>
    </row>
    <row r="302" spans="1:14" s="3" customFormat="1" ht="12.2" customHeight="1" x14ac:dyDescent="0.15">
      <c r="A302" s="1" t="s">
        <v>443</v>
      </c>
      <c r="B302" s="2" t="s">
        <v>358</v>
      </c>
      <c r="C302" s="2" t="s">
        <v>295</v>
      </c>
      <c r="D302" s="2" t="s">
        <v>431</v>
      </c>
      <c r="E302" s="6">
        <v>2200</v>
      </c>
      <c r="F302" s="18">
        <v>14358.04</v>
      </c>
      <c r="G302" s="18">
        <v>17637.93</v>
      </c>
      <c r="H302" s="18">
        <f>4085.06+29999.91</f>
        <v>34084.97</v>
      </c>
      <c r="I302" s="18">
        <v>563.54999999999995</v>
      </c>
      <c r="J302" s="18">
        <v>380.81</v>
      </c>
      <c r="K302" s="18">
        <v>662.29</v>
      </c>
      <c r="L302" s="13">
        <f t="shared" si="14"/>
        <v>67687.59</v>
      </c>
      <c r="M302" s="8"/>
      <c r="N302" s="165"/>
    </row>
    <row r="303" spans="1:14" s="3" customFormat="1" ht="12.2" customHeight="1" x14ac:dyDescent="0.15">
      <c r="A303" s="1" t="s">
        <v>444</v>
      </c>
      <c r="B303" s="2" t="s">
        <v>358</v>
      </c>
      <c r="C303" s="2" t="s">
        <v>296</v>
      </c>
      <c r="D303" s="2" t="s">
        <v>431</v>
      </c>
      <c r="E303" s="6">
        <v>2300</v>
      </c>
      <c r="F303" s="18">
        <v>2895.83</v>
      </c>
      <c r="G303" s="18">
        <v>628.69000000000005</v>
      </c>
      <c r="H303" s="18"/>
      <c r="I303" s="18"/>
      <c r="J303" s="18"/>
      <c r="K303" s="18"/>
      <c r="L303" s="13">
        <f t="shared" si="14"/>
        <v>3524.52</v>
      </c>
      <c r="M303" s="8"/>
      <c r="N303" s="165"/>
    </row>
    <row r="304" spans="1:14" s="3" customFormat="1" ht="12.2" customHeight="1" x14ac:dyDescent="0.15">
      <c r="A304" s="1" t="s">
        <v>445</v>
      </c>
      <c r="B304" s="2" t="s">
        <v>358</v>
      </c>
      <c r="C304" s="2" t="s">
        <v>297</v>
      </c>
      <c r="D304" s="2" t="s">
        <v>431</v>
      </c>
      <c r="E304" s="6">
        <v>2400</v>
      </c>
      <c r="F304" s="18"/>
      <c r="G304" s="18"/>
      <c r="H304" s="18">
        <v>698.47</v>
      </c>
      <c r="I304" s="18"/>
      <c r="J304" s="18"/>
      <c r="K304" s="18"/>
      <c r="L304" s="13">
        <f t="shared" si="14"/>
        <v>698.47</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9283.9</v>
      </c>
      <c r="I306" s="18">
        <v>9283.9</v>
      </c>
      <c r="J306" s="18">
        <v>10854.46</v>
      </c>
      <c r="K306" s="18"/>
      <c r="L306" s="13">
        <f t="shared" si="14"/>
        <v>29422.26</v>
      </c>
      <c r="M306" s="8"/>
      <c r="N306" s="165"/>
    </row>
    <row r="307" spans="1:14" s="3" customFormat="1" ht="12.2" customHeight="1" x14ac:dyDescent="0.15">
      <c r="A307" s="1" t="s">
        <v>448</v>
      </c>
      <c r="B307" s="2" t="s">
        <v>358</v>
      </c>
      <c r="C307" s="2" t="s">
        <v>300</v>
      </c>
      <c r="D307" s="2" t="s">
        <v>431</v>
      </c>
      <c r="E307" s="6">
        <v>2700</v>
      </c>
      <c r="F307" s="18">
        <v>246.49</v>
      </c>
      <c r="G307" s="18">
        <v>52.31</v>
      </c>
      <c r="H307" s="18">
        <f>1071.98+46.88</f>
        <v>1118.8600000000001</v>
      </c>
      <c r="I307" s="18"/>
      <c r="J307" s="18">
        <v>6774.65</v>
      </c>
      <c r="K307" s="18"/>
      <c r="L307" s="13">
        <f t="shared" si="14"/>
        <v>8192.31</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41283.64</v>
      </c>
      <c r="G310" s="39">
        <f t="shared" si="15"/>
        <v>29070.81</v>
      </c>
      <c r="H310" s="39">
        <f t="shared" si="15"/>
        <v>67962.41</v>
      </c>
      <c r="I310" s="39">
        <f t="shared" si="15"/>
        <v>25122.68</v>
      </c>
      <c r="J310" s="39">
        <f t="shared" si="15"/>
        <v>23758.61</v>
      </c>
      <c r="K310" s="39">
        <f t="shared" si="15"/>
        <v>662.29</v>
      </c>
      <c r="L310" s="38">
        <f t="shared" si="15"/>
        <v>187860.44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59044.57</v>
      </c>
      <c r="G315" s="18">
        <v>28594.95</v>
      </c>
      <c r="H315" s="18">
        <v>20881.53</v>
      </c>
      <c r="I315" s="18">
        <v>43292.65</v>
      </c>
      <c r="J315" s="18">
        <v>16454.73</v>
      </c>
      <c r="K315" s="18"/>
      <c r="L315" s="13">
        <f>SUM(F315:K315)</f>
        <v>168268.43000000002</v>
      </c>
      <c r="M315" s="8"/>
      <c r="N315" s="165"/>
    </row>
    <row r="316" spans="1:14" s="3" customFormat="1" ht="12.2" customHeight="1" x14ac:dyDescent="0.15">
      <c r="A316" s="1" t="s">
        <v>439</v>
      </c>
      <c r="B316" s="2" t="s">
        <v>359</v>
      </c>
      <c r="C316" s="2" t="s">
        <v>291</v>
      </c>
      <c r="D316" s="2" t="s">
        <v>431</v>
      </c>
      <c r="E316" s="6">
        <v>1200</v>
      </c>
      <c r="F316" s="18"/>
      <c r="G316" s="18"/>
      <c r="H316" s="18"/>
      <c r="I316" s="18">
        <v>438.53</v>
      </c>
      <c r="J316" s="18">
        <v>1657</v>
      </c>
      <c r="K316" s="18"/>
      <c r="L316" s="13">
        <f>SUM(F316:K316)</f>
        <v>2095.5299999999997</v>
      </c>
      <c r="M316" s="8"/>
      <c r="N316" s="165"/>
    </row>
    <row r="317" spans="1:14" s="3" customFormat="1" ht="12.2" customHeight="1" x14ac:dyDescent="0.15">
      <c r="A317" s="1" t="s">
        <v>440</v>
      </c>
      <c r="B317" s="2" t="s">
        <v>359</v>
      </c>
      <c r="C317" s="2" t="s">
        <v>292</v>
      </c>
      <c r="D317" s="2" t="s">
        <v>431</v>
      </c>
      <c r="E317" s="6">
        <v>1300</v>
      </c>
      <c r="F317" s="18">
        <v>39462.639999999999</v>
      </c>
      <c r="G317" s="18">
        <v>12010.66</v>
      </c>
      <c r="H317" s="18">
        <v>18176.7</v>
      </c>
      <c r="I317" s="18">
        <v>26147.55</v>
      </c>
      <c r="J317" s="18">
        <v>69039</v>
      </c>
      <c r="K317" s="18">
        <v>391.03</v>
      </c>
      <c r="L317" s="13">
        <f>SUM(F317:K317)</f>
        <v>165227.57999999999</v>
      </c>
      <c r="M317" s="8"/>
      <c r="N317" s="165"/>
    </row>
    <row r="318" spans="1:14" s="3" customFormat="1" ht="12.2" customHeight="1" x14ac:dyDescent="0.15">
      <c r="A318" s="1" t="s">
        <v>441</v>
      </c>
      <c r="B318" s="2" t="s">
        <v>359</v>
      </c>
      <c r="C318" s="2" t="s">
        <v>293</v>
      </c>
      <c r="D318" s="2" t="s">
        <v>431</v>
      </c>
      <c r="E318" s="6">
        <v>1400</v>
      </c>
      <c r="F318" s="18">
        <v>5166.57</v>
      </c>
      <c r="G318" s="18">
        <v>1081.78</v>
      </c>
      <c r="H318" s="18"/>
      <c r="I318" s="18"/>
      <c r="J318" s="18"/>
      <c r="K318" s="18"/>
      <c r="L318" s="13">
        <f>SUM(F318:K318)</f>
        <v>6248.3499999999995</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88784.34+3864.86</f>
        <v>92649.2</v>
      </c>
      <c r="G320" s="18">
        <f>48224.35+1098.89</f>
        <v>49323.24</v>
      </c>
      <c r="H320" s="18">
        <v>71982.59</v>
      </c>
      <c r="I320" s="18"/>
      <c r="J320" s="18"/>
      <c r="K320" s="18"/>
      <c r="L320" s="13">
        <f t="shared" ref="L320:L326" si="16">SUM(F320:K320)</f>
        <v>213955.03</v>
      </c>
      <c r="M320" s="8"/>
      <c r="N320" s="165"/>
    </row>
    <row r="321" spans="1:14" s="3" customFormat="1" ht="12.2" customHeight="1" x14ac:dyDescent="0.15">
      <c r="A321" s="1" t="s">
        <v>443</v>
      </c>
      <c r="B321" s="2" t="s">
        <v>359</v>
      </c>
      <c r="C321" s="2" t="s">
        <v>295</v>
      </c>
      <c r="D321" s="2" t="s">
        <v>431</v>
      </c>
      <c r="E321" s="6">
        <v>2200</v>
      </c>
      <c r="F321" s="18">
        <v>41097.68</v>
      </c>
      <c r="G321" s="18">
        <v>50485.85</v>
      </c>
      <c r="H321" s="18">
        <f>1728.97+6822.5+85870.12</f>
        <v>94421.59</v>
      </c>
      <c r="I321" s="18">
        <v>1613.08</v>
      </c>
      <c r="J321" s="18">
        <v>1090.02</v>
      </c>
      <c r="K321" s="18">
        <v>1895.71</v>
      </c>
      <c r="L321" s="13">
        <f t="shared" si="16"/>
        <v>190603.92999999996</v>
      </c>
      <c r="M321" s="8"/>
      <c r="N321" s="165"/>
    </row>
    <row r="322" spans="1:14" s="3" customFormat="1" ht="12.2" customHeight="1" x14ac:dyDescent="0.15">
      <c r="A322" s="1" t="s">
        <v>444</v>
      </c>
      <c r="B322" s="2" t="s">
        <v>359</v>
      </c>
      <c r="C322" s="2" t="s">
        <v>296</v>
      </c>
      <c r="D322" s="2" t="s">
        <v>431</v>
      </c>
      <c r="E322" s="6">
        <v>2300</v>
      </c>
      <c r="F322" s="18">
        <v>8288.8700000000008</v>
      </c>
      <c r="G322" s="18">
        <v>1799.52</v>
      </c>
      <c r="H322" s="18">
        <v>5149.46</v>
      </c>
      <c r="I322" s="18">
        <v>2484.5</v>
      </c>
      <c r="J322" s="18"/>
      <c r="K322" s="18"/>
      <c r="L322" s="13">
        <f t="shared" si="16"/>
        <v>17722.350000000002</v>
      </c>
      <c r="M322" s="8"/>
      <c r="N322" s="165"/>
    </row>
    <row r="323" spans="1:14" s="3" customFormat="1" ht="12.2" customHeight="1" x14ac:dyDescent="0.15">
      <c r="A323" s="1" t="s">
        <v>445</v>
      </c>
      <c r="B323" s="2" t="s">
        <v>359</v>
      </c>
      <c r="C323" s="2" t="s">
        <v>297</v>
      </c>
      <c r="D323" s="2" t="s">
        <v>431</v>
      </c>
      <c r="E323" s="6">
        <v>2400</v>
      </c>
      <c r="F323" s="18"/>
      <c r="G323" s="18"/>
      <c r="H323" s="18">
        <v>1999.27</v>
      </c>
      <c r="I323" s="18"/>
      <c r="J323" s="18"/>
      <c r="K323" s="18"/>
      <c r="L323" s="13">
        <f t="shared" si="16"/>
        <v>1999.27</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f>96155+31069.21</f>
        <v>127224.20999999999</v>
      </c>
      <c r="K325" s="18"/>
      <c r="L325" s="13">
        <f t="shared" si="16"/>
        <v>127224.20999999999</v>
      </c>
      <c r="M325" s="8"/>
      <c r="N325" s="165"/>
    </row>
    <row r="326" spans="1:14" s="3" customFormat="1" ht="12.2" customHeight="1" x14ac:dyDescent="0.15">
      <c r="A326" s="1" t="s">
        <v>448</v>
      </c>
      <c r="B326" s="2" t="s">
        <v>359</v>
      </c>
      <c r="C326" s="2" t="s">
        <v>300</v>
      </c>
      <c r="D326" s="2" t="s">
        <v>431</v>
      </c>
      <c r="E326" s="6">
        <v>2700</v>
      </c>
      <c r="F326" s="18">
        <v>705.53</v>
      </c>
      <c r="G326" s="18">
        <v>149.72999999999999</v>
      </c>
      <c r="H326" s="18">
        <f>3068.37+1074+134.2</f>
        <v>4276.57</v>
      </c>
      <c r="I326" s="18"/>
      <c r="J326" s="18">
        <v>19391.39</v>
      </c>
      <c r="K326" s="18"/>
      <c r="L326" s="13">
        <f t="shared" si="16"/>
        <v>24523.22</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246415.05999999997</v>
      </c>
      <c r="G329" s="39">
        <f t="shared" si="17"/>
        <v>143445.73000000001</v>
      </c>
      <c r="H329" s="39">
        <f t="shared" si="17"/>
        <v>216887.70999999996</v>
      </c>
      <c r="I329" s="39">
        <f t="shared" si="17"/>
        <v>73976.31</v>
      </c>
      <c r="J329" s="39">
        <f t="shared" si="17"/>
        <v>234856.34999999998</v>
      </c>
      <c r="K329" s="39">
        <f t="shared" si="17"/>
        <v>2286.7399999999998</v>
      </c>
      <c r="L329" s="38">
        <f t="shared" si="17"/>
        <v>917867.89999999991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632238.41</v>
      </c>
      <c r="K337" s="18"/>
      <c r="L337" s="13">
        <f t="shared" si="18"/>
        <v>632238.41</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632238.41</v>
      </c>
      <c r="K338" s="38">
        <f t="shared" si="19"/>
        <v>0</v>
      </c>
      <c r="L338" s="38">
        <f t="shared" si="18"/>
        <v>632238.41</v>
      </c>
      <c r="M338" s="8"/>
      <c r="N338" s="165"/>
    </row>
    <row r="339" spans="1:43" s="3" customFormat="1" ht="12.2" customHeight="1" thickTop="1" x14ac:dyDescent="0.15">
      <c r="A339" s="35" t="s">
        <v>468</v>
      </c>
      <c r="B339" s="37">
        <v>14</v>
      </c>
      <c r="C339" s="37">
        <v>7</v>
      </c>
      <c r="D339" s="36" t="s">
        <v>431</v>
      </c>
      <c r="E339" s="37"/>
      <c r="F339" s="38">
        <f t="shared" ref="F339:L339" si="20">F291+F310+F329+F338</f>
        <v>1064515.26</v>
      </c>
      <c r="G339" s="38">
        <f t="shared" si="20"/>
        <v>489903.16000000003</v>
      </c>
      <c r="H339" s="38">
        <f t="shared" si="20"/>
        <v>590309.16999999993</v>
      </c>
      <c r="I339" s="38">
        <f t="shared" si="20"/>
        <v>185277.72</v>
      </c>
      <c r="J339" s="38">
        <f t="shared" si="20"/>
        <v>951117.27</v>
      </c>
      <c r="K339" s="38">
        <f t="shared" si="20"/>
        <v>4628.9399999999996</v>
      </c>
      <c r="L339" s="38">
        <f t="shared" si="20"/>
        <v>3285751.52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1064515.26</v>
      </c>
      <c r="G353" s="38">
        <f>G339</f>
        <v>489903.16000000003</v>
      </c>
      <c r="H353" s="38">
        <f>H339</f>
        <v>590309.16999999993</v>
      </c>
      <c r="I353" s="38">
        <f>I339</f>
        <v>185277.72</v>
      </c>
      <c r="J353" s="38">
        <f>J339</f>
        <v>951117.27</v>
      </c>
      <c r="K353" s="38">
        <f>K339+K352</f>
        <v>4628.9399999999996</v>
      </c>
      <c r="L353" s="38">
        <f>L339+L352</f>
        <v>3285751.52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2492.5700000000002</v>
      </c>
      <c r="G359" s="18">
        <v>190.68</v>
      </c>
      <c r="H359" s="18">
        <v>310143.71999999997</v>
      </c>
      <c r="I359" s="18">
        <v>328.26</v>
      </c>
      <c r="J359" s="18"/>
      <c r="K359" s="18"/>
      <c r="L359" s="13">
        <f>SUM(F359:K359)</f>
        <v>313155.23</v>
      </c>
      <c r="M359" s="8"/>
      <c r="N359" s="165"/>
    </row>
    <row r="360" spans="1:22" s="3" customFormat="1" ht="12.2" customHeight="1" x14ac:dyDescent="0.15">
      <c r="A360" s="1" t="s">
        <v>542</v>
      </c>
      <c r="B360" s="2" t="s">
        <v>366</v>
      </c>
      <c r="C360" s="6">
        <v>2</v>
      </c>
      <c r="D360" s="2" t="s">
        <v>431</v>
      </c>
      <c r="E360" s="6"/>
      <c r="F360" s="18">
        <v>982.68</v>
      </c>
      <c r="G360" s="18">
        <v>75.180000000000007</v>
      </c>
      <c r="H360" s="18">
        <v>122271.91</v>
      </c>
      <c r="I360" s="18">
        <v>129.41999999999999</v>
      </c>
      <c r="J360" s="18"/>
      <c r="K360" s="18"/>
      <c r="L360" s="13">
        <f>SUM(F360:K360)</f>
        <v>123459.19</v>
      </c>
      <c r="M360" s="8"/>
      <c r="N360" s="165"/>
    </row>
    <row r="361" spans="1:22" s="3" customFormat="1" ht="12.2" customHeight="1" x14ac:dyDescent="0.15">
      <c r="A361" s="3" t="s">
        <v>543</v>
      </c>
      <c r="B361" s="2" t="s">
        <v>366</v>
      </c>
      <c r="C361" s="6">
        <v>3</v>
      </c>
      <c r="D361" s="2" t="s">
        <v>431</v>
      </c>
      <c r="E361" s="6"/>
      <c r="F361" s="18">
        <v>2812.75</v>
      </c>
      <c r="G361" s="18">
        <v>215.18</v>
      </c>
      <c r="H361" s="18">
        <v>349984.55</v>
      </c>
      <c r="I361" s="18">
        <v>370.43</v>
      </c>
      <c r="J361" s="18"/>
      <c r="K361" s="18"/>
      <c r="L361" s="13">
        <f>SUM(F361:K361)</f>
        <v>353382.91</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6288</v>
      </c>
      <c r="G363" s="38">
        <f t="shared" si="22"/>
        <v>481.04</v>
      </c>
      <c r="H363" s="38">
        <f t="shared" si="22"/>
        <v>782400.17999999993</v>
      </c>
      <c r="I363" s="38">
        <f t="shared" si="22"/>
        <v>828.1099999999999</v>
      </c>
      <c r="J363" s="38">
        <f t="shared" si="22"/>
        <v>0</v>
      </c>
      <c r="K363" s="38">
        <f t="shared" si="22"/>
        <v>0</v>
      </c>
      <c r="L363" s="38">
        <f t="shared" si="22"/>
        <v>789997.33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328.26</v>
      </c>
      <c r="G369" s="53">
        <v>129.41999999999999</v>
      </c>
      <c r="H369" s="53">
        <v>370.43</v>
      </c>
      <c r="I369" s="13">
        <f>SUM(F369:H369)</f>
        <v>828.1099999999999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328.26</v>
      </c>
      <c r="G370" s="38">
        <f>SUM(G368:G369)</f>
        <v>129.41999999999999</v>
      </c>
      <c r="H370" s="38">
        <f>SUM(H368:H369)</f>
        <v>370.43</v>
      </c>
      <c r="I370" s="38">
        <f>SUM(I368:I369)</f>
        <v>828.1099999999999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v>250000</v>
      </c>
      <c r="H391" s="18">
        <v>8633.6</v>
      </c>
      <c r="I391" s="18"/>
      <c r="J391" s="23" t="s">
        <v>288</v>
      </c>
      <c r="K391" s="23" t="s">
        <v>288</v>
      </c>
      <c r="L391" s="13">
        <f t="shared" si="25"/>
        <v>258633.60000000001</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250000</v>
      </c>
      <c r="H394" s="97">
        <f>SUM(H388:H393)</f>
        <v>8633.6</v>
      </c>
      <c r="I394" s="54">
        <f>SUM(I388:I393)</f>
        <v>0</v>
      </c>
      <c r="J394" s="42" t="s">
        <v>288</v>
      </c>
      <c r="K394" s="42" t="s">
        <v>288</v>
      </c>
      <c r="L394" s="38">
        <f>SUM(L388:L393)</f>
        <v>258633.60000000001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81429</v>
      </c>
      <c r="H397" s="18">
        <v>31048.959999999999</v>
      </c>
      <c r="I397" s="18"/>
      <c r="J397" s="23" t="s">
        <v>288</v>
      </c>
      <c r="K397" s="23" t="s">
        <v>288</v>
      </c>
      <c r="L397" s="13">
        <f t="shared" si="26"/>
        <v>112477.95999999999</v>
      </c>
      <c r="M397" s="8"/>
      <c r="N397" s="165"/>
    </row>
    <row r="398" spans="1:14" s="3" customFormat="1" ht="12.2" customHeight="1" x14ac:dyDescent="0.15">
      <c r="A398" s="62" t="s">
        <v>515</v>
      </c>
      <c r="B398" s="2" t="s">
        <v>381</v>
      </c>
      <c r="C398" s="6">
        <v>10</v>
      </c>
      <c r="D398" s="2" t="s">
        <v>432</v>
      </c>
      <c r="E398" s="6"/>
      <c r="F398" s="18"/>
      <c r="G398" s="18"/>
      <c r="H398" s="18">
        <v>8775.15</v>
      </c>
      <c r="I398" s="18"/>
      <c r="J398" s="23" t="s">
        <v>288</v>
      </c>
      <c r="K398" s="23" t="s">
        <v>288</v>
      </c>
      <c r="L398" s="13">
        <f t="shared" si="26"/>
        <v>8775.15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708.98</v>
      </c>
      <c r="I401" s="18"/>
      <c r="J401" s="23" t="s">
        <v>288</v>
      </c>
      <c r="K401" s="23" t="s">
        <v>288</v>
      </c>
      <c r="L401" s="13">
        <f t="shared" si="26"/>
        <v>708.98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81429</v>
      </c>
      <c r="H402" s="38">
        <f>SUM(H396:H401)</f>
        <v>40533.090000000004</v>
      </c>
      <c r="I402" s="38">
        <f>SUM(I396:I401)</f>
        <v>0</v>
      </c>
      <c r="J402" s="42" t="s">
        <v>288</v>
      </c>
      <c r="K402" s="42" t="s">
        <v>288</v>
      </c>
      <c r="L402" s="38">
        <f>SUM(L396:L401)</f>
        <v>121962.08999999998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331429</v>
      </c>
      <c r="H409" s="38">
        <f>H394+H402+H408</f>
        <v>49166.69</v>
      </c>
      <c r="I409" s="38">
        <f>I394+I402+I408</f>
        <v>0</v>
      </c>
      <c r="J409" s="23" t="s">
        <v>288</v>
      </c>
      <c r="K409" s="23" t="s">
        <v>288</v>
      </c>
      <c r="L409" s="38">
        <f>L394+L402+L408</f>
        <v>380595.69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11050.75</v>
      </c>
      <c r="L423" s="13">
        <f t="shared" si="29"/>
        <v>11050.75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11050.75</v>
      </c>
      <c r="L428" s="38">
        <f t="shared" si="30"/>
        <v>11050.75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11050.75</v>
      </c>
      <c r="L435" s="38">
        <f t="shared" si="32"/>
        <v>11050.75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487818.33</v>
      </c>
      <c r="G440" s="18">
        <v>1918930.04</v>
      </c>
      <c r="H440" s="18">
        <v>34561.589999999997</v>
      </c>
      <c r="I440" s="13">
        <f t="shared" ref="I440:I446" si="33">SUM(F440:H440)</f>
        <v>2441309.96</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487818.33</v>
      </c>
      <c r="G447" s="13">
        <f>SUM(G440:G446)</f>
        <v>1918930.04</v>
      </c>
      <c r="H447" s="13">
        <f>SUM(H440:H446)</f>
        <v>34561.589999999997</v>
      </c>
      <c r="I447" s="13">
        <f>SUM(I440:I446)</f>
        <v>2441309.96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487818.33</v>
      </c>
      <c r="G460" s="18">
        <v>1918930.04</v>
      </c>
      <c r="H460" s="18">
        <v>34561.589999999997</v>
      </c>
      <c r="I460" s="13">
        <f t="shared" si="34"/>
        <v>2441309.96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487818.33</v>
      </c>
      <c r="G461" s="65">
        <f>SUM(G455:G460)</f>
        <v>1918930.04</v>
      </c>
      <c r="H461" s="65">
        <f>SUM(H455:H460)</f>
        <v>34561.589999999997</v>
      </c>
      <c r="I461" s="65">
        <f>SUM(I455:I460)</f>
        <v>2441309.96</v>
      </c>
      <c r="J461" s="23" t="s">
        <v>288</v>
      </c>
      <c r="K461" s="23" t="s">
        <v>288</v>
      </c>
      <c r="L461" s="23" t="s">
        <v>288</v>
      </c>
      <c r="N461" s="131"/>
    </row>
    <row r="462" spans="1:86" ht="12.2" customHeight="1" thickTop="1" x14ac:dyDescent="0.2">
      <c r="A462" s="40" t="s">
        <v>424</v>
      </c>
      <c r="B462" s="41">
        <v>18</v>
      </c>
      <c r="C462" s="64">
        <v>21</v>
      </c>
      <c r="D462" s="114" t="s">
        <v>432</v>
      </c>
      <c r="E462" s="64"/>
      <c r="F462" s="39">
        <f>F453+F461</f>
        <v>487818.33</v>
      </c>
      <c r="G462" s="39">
        <f>G453+G461</f>
        <v>1918930.04</v>
      </c>
      <c r="H462" s="39">
        <f>H453+H461</f>
        <v>34561.589999999997</v>
      </c>
      <c r="I462" s="39">
        <f>I453+I461</f>
        <v>2441309.96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3975057.12</v>
      </c>
      <c r="G466" s="18">
        <v>97585.31</v>
      </c>
      <c r="H466" s="18">
        <v>521804.41</v>
      </c>
      <c r="I466" s="18"/>
      <c r="J466" s="18">
        <v>2071765.02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35208302.990000002</v>
      </c>
      <c r="G469" s="18">
        <v>744365.24</v>
      </c>
      <c r="H469" s="18">
        <v>3266386.86</v>
      </c>
      <c r="I469" s="18"/>
      <c r="J469" s="18">
        <v>380595.69</v>
      </c>
      <c r="K469" s="23" t="s">
        <v>288</v>
      </c>
      <c r="L469" s="23" t="s">
        <v>288</v>
      </c>
      <c r="N469" s="131"/>
    </row>
    <row r="470" spans="1:14" ht="12.2" customHeight="1" x14ac:dyDescent="0.2">
      <c r="A470" s="71" t="s">
        <v>611</v>
      </c>
      <c r="B470" s="22">
        <v>19</v>
      </c>
      <c r="C470" s="31">
        <v>3</v>
      </c>
      <c r="D470" s="2" t="s">
        <v>432</v>
      </c>
      <c r="E470" s="31"/>
      <c r="F470" s="18"/>
      <c r="G470" s="18">
        <v>4.75</v>
      </c>
      <c r="H470" s="18"/>
      <c r="I470" s="18"/>
      <c r="J470" s="18"/>
      <c r="K470" s="23" t="s">
        <v>288</v>
      </c>
      <c r="L470" s="23" t="s">
        <v>288</v>
      </c>
      <c r="N470" s="131"/>
    </row>
    <row r="471" spans="1:14" ht="12.2" customHeight="1" x14ac:dyDescent="0.2">
      <c r="A471" s="32" t="s">
        <v>425</v>
      </c>
      <c r="B471" s="22">
        <v>19</v>
      </c>
      <c r="C471" s="31">
        <v>4</v>
      </c>
      <c r="D471" s="2" t="s">
        <v>432</v>
      </c>
      <c r="E471" s="31"/>
      <c r="F471" s="19">
        <f>SUM(F469:F470)</f>
        <v>35208302.990000002</v>
      </c>
      <c r="G471" s="19">
        <f>SUM(G469:G470)</f>
        <v>744369.99</v>
      </c>
      <c r="H471" s="19">
        <f>SUM(H469:H470)</f>
        <v>3266386.86</v>
      </c>
      <c r="I471" s="19">
        <f>SUM(I469:I470)</f>
        <v>0</v>
      </c>
      <c r="J471" s="19">
        <f>SUM(J469:J470)</f>
        <v>380595.69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35702193.640000001</v>
      </c>
      <c r="G473" s="18">
        <v>789997.33</v>
      </c>
      <c r="H473" s="18">
        <v>3285751.52</v>
      </c>
      <c r="I473" s="18"/>
      <c r="J473" s="18">
        <v>11050.75</v>
      </c>
      <c r="K473" s="23" t="s">
        <v>288</v>
      </c>
      <c r="L473" s="23" t="s">
        <v>288</v>
      </c>
      <c r="N473" s="131"/>
    </row>
    <row r="474" spans="1:14" ht="12.2" customHeight="1" x14ac:dyDescent="0.2">
      <c r="A474" s="71" t="s">
        <v>613</v>
      </c>
      <c r="B474" s="22">
        <v>19</v>
      </c>
      <c r="C474" s="31">
        <v>6</v>
      </c>
      <c r="D474" s="2" t="s">
        <v>432</v>
      </c>
      <c r="E474" s="31"/>
      <c r="F474" s="18">
        <v>1325.37</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35703519.009999998</v>
      </c>
      <c r="G475" s="19">
        <f>SUM(G473:G474)</f>
        <v>789997.33</v>
      </c>
      <c r="H475" s="19">
        <f>SUM(H473:H474)</f>
        <v>3285751.52</v>
      </c>
      <c r="I475" s="19">
        <f>SUM(I473:I474)</f>
        <v>0</v>
      </c>
      <c r="J475" s="19">
        <f>SUM(J473:J474)</f>
        <v>11050.75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3479841.1000000015</v>
      </c>
      <c r="G477" s="19">
        <f>(G466+G471)- G475</f>
        <v>51957.970000000088</v>
      </c>
      <c r="H477" s="19">
        <f>(H466+H471)- H475</f>
        <v>502439.75</v>
      </c>
      <c r="I477" s="19">
        <f>(I466+I471)- I475</f>
        <v>0</v>
      </c>
      <c r="J477" s="19">
        <f>(J466+J471)- J475</f>
        <v>2441309.96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20</v>
      </c>
      <c r="H491" s="111">
        <v>20</v>
      </c>
      <c r="I491" s="111">
        <v>20</v>
      </c>
      <c r="J491" s="111"/>
      <c r="K491" s="23" t="s">
        <v>288</v>
      </c>
      <c r="L491" s="23" t="s">
        <v>288</v>
      </c>
      <c r="N491" s="131"/>
    </row>
    <row r="492" spans="1:14" ht="12.2" customHeight="1" x14ac:dyDescent="0.2">
      <c r="A492" s="21" t="s">
        <v>615</v>
      </c>
      <c r="B492" s="22">
        <v>20</v>
      </c>
      <c r="C492" s="22">
        <v>2</v>
      </c>
      <c r="D492" s="2" t="s">
        <v>432</v>
      </c>
      <c r="E492" s="22"/>
      <c r="F492" s="112" t="s">
        <v>1813</v>
      </c>
      <c r="G492" s="112" t="s">
        <v>1814</v>
      </c>
      <c r="H492" s="112" t="s">
        <v>1815</v>
      </c>
      <c r="I492" s="112" t="s">
        <v>1816</v>
      </c>
      <c r="J492" s="111"/>
      <c r="K492" s="23" t="s">
        <v>288</v>
      </c>
      <c r="L492" s="23" t="s">
        <v>288</v>
      </c>
      <c r="N492" s="131"/>
    </row>
    <row r="493" spans="1:14" ht="12.2" customHeight="1" x14ac:dyDescent="0.2">
      <c r="A493" s="21" t="s">
        <v>616</v>
      </c>
      <c r="B493" s="22">
        <v>20</v>
      </c>
      <c r="C493" s="22">
        <v>3</v>
      </c>
      <c r="D493" s="2" t="s">
        <v>432</v>
      </c>
      <c r="E493" s="22"/>
      <c r="F493" s="112" t="s">
        <v>1817</v>
      </c>
      <c r="G493" s="112" t="s">
        <v>1818</v>
      </c>
      <c r="H493" s="112" t="s">
        <v>1819</v>
      </c>
      <c r="I493" s="112" t="s">
        <v>1820</v>
      </c>
      <c r="J493" s="111"/>
      <c r="K493" s="23" t="s">
        <v>288</v>
      </c>
      <c r="L493" s="23" t="s">
        <v>288</v>
      </c>
      <c r="N493" s="131"/>
    </row>
    <row r="494" spans="1:14" ht="12.2" customHeight="1" x14ac:dyDescent="0.2">
      <c r="A494" s="21" t="s">
        <v>617</v>
      </c>
      <c r="B494" s="22">
        <v>20</v>
      </c>
      <c r="C494" s="22">
        <v>4</v>
      </c>
      <c r="D494" s="2" t="s">
        <v>432</v>
      </c>
      <c r="E494" s="22"/>
      <c r="F494" s="18">
        <v>42120000</v>
      </c>
      <c r="G494" s="18">
        <v>1837700</v>
      </c>
      <c r="H494" s="18">
        <v>1871000</v>
      </c>
      <c r="I494" s="18">
        <v>1122900</v>
      </c>
      <c r="J494" s="18"/>
      <c r="K494" s="23" t="s">
        <v>288</v>
      </c>
      <c r="L494" s="23" t="s">
        <v>288</v>
      </c>
      <c r="N494" s="131"/>
    </row>
    <row r="495" spans="1:14" ht="12.2" customHeight="1" x14ac:dyDescent="0.2">
      <c r="A495" s="21" t="s">
        <v>618</v>
      </c>
      <c r="B495" s="22">
        <v>20</v>
      </c>
      <c r="C495" s="22">
        <v>5</v>
      </c>
      <c r="D495" s="2" t="s">
        <v>432</v>
      </c>
      <c r="E495" s="22"/>
      <c r="F495" s="18">
        <v>4</v>
      </c>
      <c r="G495" s="18">
        <v>2.5</v>
      </c>
      <c r="H495" s="18">
        <v>2.66</v>
      </c>
      <c r="I495" s="18">
        <v>3.24</v>
      </c>
      <c r="J495" s="18"/>
      <c r="K495" s="23" t="s">
        <v>288</v>
      </c>
      <c r="L495" s="23" t="s">
        <v>288</v>
      </c>
      <c r="N495" s="131"/>
    </row>
    <row r="496" spans="1:14" ht="12.2" customHeight="1" x14ac:dyDescent="0.2">
      <c r="A496" s="21" t="s">
        <v>619</v>
      </c>
      <c r="B496" s="22">
        <v>20</v>
      </c>
      <c r="C496" s="22">
        <v>6</v>
      </c>
      <c r="D496" s="2" t="s">
        <v>432</v>
      </c>
      <c r="E496" s="22"/>
      <c r="F496" s="18">
        <v>3680000</v>
      </c>
      <c r="G496" s="18">
        <v>1370000</v>
      </c>
      <c r="H496" s="18">
        <v>1495000</v>
      </c>
      <c r="I496" s="18">
        <v>945000</v>
      </c>
      <c r="J496" s="18"/>
      <c r="K496" s="19">
        <f>SUM(F496:J496)</f>
        <v>7490000</v>
      </c>
      <c r="L496" s="23" t="s">
        <v>288</v>
      </c>
      <c r="N496" s="131"/>
    </row>
    <row r="497" spans="1:14" ht="12.2" customHeight="1" x14ac:dyDescent="0.2">
      <c r="A497" s="21" t="s">
        <v>620</v>
      </c>
      <c r="B497" s="22">
        <v>20</v>
      </c>
      <c r="C497" s="22">
        <v>7</v>
      </c>
      <c r="D497" s="2" t="s">
        <v>432</v>
      </c>
      <c r="E497" s="22"/>
      <c r="F497" s="18">
        <v>0</v>
      </c>
      <c r="G497" s="18">
        <v>0</v>
      </c>
      <c r="H497" s="18">
        <v>0</v>
      </c>
      <c r="I497" s="18">
        <v>0</v>
      </c>
      <c r="J497" s="18"/>
      <c r="K497" s="19">
        <f t="shared" ref="K497:K504" si="35">SUM(F497:J497)</f>
        <v>0</v>
      </c>
      <c r="L497" s="23" t="s">
        <v>288</v>
      </c>
      <c r="N497" s="131"/>
    </row>
    <row r="498" spans="1:14" ht="12.2" customHeight="1" x14ac:dyDescent="0.2">
      <c r="A498" s="21" t="s">
        <v>621</v>
      </c>
      <c r="B498" s="22">
        <v>20</v>
      </c>
      <c r="C498" s="22">
        <v>8</v>
      </c>
      <c r="D498" s="2" t="s">
        <v>432</v>
      </c>
      <c r="E498" s="22"/>
      <c r="F498" s="18">
        <v>1840000</v>
      </c>
      <c r="G498" s="18">
        <v>95000</v>
      </c>
      <c r="H498" s="18">
        <v>95000</v>
      </c>
      <c r="I498" s="18">
        <v>60000</v>
      </c>
      <c r="J498" s="18"/>
      <c r="K498" s="19">
        <f t="shared" si="35"/>
        <v>2090000</v>
      </c>
      <c r="L498" s="23" t="s">
        <v>288</v>
      </c>
      <c r="N498" s="131"/>
    </row>
    <row r="499" spans="1:14" ht="12.2" customHeight="1" x14ac:dyDescent="0.2">
      <c r="A499" s="144" t="s">
        <v>622</v>
      </c>
      <c r="B499" s="145">
        <v>20</v>
      </c>
      <c r="C499" s="145">
        <v>9</v>
      </c>
      <c r="D499" s="146" t="s">
        <v>432</v>
      </c>
      <c r="E499" s="145"/>
      <c r="F499" s="147">
        <v>1840000</v>
      </c>
      <c r="G499" s="147">
        <v>1275000</v>
      </c>
      <c r="H499" s="147">
        <v>1400000</v>
      </c>
      <c r="I499" s="147">
        <v>885000</v>
      </c>
      <c r="J499" s="147"/>
      <c r="K499" s="148">
        <f t="shared" si="35"/>
        <v>5400000</v>
      </c>
      <c r="L499" s="149" t="s">
        <v>288</v>
      </c>
      <c r="N499" s="131"/>
    </row>
    <row r="500" spans="1:14" ht="12.2" customHeight="1" thickBot="1" x14ac:dyDescent="0.25">
      <c r="A500" s="21" t="s">
        <v>623</v>
      </c>
      <c r="B500" s="22">
        <v>20</v>
      </c>
      <c r="C500" s="22">
        <v>10</v>
      </c>
      <c r="D500" s="2" t="s">
        <v>432</v>
      </c>
      <c r="E500" s="22"/>
      <c r="F500" s="18">
        <v>43700</v>
      </c>
      <c r="G500" s="18">
        <v>325976.75</v>
      </c>
      <c r="H500" s="18">
        <v>447247.5</v>
      </c>
      <c r="I500" s="18">
        <v>306798.28000000003</v>
      </c>
      <c r="J500" s="18"/>
      <c r="K500" s="19">
        <f t="shared" si="35"/>
        <v>1123722.53</v>
      </c>
      <c r="L500" s="23" t="s">
        <v>288</v>
      </c>
      <c r="N500" s="131"/>
    </row>
    <row r="501" spans="1:14" ht="12.2" customHeight="1" thickTop="1" x14ac:dyDescent="0.2">
      <c r="A501" s="97" t="s">
        <v>624</v>
      </c>
      <c r="B501" s="41">
        <v>20</v>
      </c>
      <c r="C501" s="41">
        <v>11</v>
      </c>
      <c r="D501" s="36" t="s">
        <v>432</v>
      </c>
      <c r="E501" s="41"/>
      <c r="F501" s="39">
        <f>SUM(F499:F500)</f>
        <v>1883700</v>
      </c>
      <c r="G501" s="39">
        <f>SUM(G499:G500)</f>
        <v>1600976.75</v>
      </c>
      <c r="H501" s="39">
        <f>SUM(H499:H500)</f>
        <v>1847247.5</v>
      </c>
      <c r="I501" s="39">
        <f>SUM(I499:I500)</f>
        <v>1191798.28</v>
      </c>
      <c r="J501" s="39">
        <f>SUM(J499:J500)</f>
        <v>0</v>
      </c>
      <c r="K501" s="39">
        <f t="shared" si="35"/>
        <v>6523722.5300000003</v>
      </c>
      <c r="L501" s="42" t="s">
        <v>288</v>
      </c>
      <c r="N501" s="131"/>
    </row>
    <row r="502" spans="1:14" ht="12.2" customHeight="1" x14ac:dyDescent="0.2">
      <c r="A502" s="144" t="s">
        <v>651</v>
      </c>
      <c r="B502" s="145">
        <v>20</v>
      </c>
      <c r="C502" s="145">
        <v>12</v>
      </c>
      <c r="D502" s="146" t="s">
        <v>432</v>
      </c>
      <c r="E502" s="145"/>
      <c r="F502" s="147">
        <v>1840000</v>
      </c>
      <c r="G502" s="147">
        <v>95000</v>
      </c>
      <c r="H502" s="147">
        <v>95000</v>
      </c>
      <c r="I502" s="147">
        <v>60000</v>
      </c>
      <c r="J502" s="147"/>
      <c r="K502" s="148">
        <f t="shared" si="35"/>
        <v>2090000</v>
      </c>
      <c r="L502" s="149" t="s">
        <v>288</v>
      </c>
      <c r="N502" s="131"/>
    </row>
    <row r="503" spans="1:14" ht="12.2" customHeight="1" thickBot="1" x14ac:dyDescent="0.25">
      <c r="A503" s="21" t="s">
        <v>625</v>
      </c>
      <c r="B503" s="22">
        <v>20</v>
      </c>
      <c r="C503" s="22">
        <v>13</v>
      </c>
      <c r="D503" s="2" t="s">
        <v>432</v>
      </c>
      <c r="E503" s="22"/>
      <c r="F503" s="18">
        <v>43700</v>
      </c>
      <c r="G503" s="18">
        <v>41408</v>
      </c>
      <c r="H503" s="18">
        <v>56177.5</v>
      </c>
      <c r="I503" s="18">
        <v>35423.760000000002</v>
      </c>
      <c r="J503" s="18"/>
      <c r="K503" s="19">
        <f t="shared" si="35"/>
        <v>176709.26</v>
      </c>
      <c r="L503" s="23" t="s">
        <v>288</v>
      </c>
      <c r="N503" s="131"/>
    </row>
    <row r="504" spans="1:14" ht="12.2" customHeight="1" thickTop="1" x14ac:dyDescent="0.2">
      <c r="A504" s="97" t="s">
        <v>626</v>
      </c>
      <c r="B504" s="41">
        <v>20</v>
      </c>
      <c r="C504" s="41">
        <v>14</v>
      </c>
      <c r="D504" s="36" t="s">
        <v>432</v>
      </c>
      <c r="E504" s="41"/>
      <c r="F504" s="39">
        <f>SUM(F502:F503)</f>
        <v>1883700</v>
      </c>
      <c r="G504" s="39">
        <f>SUM(G502:G503)</f>
        <v>136408</v>
      </c>
      <c r="H504" s="39">
        <f>SUM(H502:H503)</f>
        <v>151177.5</v>
      </c>
      <c r="I504" s="39">
        <f>SUM(I502:I503)</f>
        <v>95423.760000000009</v>
      </c>
      <c r="J504" s="39">
        <f>SUM(J502:J503)</f>
        <v>0</v>
      </c>
      <c r="K504" s="39">
        <f t="shared" si="35"/>
        <v>2266709.2599999998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59659+1331262.05</f>
        <v>1390921.05</v>
      </c>
      <c r="G522" s="18">
        <f>24147.83+808436.85</f>
        <v>832584.67999999993</v>
      </c>
      <c r="H522" s="18">
        <f>66849.45+380659.21</f>
        <v>447508.66000000003</v>
      </c>
      <c r="I522" s="18">
        <f>10912.79+2241.51</f>
        <v>13154.300000000001</v>
      </c>
      <c r="J522" s="18"/>
      <c r="K522" s="18"/>
      <c r="L522" s="69">
        <f>SUM(F522:K522)</f>
        <v>2684168.69</v>
      </c>
      <c r="N522" s="131"/>
    </row>
    <row r="523" spans="1:14" ht="12.2" customHeight="1" x14ac:dyDescent="0.2">
      <c r="A523" s="21" t="s">
        <v>634</v>
      </c>
      <c r="B523" s="22">
        <v>21</v>
      </c>
      <c r="C523" s="22">
        <v>2</v>
      </c>
      <c r="D523" s="2" t="s">
        <v>432</v>
      </c>
      <c r="E523" s="22"/>
      <c r="F523" s="18">
        <v>442817.36</v>
      </c>
      <c r="G523" s="18">
        <v>283485.15999999997</v>
      </c>
      <c r="H523" s="18">
        <v>35990.94</v>
      </c>
      <c r="I523" s="18">
        <f>150.35+6916.67</f>
        <v>7067.02</v>
      </c>
      <c r="J523" s="18"/>
      <c r="K523" s="18"/>
      <c r="L523" s="69">
        <f>SUM(F523:K523)</f>
        <v>769360.48</v>
      </c>
      <c r="N523" s="131"/>
    </row>
    <row r="524" spans="1:14" ht="12.2" customHeight="1" thickBot="1" x14ac:dyDescent="0.25">
      <c r="A524" s="21" t="s">
        <v>635</v>
      </c>
      <c r="B524" s="22">
        <v>21</v>
      </c>
      <c r="C524" s="22">
        <v>3</v>
      </c>
      <c r="D524" s="2" t="s">
        <v>432</v>
      </c>
      <c r="E524" s="22"/>
      <c r="F524" s="18">
        <v>637447.65</v>
      </c>
      <c r="G524" s="18">
        <v>386772.06</v>
      </c>
      <c r="H524" s="18">
        <v>167186.51</v>
      </c>
      <c r="I524" s="18">
        <f>438.53+4628.42</f>
        <v>5066.95</v>
      </c>
      <c r="J524" s="18">
        <f>1657+3014.63</f>
        <v>4671.63</v>
      </c>
      <c r="K524" s="18"/>
      <c r="L524" s="69">
        <f>SUM(F524:K524)</f>
        <v>1201144.7999999998</v>
      </c>
      <c r="N524" s="131"/>
    </row>
    <row r="525" spans="1:14" ht="12.2" customHeight="1" thickTop="1" x14ac:dyDescent="0.2">
      <c r="A525" s="97" t="s">
        <v>63</v>
      </c>
      <c r="B525" s="41">
        <v>21</v>
      </c>
      <c r="C525" s="41">
        <v>4</v>
      </c>
      <c r="D525" s="115" t="s">
        <v>432</v>
      </c>
      <c r="E525" s="41"/>
      <c r="F525" s="81">
        <f>SUM(F522:F524)</f>
        <v>2471186.06</v>
      </c>
      <c r="G525" s="81">
        <f t="shared" ref="G525:L525" si="36">SUM(G522:G524)</f>
        <v>1502841.9</v>
      </c>
      <c r="H525" s="81">
        <f t="shared" si="36"/>
        <v>650686.1100000001</v>
      </c>
      <c r="I525" s="81">
        <f t="shared" si="36"/>
        <v>25288.27</v>
      </c>
      <c r="J525" s="81">
        <f t="shared" si="36"/>
        <v>4671.63</v>
      </c>
      <c r="K525" s="81">
        <f t="shared" si="36"/>
        <v>0</v>
      </c>
      <c r="L525" s="70">
        <f t="shared" si="36"/>
        <v>4654673.97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48101+10800+44646.6</f>
        <v>103547.6</v>
      </c>
      <c r="G527" s="18">
        <f>21427.37+3096.31+34829.89</f>
        <v>59353.57</v>
      </c>
      <c r="H527" s="18">
        <f>72931.45+38687.04+2491.38+306988.02</f>
        <v>421097.89</v>
      </c>
      <c r="I527" s="18">
        <f>735.08</f>
        <v>735.08</v>
      </c>
      <c r="J527" s="18"/>
      <c r="K527" s="18"/>
      <c r="L527" s="69">
        <f>SUM(F527:K527)</f>
        <v>584734.14</v>
      </c>
      <c r="M527" s="8"/>
      <c r="N527" s="165"/>
    </row>
    <row r="528" spans="1:14" s="3" customFormat="1" ht="12.2" customHeight="1" x14ac:dyDescent="0.15">
      <c r="A528" s="21" t="s">
        <v>634</v>
      </c>
      <c r="B528" s="22">
        <v>21</v>
      </c>
      <c r="C528" s="22">
        <v>6</v>
      </c>
      <c r="D528" s="2" t="s">
        <v>432</v>
      </c>
      <c r="E528" s="22"/>
      <c r="F528" s="18">
        <v>27115.01</v>
      </c>
      <c r="G528" s="18">
        <v>12396.64</v>
      </c>
      <c r="H528" s="18">
        <f>168.73+149</f>
        <v>317.73</v>
      </c>
      <c r="I528" s="18">
        <f>15480.96+4085.06</f>
        <v>19566.02</v>
      </c>
      <c r="J528" s="18"/>
      <c r="K528" s="18"/>
      <c r="L528" s="69">
        <f>SUM(F528:K528)</f>
        <v>59395.399999999994</v>
      </c>
      <c r="M528" s="8"/>
      <c r="N528" s="165"/>
    </row>
    <row r="529" spans="1:14" s="3" customFormat="1" ht="12.2" customHeight="1" thickBot="1" x14ac:dyDescent="0.2">
      <c r="A529" s="21" t="s">
        <v>635</v>
      </c>
      <c r="B529" s="22">
        <v>21</v>
      </c>
      <c r="C529" s="22">
        <v>7</v>
      </c>
      <c r="D529" s="2" t="s">
        <v>432</v>
      </c>
      <c r="E529" s="22"/>
      <c r="F529" s="18">
        <v>39316.11</v>
      </c>
      <c r="G529" s="18">
        <v>15830.29</v>
      </c>
      <c r="H529" s="18">
        <v>5955.68</v>
      </c>
      <c r="I529" s="18">
        <f>71982.59+1728.97+461.07</f>
        <v>74172.63</v>
      </c>
      <c r="J529" s="18"/>
      <c r="K529" s="18"/>
      <c r="L529" s="69">
        <f>SUM(F529:K529)</f>
        <v>135274.71000000002</v>
      </c>
      <c r="M529" s="8"/>
      <c r="N529" s="165"/>
    </row>
    <row r="530" spans="1:14" s="3" customFormat="1" ht="12.2" customHeight="1" thickTop="1" x14ac:dyDescent="0.15">
      <c r="A530" s="97" t="s">
        <v>65</v>
      </c>
      <c r="B530" s="41">
        <v>21</v>
      </c>
      <c r="C530" s="41">
        <v>8</v>
      </c>
      <c r="D530" s="115" t="s">
        <v>432</v>
      </c>
      <c r="E530" s="41"/>
      <c r="F530" s="70">
        <f>SUM(F527:F529)</f>
        <v>169978.72</v>
      </c>
      <c r="G530" s="70">
        <f t="shared" ref="G530:L530" si="37">SUM(G527:G529)</f>
        <v>87580.5</v>
      </c>
      <c r="H530" s="70">
        <f t="shared" si="37"/>
        <v>427371.3</v>
      </c>
      <c r="I530" s="70">
        <f t="shared" si="37"/>
        <v>94473.73000000001</v>
      </c>
      <c r="J530" s="70">
        <f t="shared" si="37"/>
        <v>0</v>
      </c>
      <c r="K530" s="70">
        <f t="shared" si="37"/>
        <v>0</v>
      </c>
      <c r="L530" s="70">
        <f t="shared" si="37"/>
        <v>779404.25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77076.070000000007</v>
      </c>
      <c r="I532" s="18"/>
      <c r="J532" s="18"/>
      <c r="K532" s="18"/>
      <c r="L532" s="69">
        <f>SUM(F532:K532)</f>
        <v>77076.070000000007</v>
      </c>
      <c r="M532" s="8"/>
      <c r="N532" s="165"/>
    </row>
    <row r="533" spans="1:14" s="3" customFormat="1" ht="12.2" customHeight="1" x14ac:dyDescent="0.15">
      <c r="A533" s="21" t="s">
        <v>634</v>
      </c>
      <c r="B533" s="22">
        <v>21</v>
      </c>
      <c r="C533" s="22">
        <v>10</v>
      </c>
      <c r="D533" s="2" t="s">
        <v>432</v>
      </c>
      <c r="E533" s="22"/>
      <c r="F533" s="18"/>
      <c r="G533" s="18"/>
      <c r="H533" s="18">
        <v>30386.68</v>
      </c>
      <c r="I533" s="18"/>
      <c r="J533" s="18"/>
      <c r="K533" s="18"/>
      <c r="L533" s="69">
        <f>SUM(F533:K533)</f>
        <v>30386.68</v>
      </c>
      <c r="M533" s="8"/>
      <c r="N533" s="165"/>
    </row>
    <row r="534" spans="1:14" s="3" customFormat="1" ht="12.2" customHeight="1" thickBot="1" x14ac:dyDescent="0.2">
      <c r="A534" s="21" t="s">
        <v>635</v>
      </c>
      <c r="B534" s="22">
        <v>21</v>
      </c>
      <c r="C534" s="22">
        <v>11</v>
      </c>
      <c r="D534" s="2" t="s">
        <v>432</v>
      </c>
      <c r="E534" s="22"/>
      <c r="F534" s="18"/>
      <c r="G534" s="18"/>
      <c r="H534" s="18">
        <v>86977.21</v>
      </c>
      <c r="I534" s="18"/>
      <c r="J534" s="18"/>
      <c r="K534" s="18"/>
      <c r="L534" s="69">
        <f>SUM(F534:K534)</f>
        <v>86977.21</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194439.96000000002</v>
      </c>
      <c r="I535" s="70">
        <f t="shared" si="38"/>
        <v>0</v>
      </c>
      <c r="J535" s="70">
        <f t="shared" si="38"/>
        <v>0</v>
      </c>
      <c r="K535" s="70">
        <f t="shared" si="38"/>
        <v>0</v>
      </c>
      <c r="L535" s="70">
        <f t="shared" si="38"/>
        <v>194439.96000000002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13583.59</v>
      </c>
      <c r="G542" s="18">
        <v>8051.09</v>
      </c>
      <c r="H542" s="18">
        <f>45505.13</f>
        <v>45505.13</v>
      </c>
      <c r="I542" s="18"/>
      <c r="J542" s="18"/>
      <c r="K542" s="18"/>
      <c r="L542" s="69">
        <f>SUM(F542:K542)</f>
        <v>67139.81</v>
      </c>
      <c r="M542" s="8"/>
      <c r="N542" s="165"/>
    </row>
    <row r="543" spans="1:14" s="3" customFormat="1" ht="12.2" customHeight="1" x14ac:dyDescent="0.15">
      <c r="A543" s="21" t="s">
        <v>634</v>
      </c>
      <c r="B543" s="22">
        <v>21</v>
      </c>
      <c r="C543" s="22">
        <v>18</v>
      </c>
      <c r="D543" s="2" t="s">
        <v>432</v>
      </c>
      <c r="E543" s="22"/>
      <c r="F543" s="18">
        <v>5355.23</v>
      </c>
      <c r="G543" s="18">
        <v>3174.08</v>
      </c>
      <c r="H543" s="18"/>
      <c r="I543" s="18"/>
      <c r="J543" s="18"/>
      <c r="K543" s="18"/>
      <c r="L543" s="69">
        <f>SUM(F543:K543)</f>
        <v>8529.31</v>
      </c>
      <c r="M543" s="8"/>
      <c r="N543" s="165"/>
    </row>
    <row r="544" spans="1:14" s="3" customFormat="1" ht="12.2" customHeight="1" thickBot="1" x14ac:dyDescent="0.2">
      <c r="A544" s="21" t="s">
        <v>635</v>
      </c>
      <c r="B544" s="22">
        <v>21</v>
      </c>
      <c r="C544" s="22">
        <v>19</v>
      </c>
      <c r="D544" s="2" t="s">
        <v>432</v>
      </c>
      <c r="E544" s="22"/>
      <c r="F544" s="18">
        <v>15328.52</v>
      </c>
      <c r="G544" s="18">
        <v>9085.32</v>
      </c>
      <c r="H544" s="18"/>
      <c r="I544" s="18"/>
      <c r="J544" s="18"/>
      <c r="K544" s="18"/>
      <c r="L544" s="69">
        <f>SUM(F544:K544)</f>
        <v>24413.84</v>
      </c>
      <c r="M544" s="8"/>
      <c r="N544" s="165"/>
    </row>
    <row r="545" spans="1:14" s="3" customFormat="1" ht="12.2" customHeight="1" thickTop="1" thickBot="1" x14ac:dyDescent="0.2">
      <c r="A545" s="93" t="s">
        <v>71</v>
      </c>
      <c r="B545" s="63">
        <v>21</v>
      </c>
      <c r="C545" s="63">
        <v>20</v>
      </c>
      <c r="D545" s="140" t="s">
        <v>432</v>
      </c>
      <c r="E545" s="63"/>
      <c r="F545" s="141">
        <f>SUM(F542:F544)</f>
        <v>34267.339999999997</v>
      </c>
      <c r="G545" s="141">
        <f t="shared" ref="G545:L545" si="40">SUM(G542:G544)</f>
        <v>20310.489999999998</v>
      </c>
      <c r="H545" s="141">
        <f t="shared" si="40"/>
        <v>45505.13</v>
      </c>
      <c r="I545" s="141">
        <f t="shared" si="40"/>
        <v>0</v>
      </c>
      <c r="J545" s="141">
        <f t="shared" si="40"/>
        <v>0</v>
      </c>
      <c r="K545" s="141">
        <f t="shared" si="40"/>
        <v>0</v>
      </c>
      <c r="L545" s="141">
        <f t="shared" si="40"/>
        <v>100082.95999999999</v>
      </c>
      <c r="M545" s="8"/>
      <c r="N545" s="165"/>
    </row>
    <row r="546" spans="1:14" s="3" customFormat="1" ht="12.2" customHeight="1" thickTop="1" x14ac:dyDescent="0.15">
      <c r="A546" s="75" t="s">
        <v>72</v>
      </c>
      <c r="B546" s="41">
        <v>21</v>
      </c>
      <c r="C546" s="41">
        <v>21</v>
      </c>
      <c r="D546" s="115" t="s">
        <v>432</v>
      </c>
      <c r="E546" s="41"/>
      <c r="F546" s="70">
        <f>F525+F530+F535+F540+F545</f>
        <v>2675432.12</v>
      </c>
      <c r="G546" s="70">
        <f t="shared" ref="G546:L546" si="41">G525+G530+G535+G540+G545</f>
        <v>1610732.89</v>
      </c>
      <c r="H546" s="70">
        <f t="shared" si="41"/>
        <v>1318002.5</v>
      </c>
      <c r="I546" s="70">
        <f t="shared" si="41"/>
        <v>119762.00000000001</v>
      </c>
      <c r="J546" s="70">
        <f t="shared" si="41"/>
        <v>4671.63</v>
      </c>
      <c r="K546" s="70">
        <f t="shared" si="41"/>
        <v>0</v>
      </c>
      <c r="L546" s="70">
        <f t="shared" si="41"/>
        <v>5728601.1399999997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2684168.69</v>
      </c>
      <c r="G550" s="69">
        <f>L527</f>
        <v>584734.14</v>
      </c>
      <c r="H550" s="69">
        <f>L532</f>
        <v>77076.070000000007</v>
      </c>
      <c r="I550" s="69">
        <f>L537</f>
        <v>0</v>
      </c>
      <c r="J550" s="69">
        <f>L542</f>
        <v>67139.81</v>
      </c>
      <c r="K550" s="69">
        <f>SUM(F550:J550)</f>
        <v>3413118.71</v>
      </c>
      <c r="L550" s="23" t="s">
        <v>288</v>
      </c>
      <c r="M550" s="8"/>
      <c r="N550" s="165"/>
    </row>
    <row r="551" spans="1:14" s="3" customFormat="1" ht="12.2" customHeight="1" x14ac:dyDescent="0.15">
      <c r="A551" s="21" t="s">
        <v>634</v>
      </c>
      <c r="B551" s="22">
        <v>21</v>
      </c>
      <c r="C551" s="22">
        <v>23</v>
      </c>
      <c r="D551" s="2" t="s">
        <v>432</v>
      </c>
      <c r="E551" s="22"/>
      <c r="F551" s="69">
        <f>L523</f>
        <v>769360.48</v>
      </c>
      <c r="G551" s="69">
        <f>L528</f>
        <v>59395.399999999994</v>
      </c>
      <c r="H551" s="69">
        <f>L533</f>
        <v>30386.68</v>
      </c>
      <c r="I551" s="69">
        <f>L538</f>
        <v>0</v>
      </c>
      <c r="J551" s="69">
        <f>L543</f>
        <v>8529.31</v>
      </c>
      <c r="K551" s="69">
        <f>SUM(F551:J551)</f>
        <v>867671.87000000011</v>
      </c>
      <c r="L551" s="23" t="s">
        <v>288</v>
      </c>
      <c r="M551" s="8"/>
      <c r="N551" s="165"/>
    </row>
    <row r="552" spans="1:14" s="3" customFormat="1" ht="12.2" customHeight="1" thickBot="1" x14ac:dyDescent="0.2">
      <c r="A552" s="21" t="s">
        <v>635</v>
      </c>
      <c r="B552" s="22">
        <v>21</v>
      </c>
      <c r="C552" s="22">
        <v>24</v>
      </c>
      <c r="D552" s="2" t="s">
        <v>432</v>
      </c>
      <c r="E552" s="22"/>
      <c r="F552" s="69">
        <f>L524</f>
        <v>1201144.7999999998</v>
      </c>
      <c r="G552" s="69">
        <f>L529</f>
        <v>135274.71000000002</v>
      </c>
      <c r="H552" s="69">
        <f>L534</f>
        <v>86977.21</v>
      </c>
      <c r="I552" s="69">
        <f>L539</f>
        <v>0</v>
      </c>
      <c r="J552" s="69">
        <f>L544</f>
        <v>24413.84</v>
      </c>
      <c r="K552" s="69">
        <f>SUM(F552:J552)</f>
        <v>1447810.5599999998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4654673.97</v>
      </c>
      <c r="G553" s="70">
        <f t="shared" si="42"/>
        <v>779404.25</v>
      </c>
      <c r="H553" s="70">
        <f t="shared" si="42"/>
        <v>194439.96000000002</v>
      </c>
      <c r="I553" s="70">
        <f t="shared" si="42"/>
        <v>0</v>
      </c>
      <c r="J553" s="70">
        <f t="shared" si="42"/>
        <v>100082.95999999999</v>
      </c>
      <c r="K553" s="70">
        <f t="shared" si="42"/>
        <v>5728601.1399999997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10661.16</v>
      </c>
      <c r="G581" s="18"/>
      <c r="H581" s="18"/>
      <c r="I581" s="69">
        <f t="shared" si="47"/>
        <v>10661.16</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235438.93+44882.31</f>
        <v>280321.24</v>
      </c>
      <c r="G583" s="18"/>
      <c r="H583" s="18">
        <v>91554</v>
      </c>
      <c r="I583" s="69">
        <f t="shared" si="47"/>
        <v>371875.24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469608.5</v>
      </c>
      <c r="I592" s="18">
        <v>175440.34</v>
      </c>
      <c r="J592" s="18">
        <v>502171.01</v>
      </c>
      <c r="K592" s="80">
        <f t="shared" ref="K592:K598" si="48">SUM(H592:J592)</f>
        <v>1147219.8500000001</v>
      </c>
      <c r="L592" s="23" t="s">
        <v>288</v>
      </c>
      <c r="M592" s="8"/>
      <c r="N592" s="165"/>
    </row>
    <row r="593" spans="1:14" s="3" customFormat="1" ht="12.2" customHeight="1" x14ac:dyDescent="0.15">
      <c r="A593" s="3" t="s">
        <v>638</v>
      </c>
      <c r="B593" s="22">
        <v>23</v>
      </c>
      <c r="C593" s="22">
        <v>2</v>
      </c>
      <c r="D593" s="2" t="s">
        <v>432</v>
      </c>
      <c r="E593" s="22"/>
      <c r="F593" s="78">
        <v>2722</v>
      </c>
      <c r="G593" s="79" t="s">
        <v>97</v>
      </c>
      <c r="H593" s="18">
        <v>45505.13</v>
      </c>
      <c r="I593" s="18"/>
      <c r="J593" s="18"/>
      <c r="K593" s="80">
        <f t="shared" si="48"/>
        <v>45505.13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13555.45</v>
      </c>
      <c r="J595" s="18">
        <v>62237.04</v>
      </c>
      <c r="K595" s="80">
        <f t="shared" si="48"/>
        <v>75792.490000000005</v>
      </c>
      <c r="L595" s="23" t="s">
        <v>288</v>
      </c>
      <c r="M595" s="8"/>
      <c r="N595" s="165"/>
    </row>
    <row r="596" spans="1:14" s="3" customFormat="1" ht="12.2" customHeight="1" x14ac:dyDescent="0.15">
      <c r="A596" s="103" t="s">
        <v>652</v>
      </c>
      <c r="B596" s="22">
        <v>23</v>
      </c>
      <c r="C596" s="22">
        <v>5</v>
      </c>
      <c r="D596" s="2" t="s">
        <v>432</v>
      </c>
      <c r="E596" s="22"/>
      <c r="F596" s="78">
        <v>2725</v>
      </c>
      <c r="G596" s="79" t="s">
        <v>97</v>
      </c>
      <c r="H596" s="18">
        <f>7518.84+5078.65</f>
        <v>12597.49</v>
      </c>
      <c r="I596" s="18">
        <f>3366.35+2002.22</f>
        <v>5368.57</v>
      </c>
      <c r="J596" s="18">
        <f>23810.2+5731.04</f>
        <v>29541.24</v>
      </c>
      <c r="K596" s="80">
        <f t="shared" si="48"/>
        <v>47507.3</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12743.04</v>
      </c>
      <c r="I598" s="18"/>
      <c r="J598" s="18"/>
      <c r="K598" s="80">
        <f t="shared" si="48"/>
        <v>12743.04</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540454.16</v>
      </c>
      <c r="I599" s="81">
        <f>SUM(I592:I598)</f>
        <v>194364.36000000002</v>
      </c>
      <c r="J599" s="81">
        <f>SUM(J592:J598)</f>
        <v>593949.29</v>
      </c>
      <c r="K599" s="81">
        <f>SUM(K592:K598)</f>
        <v>1328767.81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381859.75</v>
      </c>
      <c r="I605" s="18">
        <v>182063.79</v>
      </c>
      <c r="J605" s="18">
        <v>679007.9</v>
      </c>
      <c r="K605" s="80">
        <f>SUM(H605:J605)</f>
        <v>1242931.44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381859.75</v>
      </c>
      <c r="I606" s="81">
        <f>SUM(I603:I605)</f>
        <v>182063.79</v>
      </c>
      <c r="J606" s="81">
        <f>SUM(J603:J605)</f>
        <v>679007.9</v>
      </c>
      <c r="K606" s="81">
        <f>SUM(K603:K605)</f>
        <v>1242931.44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13826605.649999999</v>
      </c>
      <c r="H618" s="80">
        <f>SUM(F52)</f>
        <v>13826605.650000002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2524501.5500000003</v>
      </c>
      <c r="H619" s="80">
        <f>SUM(G52)</f>
        <v>2524501.5500000003</v>
      </c>
      <c r="I619" s="87" t="s">
        <v>875</v>
      </c>
      <c r="J619" s="80">
        <f>G619-H619</f>
        <v>0</v>
      </c>
      <c r="K619" s="80"/>
      <c r="L619" s="80"/>
      <c r="M619" s="8"/>
    </row>
    <row r="620" spans="1:14" s="3" customFormat="1" ht="12.2" customHeight="1" x14ac:dyDescent="0.15">
      <c r="A620" s="74"/>
      <c r="B620" s="22"/>
      <c r="C620" s="22"/>
      <c r="D620" s="22"/>
      <c r="E620" s="22"/>
      <c r="F620" s="87" t="s">
        <v>685</v>
      </c>
      <c r="G620" s="80">
        <f>SUM(H19)</f>
        <v>7800207.7199999997</v>
      </c>
      <c r="H620" s="80">
        <f>SUM(H52)</f>
        <v>7800207.7199999997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2441309.96</v>
      </c>
      <c r="H622" s="80">
        <f>SUM(J52)</f>
        <v>2441309.96</v>
      </c>
      <c r="I622" s="87" t="s">
        <v>878</v>
      </c>
      <c r="J622" s="80">
        <f>G622-H622</f>
        <v>0</v>
      </c>
      <c r="K622" s="80"/>
      <c r="L622" s="80"/>
      <c r="M622" s="8"/>
    </row>
    <row r="623" spans="1:14" s="3" customFormat="1" ht="12.2" customHeight="1" x14ac:dyDescent="0.15">
      <c r="A623" s="74"/>
      <c r="B623" s="22"/>
      <c r="C623" s="22"/>
      <c r="D623" s="22"/>
      <c r="E623" s="22"/>
      <c r="F623" s="87" t="s">
        <v>864</v>
      </c>
      <c r="G623" s="80">
        <f>F51</f>
        <v>3479841.1</v>
      </c>
      <c r="H623" s="80">
        <f>F477</f>
        <v>3479841.1000000015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51957.97</v>
      </c>
      <c r="H624" s="80">
        <f>G477</f>
        <v>51957.970000000088</v>
      </c>
      <c r="I624" s="87" t="s">
        <v>102</v>
      </c>
      <c r="J624" s="80">
        <f t="shared" si="50"/>
        <v>-8.7311491370201111E-11</v>
      </c>
      <c r="K624" s="80"/>
      <c r="L624" s="80"/>
      <c r="M624" s="8"/>
    </row>
    <row r="625" spans="1:13" s="3" customFormat="1" ht="12.2" customHeight="1" x14ac:dyDescent="0.15">
      <c r="A625" s="74"/>
      <c r="B625" s="22"/>
      <c r="C625" s="22"/>
      <c r="D625" s="22"/>
      <c r="E625" s="22"/>
      <c r="F625" s="86" t="s">
        <v>866</v>
      </c>
      <c r="G625" s="80">
        <f>H51</f>
        <v>502439.75</v>
      </c>
      <c r="H625" s="80">
        <f>H477</f>
        <v>502439.75</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2441309.96</v>
      </c>
      <c r="H627" s="80">
        <f>J477</f>
        <v>2441309.96</v>
      </c>
      <c r="I627" s="87" t="s">
        <v>105</v>
      </c>
      <c r="J627" s="80">
        <f t="shared" si="50"/>
        <v>0</v>
      </c>
      <c r="K627" s="67"/>
      <c r="L627" s="69"/>
      <c r="M627" s="8"/>
    </row>
    <row r="628" spans="1:13" s="3" customFormat="1" ht="12.2" customHeight="1" x14ac:dyDescent="0.15">
      <c r="A628" s="21"/>
      <c r="B628" s="22"/>
      <c r="C628" s="22"/>
      <c r="D628" s="22"/>
      <c r="E628" s="22"/>
      <c r="F628" s="86" t="s">
        <v>658</v>
      </c>
      <c r="G628" s="80">
        <f>F194</f>
        <v>35208302.990000002</v>
      </c>
      <c r="H628" s="80">
        <f>SUM(F469)</f>
        <v>35208302.990000002</v>
      </c>
      <c r="I628" s="87" t="s">
        <v>106</v>
      </c>
      <c r="J628" s="80">
        <f>G628-H628</f>
        <v>0</v>
      </c>
      <c r="K628" s="67"/>
      <c r="L628" s="69"/>
      <c r="M628" s="8"/>
    </row>
    <row r="629" spans="1:13" s="3" customFormat="1" ht="12.2" customHeight="1" x14ac:dyDescent="0.15">
      <c r="A629" s="21"/>
      <c r="B629" s="22"/>
      <c r="C629" s="22"/>
      <c r="D629" s="22"/>
      <c r="E629" s="22"/>
      <c r="F629" s="86" t="s">
        <v>659</v>
      </c>
      <c r="G629" s="80">
        <f>G194</f>
        <v>744365.24</v>
      </c>
      <c r="H629" s="80">
        <f>SUM(G469)</f>
        <v>744365.24</v>
      </c>
      <c r="I629" s="87" t="s">
        <v>107</v>
      </c>
      <c r="J629" s="80">
        <f>G629-H629</f>
        <v>0</v>
      </c>
      <c r="K629" s="67"/>
      <c r="L629" s="69"/>
      <c r="M629" s="8"/>
    </row>
    <row r="630" spans="1:13" s="3" customFormat="1" ht="12.2" customHeight="1" x14ac:dyDescent="0.15">
      <c r="A630" s="21"/>
      <c r="B630" s="22"/>
      <c r="C630" s="22"/>
      <c r="D630" s="22"/>
      <c r="E630" s="22"/>
      <c r="F630" s="86" t="s">
        <v>660</v>
      </c>
      <c r="G630" s="80">
        <f>H194</f>
        <v>3266386.8600000003</v>
      </c>
      <c r="H630" s="80">
        <f>SUM(H469)</f>
        <v>3266386.86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380595.69</v>
      </c>
      <c r="H632" s="80">
        <f>SUM(J469)</f>
        <v>380595.69</v>
      </c>
      <c r="I632" s="87" t="s">
        <v>110</v>
      </c>
      <c r="J632" s="80">
        <f>G632-H632</f>
        <v>0</v>
      </c>
      <c r="K632" s="67"/>
      <c r="L632" s="69"/>
      <c r="M632" s="8"/>
    </row>
    <row r="633" spans="1:13" s="3" customFormat="1" ht="12.2" customHeight="1" x14ac:dyDescent="0.15">
      <c r="A633" s="21"/>
      <c r="B633" s="22"/>
      <c r="C633" s="22"/>
      <c r="D633" s="22"/>
      <c r="E633" s="22"/>
      <c r="F633" s="86" t="s">
        <v>394</v>
      </c>
      <c r="G633" s="80">
        <f>SUM(L272)</f>
        <v>35702193.640000008</v>
      </c>
      <c r="H633" s="80">
        <f>SUM(F473)</f>
        <v>35702193.640000001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3285751.52</v>
      </c>
      <c r="H634" s="80">
        <f>SUM(H473)</f>
        <v>3285751.52</v>
      </c>
      <c r="I634" s="87" t="s">
        <v>112</v>
      </c>
      <c r="J634" s="80">
        <f>G634-H634</f>
        <v>0</v>
      </c>
      <c r="K634" s="67"/>
      <c r="L634" s="69"/>
      <c r="M634" s="8"/>
    </row>
    <row r="635" spans="1:13" s="124" customFormat="1" ht="12.2" customHeight="1" x14ac:dyDescent="0.15">
      <c r="A635" s="21"/>
      <c r="B635" s="22"/>
      <c r="C635" s="22"/>
      <c r="D635" s="22"/>
      <c r="E635" s="22"/>
      <c r="F635" s="99" t="s">
        <v>247</v>
      </c>
      <c r="G635" s="80">
        <f>I363</f>
        <v>828.1099999999999</v>
      </c>
      <c r="H635" s="80">
        <f>I370</f>
        <v>828.1099999999999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789997.33</v>
      </c>
      <c r="H636" s="80">
        <f>SUM(G473)</f>
        <v>789997.33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380595.69</v>
      </c>
      <c r="H638" s="108">
        <f>SUM(J469)</f>
        <v>380595.69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11050.75</v>
      </c>
      <c r="H639" s="108">
        <f>SUM(J473)</f>
        <v>11050.75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487818.33</v>
      </c>
      <c r="H640" s="80">
        <f>SUM(F462)</f>
        <v>487818.33</v>
      </c>
      <c r="I640" s="87" t="s">
        <v>840</v>
      </c>
      <c r="J640" s="80">
        <f t="shared" si="50"/>
        <v>0</v>
      </c>
      <c r="K640" s="67"/>
      <c r="L640" s="69"/>
      <c r="M640" s="8"/>
    </row>
    <row r="641" spans="1:13" s="3" customFormat="1" ht="12.2" customHeight="1" x14ac:dyDescent="0.15">
      <c r="A641" s="21"/>
      <c r="B641" s="22"/>
      <c r="C641" s="22"/>
      <c r="D641" s="22"/>
      <c r="E641" s="22"/>
      <c r="F641" s="86" t="s">
        <v>119</v>
      </c>
      <c r="G641" s="80">
        <f>SUM(G447)</f>
        <v>1918930.04</v>
      </c>
      <c r="H641" s="80">
        <f>SUM(G462)</f>
        <v>1918930.04</v>
      </c>
      <c r="I641" s="87" t="s">
        <v>841</v>
      </c>
      <c r="J641" s="80">
        <f t="shared" si="50"/>
        <v>0</v>
      </c>
      <c r="K641" s="67"/>
      <c r="L641" s="69"/>
      <c r="M641" s="8"/>
    </row>
    <row r="642" spans="1:13" s="3" customFormat="1" ht="12.2" customHeight="1" x14ac:dyDescent="0.15">
      <c r="A642" s="21"/>
      <c r="B642" s="22"/>
      <c r="C642" s="22"/>
      <c r="D642" s="22"/>
      <c r="E642" s="22"/>
      <c r="F642" s="86" t="s">
        <v>120</v>
      </c>
      <c r="G642" s="80">
        <f>SUM(H447)</f>
        <v>34561.589999999997</v>
      </c>
      <c r="H642" s="80">
        <f>SUM(H462)</f>
        <v>34561.589999999997</v>
      </c>
      <c r="I642" s="87" t="s">
        <v>842</v>
      </c>
      <c r="J642" s="80">
        <f t="shared" si="50"/>
        <v>0</v>
      </c>
      <c r="K642" s="67"/>
      <c r="L642" s="69"/>
      <c r="M642" s="8"/>
    </row>
    <row r="643" spans="1:13" s="3" customFormat="1" ht="12.2" customHeight="1" x14ac:dyDescent="0.15">
      <c r="A643" s="21"/>
      <c r="B643" s="22"/>
      <c r="C643" s="22"/>
      <c r="D643" s="22"/>
      <c r="E643" s="22"/>
      <c r="F643" s="86" t="s">
        <v>121</v>
      </c>
      <c r="G643" s="80">
        <f>SUM(I447)</f>
        <v>2441309.96</v>
      </c>
      <c r="H643" s="80">
        <f>SUM(I462)</f>
        <v>2441309.96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49166.69</v>
      </c>
      <c r="H645" s="80">
        <f>H409</f>
        <v>49166.69</v>
      </c>
      <c r="I645" s="87" t="s">
        <v>480</v>
      </c>
      <c r="J645" s="80">
        <f t="shared" si="50"/>
        <v>0</v>
      </c>
      <c r="K645" s="67"/>
      <c r="L645" s="69"/>
      <c r="M645" s="8"/>
    </row>
    <row r="646" spans="1:13" s="3" customFormat="1" ht="12.2" customHeight="1" x14ac:dyDescent="0.15">
      <c r="A646" s="21"/>
      <c r="B646" s="22"/>
      <c r="C646" s="22"/>
      <c r="D646" s="22"/>
      <c r="E646" s="22"/>
      <c r="F646" s="86" t="s">
        <v>664</v>
      </c>
      <c r="G646" s="80">
        <f>J184</f>
        <v>331429</v>
      </c>
      <c r="H646" s="80">
        <f>G409</f>
        <v>331429</v>
      </c>
      <c r="I646" s="87" t="s">
        <v>481</v>
      </c>
      <c r="J646" s="80">
        <f t="shared" si="50"/>
        <v>0</v>
      </c>
      <c r="K646" s="67"/>
      <c r="L646" s="69"/>
      <c r="M646" s="8"/>
    </row>
    <row r="647" spans="1:13" s="3" customFormat="1" ht="12.2" customHeight="1" x14ac:dyDescent="0.15">
      <c r="A647" s="21"/>
      <c r="B647" s="22"/>
      <c r="C647" s="22"/>
      <c r="D647" s="22"/>
      <c r="E647" s="22"/>
      <c r="F647" s="86" t="s">
        <v>662</v>
      </c>
      <c r="G647" s="80">
        <f>J194</f>
        <v>380595.69</v>
      </c>
      <c r="H647" s="80">
        <f>L409</f>
        <v>380595.69</v>
      </c>
      <c r="I647" s="87" t="s">
        <v>477</v>
      </c>
      <c r="J647" s="80">
        <f t="shared" si="50"/>
        <v>0</v>
      </c>
      <c r="K647" s="67"/>
      <c r="L647" s="69"/>
      <c r="M647" s="8"/>
    </row>
    <row r="648" spans="1:13" s="3" customFormat="1" ht="12.2" customHeight="1" x14ac:dyDescent="0.15">
      <c r="A648" s="21"/>
      <c r="B648" s="22"/>
      <c r="C648" s="22"/>
      <c r="D648" s="22"/>
      <c r="E648" s="22"/>
      <c r="F648" s="86" t="s">
        <v>51</v>
      </c>
      <c r="G648" s="80">
        <f>K599</f>
        <v>1328767.81</v>
      </c>
      <c r="H648" s="80">
        <f>L209+L227+L245</f>
        <v>1328767.81</v>
      </c>
      <c r="I648" s="87" t="s">
        <v>396</v>
      </c>
      <c r="J648" s="80">
        <f t="shared" si="50"/>
        <v>0</v>
      </c>
      <c r="K648" s="67"/>
      <c r="L648" s="69"/>
      <c r="M648" s="8"/>
    </row>
    <row r="649" spans="1:13" s="3" customFormat="1" ht="12.2" customHeight="1" x14ac:dyDescent="0.15">
      <c r="A649" s="21"/>
      <c r="B649" s="22"/>
      <c r="C649" s="22"/>
      <c r="D649" s="22"/>
      <c r="E649" s="22"/>
      <c r="F649" s="86" t="s">
        <v>52</v>
      </c>
      <c r="G649" s="80">
        <f>K606</f>
        <v>1242931.44</v>
      </c>
      <c r="H649" s="80">
        <f>(J258+J339)-(J256+J337)</f>
        <v>1242931.44</v>
      </c>
      <c r="I649" s="87" t="s">
        <v>699</v>
      </c>
      <c r="J649" s="80">
        <f t="shared" si="50"/>
        <v>0</v>
      </c>
      <c r="K649" s="67"/>
      <c r="L649" s="69"/>
      <c r="M649" s="8"/>
    </row>
    <row r="650" spans="1:13" s="3" customFormat="1" ht="12.2" customHeight="1" x14ac:dyDescent="0.15">
      <c r="A650" s="21"/>
      <c r="B650" s="22"/>
      <c r="C650" s="22"/>
      <c r="D650" s="22"/>
      <c r="E650" s="22"/>
      <c r="F650" s="86" t="s">
        <v>387</v>
      </c>
      <c r="G650" s="80">
        <f>L209</f>
        <v>540454.16</v>
      </c>
      <c r="H650" s="80">
        <f>H599</f>
        <v>540454.16</v>
      </c>
      <c r="I650" s="87" t="s">
        <v>388</v>
      </c>
      <c r="J650" s="80">
        <f t="shared" si="50"/>
        <v>0</v>
      </c>
      <c r="K650" s="67"/>
      <c r="L650" s="69"/>
      <c r="M650" s="8"/>
    </row>
    <row r="651" spans="1:13" s="3" customFormat="1" ht="12.2" customHeight="1" x14ac:dyDescent="0.15">
      <c r="A651" s="21"/>
      <c r="B651" s="22"/>
      <c r="C651" s="22"/>
      <c r="D651" s="22"/>
      <c r="E651" s="22"/>
      <c r="F651" s="86" t="s">
        <v>392</v>
      </c>
      <c r="G651" s="80">
        <f>L227</f>
        <v>194364.36</v>
      </c>
      <c r="H651" s="80">
        <f>I599</f>
        <v>194364.36000000002</v>
      </c>
      <c r="I651" s="87" t="s">
        <v>389</v>
      </c>
      <c r="J651" s="80">
        <f t="shared" si="50"/>
        <v>0</v>
      </c>
      <c r="K651" s="67"/>
      <c r="L651" s="69"/>
      <c r="M651" s="8"/>
    </row>
    <row r="652" spans="1:13" s="3" customFormat="1" ht="12.2" customHeight="1" x14ac:dyDescent="0.15">
      <c r="A652" s="21"/>
      <c r="B652" s="22"/>
      <c r="C652" s="22"/>
      <c r="D652" s="22"/>
      <c r="E652" s="22"/>
      <c r="F652" s="86" t="s">
        <v>393</v>
      </c>
      <c r="G652" s="80">
        <f>L245</f>
        <v>593949.29</v>
      </c>
      <c r="H652" s="80">
        <f>J599</f>
        <v>593949.29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41278.800000000003</v>
      </c>
      <c r="H653" s="80">
        <f>K264+K346</f>
        <v>41278.800000000003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331429</v>
      </c>
      <c r="H656" s="80">
        <f>K267+K348</f>
        <v>331429</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15221554.820000004</v>
      </c>
      <c r="G661" s="13">
        <f>(L230+L310+L360)</f>
        <v>5822937.9100000011</v>
      </c>
      <c r="H661" s="13">
        <f>(L248+L329+L361)</f>
        <v>15370908.289999999</v>
      </c>
      <c r="I661" s="13">
        <f>SUM(F661:H661)</f>
        <v>36415401.020000003</v>
      </c>
      <c r="J661" s="13"/>
      <c r="K661" s="13"/>
      <c r="L661" s="13"/>
      <c r="M661" s="9"/>
    </row>
    <row r="662" spans="1:13" s="3" customFormat="1" ht="12.2" customHeight="1" x14ac:dyDescent="0.2">
      <c r="A662" s="1" t="s">
        <v>127</v>
      </c>
      <c r="F662" s="13">
        <f>(L359/IF(SUM(L359:L361)=0,1,SUM(L359:L361))*(SUM(G97:G110)))</f>
        <v>118924.20036656782</v>
      </c>
      <c r="G662" s="13">
        <f>(L360/IF(SUM(L359:L361)=0,1,SUM(L359:L361))*(SUM(G97:G110)))</f>
        <v>46885.007951660802</v>
      </c>
      <c r="H662" s="13">
        <f>(L361/IF(SUM(L359:L361)=0,1,SUM(L359:L361))*(SUM(G97:G110)))</f>
        <v>134201.11168177138</v>
      </c>
      <c r="I662" s="13">
        <f>SUM(F662:H662)</f>
        <v>300010.32</v>
      </c>
      <c r="J662"/>
      <c r="K662" s="13"/>
      <c r="L662" s="13"/>
      <c r="M662" s="8"/>
    </row>
    <row r="663" spans="1:13" s="3" customFormat="1" ht="12.2" customHeight="1" x14ac:dyDescent="0.2">
      <c r="A663" s="1" t="s">
        <v>128</v>
      </c>
      <c r="F663" s="13">
        <f>(L209+L288)-(J209+J288)</f>
        <v>381257.16000000003</v>
      </c>
      <c r="G663" s="13">
        <f>(L227+L307)-(J227+J307)</f>
        <v>131602.09999999998</v>
      </c>
      <c r="H663" s="13">
        <f>(L245+L326)-(J245+J326)</f>
        <v>415375.95</v>
      </c>
      <c r="I663" s="13">
        <f>SUM(F663:H663)</f>
        <v>928235.21</v>
      </c>
      <c r="J663"/>
      <c r="K663" s="13"/>
      <c r="L663" s="13"/>
      <c r="M663" s="9"/>
    </row>
    <row r="664" spans="1:13" s="3" customFormat="1" ht="12.2" customHeight="1" x14ac:dyDescent="0.15">
      <c r="A664" s="142" t="s">
        <v>129</v>
      </c>
      <c r="B664" s="124"/>
      <c r="C664" s="124"/>
      <c r="D664" s="124"/>
      <c r="E664" s="124"/>
      <c r="F664" s="143">
        <f>SUM(F576:F588)+SUM(H603:H605)+SUM(L612)</f>
        <v>672842.14999999991</v>
      </c>
      <c r="G664" s="143">
        <f>SUM(G576:G588)+SUM(I603:I605)+L613</f>
        <v>182063.79</v>
      </c>
      <c r="H664" s="143">
        <f>SUM(H576:H588)+SUM(J603:J605)+L614</f>
        <v>770561.9</v>
      </c>
      <c r="I664" s="13">
        <f>SUM(F664:H664)</f>
        <v>1625467.8399999999</v>
      </c>
      <c r="J664" s="13"/>
      <c r="K664" s="13"/>
      <c r="L664" s="13"/>
      <c r="M664" s="9"/>
    </row>
    <row r="665" spans="1:13" s="3" customFormat="1" ht="12.2" customHeight="1" x14ac:dyDescent="0.15">
      <c r="A665" s="1" t="s">
        <v>130</v>
      </c>
      <c r="F665" s="13">
        <f>F661-SUM(F662:F664)</f>
        <v>14048531.309633436</v>
      </c>
      <c r="G665" s="13">
        <f>G661-SUM(G662:G664)</f>
        <v>5462387.0120483404</v>
      </c>
      <c r="H665" s="13">
        <f>H661-SUM(H662:H664)</f>
        <v>14050769.328318227</v>
      </c>
      <c r="I665" s="13">
        <f>I661-SUM(I662:I664)</f>
        <v>33561687.650000006</v>
      </c>
      <c r="J665" s="13"/>
      <c r="K665" s="13"/>
      <c r="L665" s="13"/>
      <c r="M665" s="8"/>
    </row>
    <row r="666" spans="1:13" s="3" customFormat="1" ht="12.2" customHeight="1" x14ac:dyDescent="0.2">
      <c r="A666" s="1" t="s">
        <v>131</v>
      </c>
      <c r="F666" s="183">
        <v>602.4</v>
      </c>
      <c r="G666" s="184">
        <v>237.49</v>
      </c>
      <c r="H666" s="184">
        <v>679.71</v>
      </c>
      <c r="I666" s="13">
        <f>SUM(F666:H666)</f>
        <v>1519.6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23320.94</v>
      </c>
      <c r="G668" s="13">
        <f>ROUND(G665/G666,2)</f>
        <v>23000.49</v>
      </c>
      <c r="H668" s="13">
        <f>ROUND(H665/H666,2)</f>
        <v>20671.71</v>
      </c>
      <c r="I668" s="13">
        <f>ROUND(I665/I666,2)</f>
        <v>22085.87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23320.94</v>
      </c>
      <c r="G673" s="13">
        <f>ROUND((G665+G670)/(G666+G671),2)</f>
        <v>23000.49</v>
      </c>
      <c r="H673" s="13">
        <f>ROUND((H665+H670)/(H666+H671),2)</f>
        <v>20671.71</v>
      </c>
      <c r="I673" s="13">
        <f>ROUND((I665+I670)/(I666+I671),2)</f>
        <v>22085.87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376783.6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107226.48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47378.32</v>
      </c>
      <c r="F13" s="272" t="s">
        <v>1629</v>
      </c>
    </row>
    <row r="14" spans="2:8" x14ac:dyDescent="0.25">
      <c r="B14" s="271"/>
      <c r="C14" s="271"/>
      <c r="D14" s="272"/>
      <c r="E14" s="271"/>
      <c r="F14" s="271"/>
    </row>
    <row r="15" spans="2:8" x14ac:dyDescent="0.25">
      <c r="B15" s="271"/>
      <c r="C15" s="272" t="s">
        <v>1623</v>
      </c>
      <c r="D15" s="272" t="s">
        <v>1636</v>
      </c>
      <c r="E15" s="260">
        <v>186997.8</v>
      </c>
      <c r="F15" s="272" t="s">
        <v>1630</v>
      </c>
    </row>
    <row r="16" spans="2:8" x14ac:dyDescent="0.25">
      <c r="B16" s="271"/>
      <c r="C16" s="271"/>
      <c r="D16" s="271"/>
      <c r="E16" s="271"/>
      <c r="F16" s="271"/>
    </row>
    <row r="17" spans="2:8" x14ac:dyDescent="0.25">
      <c r="B17" s="271"/>
      <c r="C17" s="272" t="s">
        <v>1622</v>
      </c>
      <c r="D17" s="272" t="s">
        <v>1637</v>
      </c>
      <c r="E17" s="260">
        <v>35181</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Conway</v>
      </c>
      <c r="C5" s="317"/>
      <c r="D5" s="317"/>
      <c r="E5" s="317"/>
      <c r="F5" s="317"/>
    </row>
    <row r="8" spans="1:9" ht="18" x14ac:dyDescent="0.25">
      <c r="A8" s="240" t="s">
        <v>1560</v>
      </c>
      <c r="F8" s="247" t="s">
        <v>1578</v>
      </c>
    </row>
    <row r="9" spans="1:9" ht="15" x14ac:dyDescent="0.2">
      <c r="A9" s="238" t="s">
        <v>1561</v>
      </c>
      <c r="B9" s="241">
        <f>'DOE25'!G97</f>
        <v>300010.32</v>
      </c>
      <c r="F9" s="238" t="s">
        <v>1574</v>
      </c>
    </row>
    <row r="10" spans="1:9" ht="15" x14ac:dyDescent="0.2">
      <c r="A10" s="238" t="s">
        <v>1562</v>
      </c>
      <c r="B10" s="241">
        <f>'DOE25'!G112-'DOE25'!G97</f>
        <v>1133.0100000000093</v>
      </c>
      <c r="F10" s="238" t="s">
        <v>1575</v>
      </c>
    </row>
    <row r="11" spans="1:9" ht="15" x14ac:dyDescent="0.2">
      <c r="A11" s="238" t="s">
        <v>1563</v>
      </c>
      <c r="B11" s="241">
        <f>'DOE25'!G140</f>
        <v>7402.72</v>
      </c>
      <c r="F11" s="238" t="s">
        <v>1576</v>
      </c>
    </row>
    <row r="12" spans="1:9" ht="15" x14ac:dyDescent="0.2">
      <c r="A12" s="238" t="s">
        <v>1564</v>
      </c>
      <c r="B12" s="241">
        <f>'DOE25'!G170</f>
        <v>394540.39</v>
      </c>
      <c r="F12" s="238" t="s">
        <v>1577</v>
      </c>
    </row>
    <row r="13" spans="1:9" ht="15" x14ac:dyDescent="0.2">
      <c r="A13" s="238" t="s">
        <v>1565</v>
      </c>
      <c r="B13" s="241">
        <f>'DOE25'!G193-'DOE25'!G180</f>
        <v>0</v>
      </c>
      <c r="F13" s="238" t="s">
        <v>1587</v>
      </c>
    </row>
    <row r="14" spans="1:9" ht="18" x14ac:dyDescent="0.25">
      <c r="A14" s="240" t="s">
        <v>732</v>
      </c>
      <c r="B14" s="242">
        <f>SUM(B9:B13)</f>
        <v>703086.44</v>
      </c>
    </row>
    <row r="16" spans="1:9" ht="18" x14ac:dyDescent="0.25">
      <c r="A16" s="240" t="s">
        <v>786</v>
      </c>
      <c r="F16" s="247" t="s">
        <v>1579</v>
      </c>
    </row>
    <row r="17" spans="1:6" ht="15" x14ac:dyDescent="0.2">
      <c r="A17" s="238" t="s">
        <v>1566</v>
      </c>
      <c r="B17" s="241">
        <f>'DOE25'!L363-'DOE25'!L362</f>
        <v>789997.33</v>
      </c>
      <c r="F17" s="238" t="s">
        <v>1580</v>
      </c>
    </row>
    <row r="18" spans="1:6" ht="15" x14ac:dyDescent="0.2">
      <c r="A18" s="238" t="s">
        <v>1567</v>
      </c>
      <c r="B18" s="251"/>
      <c r="F18" s="247" t="s">
        <v>1604</v>
      </c>
    </row>
    <row r="19" spans="1:6" ht="18" x14ac:dyDescent="0.25">
      <c r="A19" s="240" t="s">
        <v>725</v>
      </c>
      <c r="B19" s="242">
        <f>SUM(B17:B18)</f>
        <v>789997.33</v>
      </c>
    </row>
    <row r="21" spans="1:6" ht="18.75" thickBot="1" x14ac:dyDescent="0.3">
      <c r="A21" s="240" t="s">
        <v>1568</v>
      </c>
    </row>
    <row r="22" spans="1:6" ht="18.75" thickTop="1" x14ac:dyDescent="0.25">
      <c r="A22" s="240" t="s">
        <v>1569</v>
      </c>
      <c r="B22" s="246">
        <f>B14-B19</f>
        <v>-86910.890000000014</v>
      </c>
      <c r="F22" s="238" t="s">
        <v>1581</v>
      </c>
    </row>
    <row r="26" spans="1:6" ht="18" x14ac:dyDescent="0.25">
      <c r="A26" s="240" t="s">
        <v>186</v>
      </c>
    </row>
    <row r="27" spans="1:6" ht="15" x14ac:dyDescent="0.2">
      <c r="A27" s="238" t="s">
        <v>1570</v>
      </c>
      <c r="B27" s="241">
        <f>'DOE25'!G180</f>
        <v>41278.800000000003</v>
      </c>
      <c r="F27" s="238" t="s">
        <v>1582</v>
      </c>
    </row>
    <row r="28" spans="1:6" ht="15" x14ac:dyDescent="0.2">
      <c r="A28" s="238" t="s">
        <v>1572</v>
      </c>
      <c r="B28" s="241">
        <f>'DOE25'!L362</f>
        <v>0</v>
      </c>
      <c r="F28" s="238" t="s">
        <v>1583</v>
      </c>
    </row>
    <row r="31" spans="1:6" ht="15" x14ac:dyDescent="0.2">
      <c r="A31" s="238" t="s">
        <v>1797</v>
      </c>
      <c r="B31" s="241">
        <f>'DOE25'!G466</f>
        <v>97585.31</v>
      </c>
      <c r="F31" s="238" t="s">
        <v>1584</v>
      </c>
    </row>
    <row r="33" spans="1:6" ht="15" x14ac:dyDescent="0.2">
      <c r="A33" s="238" t="s">
        <v>1798</v>
      </c>
      <c r="B33" s="241">
        <f>'DOE25'!G477</f>
        <v>51957.970000000088</v>
      </c>
      <c r="F33" s="238" t="s">
        <v>1585</v>
      </c>
    </row>
    <row r="36" spans="1:6" ht="15" x14ac:dyDescent="0.2">
      <c r="A36" s="238" t="s">
        <v>1571</v>
      </c>
      <c r="B36" s="252">
        <v>89289.279999999999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31" sqref="H3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Conway</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7784796.6500000004</v>
      </c>
      <c r="C9" s="167">
        <f>'DOE25'!G198+'DOE25'!G216+'DOE25'!G234+'DOE25'!G277+'DOE25'!G296+'DOE25'!G315</f>
        <v>6390032.1300000008</v>
      </c>
    </row>
    <row r="10" spans="1:3" x14ac:dyDescent="0.2">
      <c r="A10" t="s">
        <v>775</v>
      </c>
      <c r="B10" s="177">
        <f>6482238.02+465631.54</f>
        <v>6947869.5599999996</v>
      </c>
      <c r="C10" s="177">
        <f>3718425.2+215589.91</f>
        <v>3934015.1100000003</v>
      </c>
    </row>
    <row r="11" spans="1:3" x14ac:dyDescent="0.2">
      <c r="A11" t="s">
        <v>776</v>
      </c>
      <c r="B11" s="177"/>
      <c r="C11" s="177"/>
    </row>
    <row r="12" spans="1:3" x14ac:dyDescent="0.2">
      <c r="A12" t="s">
        <v>777</v>
      </c>
      <c r="B12" s="177">
        <f>643486.84+145168.25+48272</f>
        <v>836927.09</v>
      </c>
      <c r="C12" s="177">
        <f>149920.09+2306096.93</f>
        <v>2456017.02</v>
      </c>
    </row>
    <row r="13" spans="1:3" x14ac:dyDescent="0.2">
      <c r="A13" t="str">
        <f>IF(B9=B13,IF(C9=C13,"Check Total OK","Check Total Error"),"Check Total Error")</f>
        <v>Check Total OK</v>
      </c>
      <c r="B13" s="169">
        <f>SUM(B10:B12)</f>
        <v>7784796.6499999994</v>
      </c>
      <c r="C13" s="169">
        <f>SUM(C10:C12)</f>
        <v>6390032.1300000008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2471186.06</v>
      </c>
      <c r="C18" s="167">
        <f>'DOE25'!G199+'DOE25'!G217+'DOE25'!G235+'DOE25'!G278+'DOE25'!G297+'DOE25'!G316</f>
        <v>1502841.9000000001</v>
      </c>
    </row>
    <row r="19" spans="1:3" x14ac:dyDescent="0.2">
      <c r="A19" t="s">
        <v>775</v>
      </c>
      <c r="B19" s="177">
        <f>1085095.8+54159</f>
        <v>1139254.8</v>
      </c>
      <c r="C19" s="177">
        <f>601902.94+22980.3</f>
        <v>624883.24</v>
      </c>
    </row>
    <row r="20" spans="1:3" x14ac:dyDescent="0.2">
      <c r="A20" t="s">
        <v>776</v>
      </c>
      <c r="B20" s="177">
        <v>1068360.51</v>
      </c>
      <c r="C20" s="177">
        <v>744365.61</v>
      </c>
    </row>
    <row r="21" spans="1:3" x14ac:dyDescent="0.2">
      <c r="A21" t="s">
        <v>777</v>
      </c>
      <c r="B21" s="177">
        <f>258070.75+5500</f>
        <v>263570.75</v>
      </c>
      <c r="C21" s="177">
        <f>132425.51+1167.54</f>
        <v>133593.05000000002</v>
      </c>
    </row>
    <row r="22" spans="1:3" x14ac:dyDescent="0.2">
      <c r="A22" t="str">
        <f>IF(B18=B22,IF(C18=C22,"Check Total OK","Check Total Error"),"Check Total Error")</f>
        <v>Check Total OK</v>
      </c>
      <c r="B22" s="169">
        <f>SUM(B19:B21)</f>
        <v>2471186.06</v>
      </c>
      <c r="C22" s="169">
        <f>SUM(C19:C21)</f>
        <v>1502841.9000000001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620612.13</v>
      </c>
      <c r="C27" s="172">
        <f>'DOE25'!G200+'DOE25'!G218+'DOE25'!G236+'DOE25'!G279+'DOE25'!G298+'DOE25'!G317</f>
        <v>358765.91</v>
      </c>
    </row>
    <row r="28" spans="1:3" x14ac:dyDescent="0.2">
      <c r="A28" t="s">
        <v>775</v>
      </c>
      <c r="B28" s="177">
        <v>538278.63</v>
      </c>
      <c r="C28" s="177">
        <f>333819.67</f>
        <v>333819.67</v>
      </c>
    </row>
    <row r="29" spans="1:3" x14ac:dyDescent="0.2">
      <c r="A29" t="s">
        <v>776</v>
      </c>
      <c r="B29" s="177"/>
      <c r="C29" s="177"/>
    </row>
    <row r="30" spans="1:3" x14ac:dyDescent="0.2">
      <c r="A30" t="s">
        <v>777</v>
      </c>
      <c r="B30" s="177">
        <f>42870.86+39462.64</f>
        <v>82333.5</v>
      </c>
      <c r="C30" s="177">
        <f>12935.58+12010.66</f>
        <v>24946.239999999998</v>
      </c>
    </row>
    <row r="31" spans="1:3" x14ac:dyDescent="0.2">
      <c r="A31" t="str">
        <f>IF(B27=B31,IF(C27=C31,"Check Total OK","Check Total Error"),"Check Total Error")</f>
        <v>Check Total OK</v>
      </c>
      <c r="B31" s="169">
        <f>SUM(B28:B30)</f>
        <v>620612.13</v>
      </c>
      <c r="C31" s="169">
        <f>SUM(C28:C30)</f>
        <v>358765.91</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613827.77999999991</v>
      </c>
      <c r="C36" s="173">
        <f>'DOE25'!G201+'DOE25'!G219+'DOE25'!G237+'DOE25'!G280+'DOE25'!G299+'DOE25'!G318</f>
        <v>151244.16</v>
      </c>
    </row>
    <row r="37" spans="1:3" x14ac:dyDescent="0.2">
      <c r="A37" t="s">
        <v>775</v>
      </c>
      <c r="B37" s="177"/>
      <c r="C37" s="177"/>
    </row>
    <row r="38" spans="1:3" x14ac:dyDescent="0.2">
      <c r="A38" t="s">
        <v>776</v>
      </c>
      <c r="B38" s="177"/>
      <c r="C38" s="177"/>
    </row>
    <row r="39" spans="1:3" x14ac:dyDescent="0.2">
      <c r="A39" t="s">
        <v>777</v>
      </c>
      <c r="B39" s="177">
        <f>430645.29+183182.49</f>
        <v>613827.78</v>
      </c>
      <c r="C39" s="177">
        <f>105514.16+45730</f>
        <v>151244.16</v>
      </c>
    </row>
    <row r="40" spans="1:3" x14ac:dyDescent="0.2">
      <c r="A40" t="str">
        <f>IF(B36=B40,IF(C36=C40,"Check Total OK","Check Total Error"),"Check Total Error")</f>
        <v>Check Total OK</v>
      </c>
      <c r="B40" s="169">
        <f>SUM(B37:B39)</f>
        <v>613827.78</v>
      </c>
      <c r="C40" s="169">
        <f>SUM(C37:C39)</f>
        <v>151244.16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L47" sqref="L4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Conway</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20573083.640000001</v>
      </c>
      <c r="D5" s="19">
        <f>SUM('DOE25'!L198:L201)+SUM('DOE25'!L216:L219)+SUM('DOE25'!L234:L237)-F5-G5-H5</f>
        <v>20186507.349999998</v>
      </c>
      <c r="E5" s="180"/>
      <c r="F5" s="181"/>
      <c r="G5" s="19">
        <f>SUM('DOE25'!J198:J201)+SUM('DOE25'!J216:J219)+SUM('DOE25'!J234:J237)</f>
        <v>371346.35</v>
      </c>
      <c r="H5" s="19">
        <f>SUM('DOE25'!K198:K201)+SUM('DOE25'!K216:K219)+SUM('DOE25'!K234:K237)</f>
        <v>15229.94</v>
      </c>
      <c r="I5" s="192"/>
    </row>
    <row r="6" spans="1:9" x14ac:dyDescent="0.2">
      <c r="A6" s="31">
        <v>2100</v>
      </c>
      <c r="B6" t="s">
        <v>796</v>
      </c>
      <c r="C6" s="206">
        <f t="shared" si="0"/>
        <v>2737267.81</v>
      </c>
      <c r="D6" s="19">
        <f>'DOE25'!L203+'DOE25'!L221+'DOE25'!L239-F6-G6-H6</f>
        <v>2572215.96</v>
      </c>
      <c r="E6" s="180"/>
      <c r="F6" s="181">
        <v>156159.75</v>
      </c>
      <c r="G6" s="19">
        <f>'DOE25'!J203+'DOE25'!J221+'DOE25'!J239</f>
        <v>7361.6</v>
      </c>
      <c r="H6" s="19">
        <f>'DOE25'!K203+'DOE25'!K221+'DOE25'!K239</f>
        <v>1530.5</v>
      </c>
      <c r="I6" s="192"/>
    </row>
    <row r="7" spans="1:9" x14ac:dyDescent="0.2">
      <c r="A7" s="31">
        <v>2200</v>
      </c>
      <c r="B7" t="s">
        <v>820</v>
      </c>
      <c r="C7" s="206">
        <f t="shared" si="0"/>
        <v>614146.97</v>
      </c>
      <c r="D7" s="19">
        <f>'DOE25'!L204+'DOE25'!L222+'DOE25'!L240-F7-G7-H7</f>
        <v>607972.63</v>
      </c>
      <c r="E7" s="180"/>
      <c r="F7" s="181"/>
      <c r="G7" s="19">
        <f>'DOE25'!J204+'DOE25'!J222+'DOE25'!J240</f>
        <v>4852.34</v>
      </c>
      <c r="H7" s="19">
        <f>'DOE25'!K204+'DOE25'!K222+'DOE25'!K240</f>
        <v>1322</v>
      </c>
      <c r="I7" s="192"/>
    </row>
    <row r="8" spans="1:9" x14ac:dyDescent="0.2">
      <c r="A8" s="31">
        <v>2300</v>
      </c>
      <c r="B8" t="s">
        <v>797</v>
      </c>
      <c r="C8" s="206">
        <f t="shared" si="0"/>
        <v>1312896</v>
      </c>
      <c r="D8" s="180"/>
      <c r="E8" s="19">
        <f>'DOE25'!L205+'DOE25'!L223+'DOE25'!L241-F8-G8-H8-D9-D11</f>
        <v>1307389.74</v>
      </c>
      <c r="F8" s="181"/>
      <c r="G8" s="19">
        <f>'DOE25'!J205+'DOE25'!J223+'DOE25'!J241</f>
        <v>0</v>
      </c>
      <c r="H8" s="19">
        <f>'DOE25'!K205+'DOE25'!K223+'DOE25'!K241</f>
        <v>5506.26</v>
      </c>
      <c r="I8" s="192"/>
    </row>
    <row r="9" spans="1:9" ht="14.25" x14ac:dyDescent="0.2">
      <c r="A9" s="31">
        <v>2310</v>
      </c>
      <c r="B9" s="71" t="s">
        <v>887</v>
      </c>
      <c r="C9" s="206">
        <f t="shared" si="0"/>
        <v>200828.77</v>
      </c>
      <c r="D9" s="181">
        <v>200828.77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2004138.78</v>
      </c>
      <c r="D12" s="19">
        <f>'DOE25'!L206+'DOE25'!L224+'DOE25'!L242-F12-G12-H12</f>
        <v>1958870.44</v>
      </c>
      <c r="E12" s="180"/>
      <c r="F12" s="181"/>
      <c r="G12" s="19">
        <f>'DOE25'!J206+'DOE25'!J224+'DOE25'!J242</f>
        <v>9147.8100000000013</v>
      </c>
      <c r="H12" s="19">
        <f>'DOE25'!K206+'DOE25'!K224+'DOE25'!K242</f>
        <v>36120.53</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4196781.9799999995</v>
      </c>
      <c r="D14" s="19">
        <f>'DOE25'!L208+'DOE25'!L226+'DOE25'!L244-F14-G14-H14</f>
        <v>3597884.2999999993</v>
      </c>
      <c r="E14" s="180"/>
      <c r="F14" s="181">
        <v>478231.2</v>
      </c>
      <c r="G14" s="19">
        <f>'DOE25'!J208+'DOE25'!J226+'DOE25'!J244</f>
        <v>120666.48</v>
      </c>
      <c r="H14" s="19">
        <f>'DOE25'!K208+'DOE25'!K226+'DOE25'!K244</f>
        <v>0</v>
      </c>
      <c r="I14" s="192"/>
    </row>
    <row r="15" spans="1:9" x14ac:dyDescent="0.2">
      <c r="A15" s="31">
        <v>2700</v>
      </c>
      <c r="B15" t="s">
        <v>799</v>
      </c>
      <c r="C15" s="206">
        <f t="shared" si="0"/>
        <v>1328767.81</v>
      </c>
      <c r="D15" s="19">
        <f>'DOE25'!L209+'DOE25'!L227+'DOE25'!L245-F15-G15-H15</f>
        <v>894329.81</v>
      </c>
      <c r="E15" s="180"/>
      <c r="F15" s="181">
        <v>23760</v>
      </c>
      <c r="G15" s="19">
        <f>'DOE25'!J209+'DOE25'!J227+'DOE25'!J245</f>
        <v>410678</v>
      </c>
      <c r="H15" s="19">
        <f>'DOE25'!K209+'DOE25'!K227+'DOE25'!K245</f>
        <v>0</v>
      </c>
      <c r="I15" s="192"/>
    </row>
    <row r="16" spans="1:9" x14ac:dyDescent="0.2">
      <c r="A16" s="31">
        <v>2800</v>
      </c>
      <c r="B16" t="s">
        <v>800</v>
      </c>
      <c r="C16" s="206">
        <f t="shared" si="0"/>
        <v>3978.82</v>
      </c>
      <c r="D16" s="180"/>
      <c r="E16" s="19">
        <f>'DOE25'!L210+'DOE25'!L228+'DOE25'!L246-F16-G16-H16</f>
        <v>3978.82</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632238.41</v>
      </c>
      <c r="D22" s="180"/>
      <c r="E22" s="180"/>
      <c r="F22" s="180"/>
      <c r="G22" s="19">
        <f>'DOE25'!L256+'DOE25'!L337</f>
        <v>632238.41</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2357595.2599999998</v>
      </c>
      <c r="D25" s="180"/>
      <c r="E25" s="180"/>
      <c r="F25" s="191"/>
      <c r="G25" s="180"/>
      <c r="H25" s="180"/>
      <c r="I25" s="190">
        <f>'DOE25'!L261+'DOE25'!L262+'DOE25'!L342+'DOE25'!L343</f>
        <v>2357595.2599999998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537508.32999999996</v>
      </c>
      <c r="D29" s="212">
        <f>'DOE25'!L359+'DOE25'!L360+'DOE25'!L361-'DOE25'!I368-F29-G29-H29-F39</f>
        <v>537508.32999999996</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2653513.11</v>
      </c>
      <c r="D31" s="19">
        <f>'DOE25'!L291+'DOE25'!L310+'DOE25'!L329+'DOE25'!L334+'DOE25'!L335+'DOE25'!L336-F31-G31-H31</f>
        <v>2259915.17</v>
      </c>
      <c r="E31" s="180"/>
      <c r="F31" s="181">
        <v>70090.14</v>
      </c>
      <c r="G31" s="19">
        <f>'DOE25'!J291+'DOE25'!J310+'DOE25'!J329+'DOE25'!J334+'DOE25'!J335+'DOE25'!J336</f>
        <v>318878.86</v>
      </c>
      <c r="H31" s="19">
        <f>'DOE25'!K291+'DOE25'!K310+'DOE25'!K329+'DOE25'!K334+'DOE25'!K335+'DOE25'!K336</f>
        <v>4628.9399999999996</v>
      </c>
      <c r="I31" s="192"/>
    </row>
    <row r="32" spans="1:9" ht="12" thickBot="1" x14ac:dyDescent="0.25">
      <c r="C32" s="207"/>
      <c r="G32" s="188"/>
      <c r="H32" s="188"/>
      <c r="I32" s="194"/>
    </row>
    <row r="33" spans="1:9" ht="12" thickTop="1" x14ac:dyDescent="0.2">
      <c r="B33" t="s">
        <v>809</v>
      </c>
      <c r="D33" s="182">
        <f t="shared" ref="D33:I33" si="1">SUM(D5:D31)</f>
        <v>32816032.759999998</v>
      </c>
      <c r="E33" s="182">
        <f t="shared" si="1"/>
        <v>1311368.56</v>
      </c>
      <c r="F33" s="182">
        <f t="shared" si="1"/>
        <v>728241.09</v>
      </c>
      <c r="G33" s="182">
        <f t="shared" si="1"/>
        <v>1875169.85</v>
      </c>
      <c r="H33" s="182">
        <f t="shared" si="1"/>
        <v>64338.170000000006</v>
      </c>
      <c r="I33" s="182">
        <f t="shared" si="1"/>
        <v>2357595.2599999998</v>
      </c>
    </row>
    <row r="34" spans="1:9" ht="12" thickBot="1" x14ac:dyDescent="0.25"/>
    <row r="35" spans="1:9" ht="12" thickBot="1" x14ac:dyDescent="0.25">
      <c r="B35" s="188" t="s">
        <v>830</v>
      </c>
      <c r="D35" s="189">
        <f>E33</f>
        <v>1311368.56</v>
      </c>
      <c r="E35" s="185"/>
      <c r="F35" s="295" t="s">
        <v>1608</v>
      </c>
      <c r="G35" s="296"/>
      <c r="H35" s="296"/>
      <c r="I35" s="297"/>
    </row>
    <row r="36" spans="1:9" ht="12" thickTop="1" x14ac:dyDescent="0.2">
      <c r="B36" t="s">
        <v>810</v>
      </c>
      <c r="D36" s="19">
        <f>D33</f>
        <v>32816032.759999998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252489</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0" zoomScale="80" zoomScaleNormal="8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Conway</v>
      </c>
      <c r="B2">
        <f>'DOE25'!B2</f>
        <v>113</v>
      </c>
      <c r="J2" s="224" t="s">
        <v>1808</v>
      </c>
      <c r="K2" s="309">
        <f>SUM('DOE25'!L198:L201)+SUM('DOE25'!L216:L219)+SUM('DOE25'!L234:L237)+SUM('DOE25'!L277:L280)+SUM('DOE25'!L296:L299)+SUM('DOE25'!L315:L318)</f>
        <v>22101285.690000001</v>
      </c>
      <c r="L2" s="309">
        <f>'DOE25'!L203+'DOE25'!L221+'DOE25'!L239+'DOE25'!L282+'DOE25'!L301+'DOE25'!L320</f>
        <v>3115296.4699999997</v>
      </c>
      <c r="M2" s="309">
        <f>'DOE25'!L204+'DOE25'!L222+'DOE25'!L240+'DOE25'!L283+'DOE25'!L302+'DOE25'!L321</f>
        <v>1089098.8199999998</v>
      </c>
      <c r="N2" s="309">
        <f>'DOE25'!L206+'DOE25'!L224+'DOE25'!L242+'DOE25'!L285+'DOE25'!L304+'DOE25'!L323</f>
        <v>2008608.2</v>
      </c>
      <c r="O2" s="309">
        <f>'Salaries-Benefits'!B10+'Salaries-Benefits'!B12+'Salaries-Benefits'!B19+'Salaries-Benefits'!B21+'Salaries-Benefits'!B28+'Salaries-Benefits'!B30+'Salaries-Benefits'!B37+'Salaries-Benefits'!B39</f>
        <v>10422062.109999999</v>
      </c>
      <c r="P2" s="309">
        <f>'Salaries-Benefits'!B11+'Salaries-Benefits'!B20+'Salaries-Benefits'!B29+'Salaries-Benefits'!B38</f>
        <v>1068360.51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-22101285.690000001</v>
      </c>
      <c r="L3" s="311">
        <f t="shared" ref="L3:P3" si="0">L21+L33+L43-L2</f>
        <v>-3115296.4699999997</v>
      </c>
      <c r="M3" s="311">
        <f t="shared" si="0"/>
        <v>-1089098.8199999998</v>
      </c>
      <c r="N3" s="311">
        <f t="shared" si="0"/>
        <v>-2008608.2</v>
      </c>
      <c r="O3" s="311">
        <f t="shared" si="0"/>
        <v>-10422062.109999999</v>
      </c>
      <c r="P3" s="311">
        <f t="shared" si="0"/>
        <v>-1068360.51</v>
      </c>
      <c r="Q3" s="310"/>
      <c r="R3" s="306"/>
      <c r="S3" s="215"/>
      <c r="T3" s="215"/>
      <c r="U3" s="216"/>
    </row>
    <row r="4" spans="1:21" ht="55.5" customHeight="1" thickBot="1" x14ac:dyDescent="0.25">
      <c r="A4" s="224" t="s">
        <v>1522</v>
      </c>
      <c r="B4" s="224" t="s">
        <v>1523</v>
      </c>
      <c r="C4" s="224" t="s">
        <v>896</v>
      </c>
      <c r="D4" s="224" t="s">
        <v>786</v>
      </c>
      <c r="E4" s="224" t="s">
        <v>786</v>
      </c>
      <c r="F4" s="228">
        <f>SUM(F5:F20)</f>
        <v>14908399.59</v>
      </c>
      <c r="G4" s="229">
        <f>'DOE25'!L212+'DOE25'!L291</f>
        <v>14908399.590000004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Conway Elementary School</v>
      </c>
      <c r="B6" s="230">
        <f>IFERROR(VLOOKUP(A6,'School Tables'!$C$3:$D$365,2,FALSE),"")</f>
        <v>20340</v>
      </c>
      <c r="C6" s="223" t="str">
        <f>IFERROR(INDEX('School Tables'!$B$3:$B$365,MATCH('School Level Expenditures'!B6,'School Tables'!$D$3:$D$365,0)),"")</f>
        <v>Conway</v>
      </c>
      <c r="D6" s="220">
        <v>4307445.72</v>
      </c>
      <c r="E6" s="220">
        <v>584883.98</v>
      </c>
      <c r="F6" s="232">
        <f t="shared" ref="F6:F20" si="1">D6+E6</f>
        <v>4892329.6999999993</v>
      </c>
      <c r="G6" s="223"/>
      <c r="H6" s="223"/>
      <c r="J6" t="str">
        <f>A6</f>
        <v>Conway Elementary School</v>
      </c>
      <c r="K6" s="20"/>
      <c r="L6" s="20"/>
      <c r="M6" s="308"/>
      <c r="N6" s="20"/>
      <c r="O6" s="20"/>
      <c r="P6" s="20"/>
      <c r="Q6" s="20"/>
    </row>
    <row r="7" spans="1:21" x14ac:dyDescent="0.2">
      <c r="A7" t="str" cm="1">
        <f t="array" ref="A7">IFERROR(INDEX('School Tables'!$A$4:$G$325,'School Tables'!$J5,3),"")</f>
        <v>John H. Fuller School</v>
      </c>
      <c r="B7" s="230">
        <f>IFERROR(VLOOKUP(A7,'School Tables'!$C$3:$D$365,2,FALSE),"")</f>
        <v>20335</v>
      </c>
      <c r="C7" s="223" t="str">
        <f>IFERROR(INDEX('School Tables'!$B$3:$B$365,MATCH('School Level Expenditures'!B7,'School Tables'!$D$3:$D$365,0)),"")</f>
        <v>Conway</v>
      </c>
      <c r="D7" s="220">
        <v>4222776.49</v>
      </c>
      <c r="E7" s="220">
        <v>415240.22</v>
      </c>
      <c r="F7" s="232">
        <f t="shared" si="1"/>
        <v>4638016.71</v>
      </c>
      <c r="G7" s="223"/>
      <c r="H7" s="223"/>
      <c r="J7" t="str">
        <f t="shared" ref="J7:J20" si="2">A7</f>
        <v>John H. Fuller School</v>
      </c>
      <c r="K7" s="20"/>
      <c r="L7" s="20"/>
      <c r="M7" s="308"/>
      <c r="N7" s="20"/>
      <c r="O7" s="20"/>
      <c r="P7" s="20"/>
      <c r="Q7" s="20"/>
    </row>
    <row r="8" spans="1:21" x14ac:dyDescent="0.2">
      <c r="A8" t="str" cm="1">
        <f t="array" ref="A8">IFERROR(INDEX('School Tables'!$A$4:$G$325,'School Tables'!$J6,3),"")</f>
        <v>Pine Tree Elementary School</v>
      </c>
      <c r="B8" s="230">
        <f>IFERROR(VLOOKUP(A8,'School Tables'!$C$3:$D$365,2,FALSE),"")</f>
        <v>20330</v>
      </c>
      <c r="C8" s="223" t="str">
        <f>IFERROR(INDEX('School Tables'!$B$3:$B$365,MATCH('School Level Expenditures'!B8,'School Tables'!$D$3:$D$365,0)),"")</f>
        <v>Conway</v>
      </c>
      <c r="D8" s="220">
        <v>4830392.6100000003</v>
      </c>
      <c r="E8" s="220">
        <v>547660.56999999995</v>
      </c>
      <c r="F8" s="232">
        <f t="shared" si="1"/>
        <v>5378053.1800000006</v>
      </c>
      <c r="G8" s="223"/>
      <c r="H8" s="223"/>
      <c r="J8" t="str">
        <f t="shared" si="2"/>
        <v>Pine Tree Elementary School</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13360614.82</v>
      </c>
      <c r="E21" s="262">
        <f>SUM(E5:E20)</f>
        <v>1547784.77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5699478.7200000007</v>
      </c>
      <c r="G24" s="229">
        <f>'DOE25'!L230+'DOE25'!L310</f>
        <v>5699478.7200000007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A. Crosby Kennett Middle School</v>
      </c>
      <c r="B26" s="230">
        <f>IFERROR(VLOOKUP(A26,'School Tables'!$N$4:$O$75,2,FALSE),"")</f>
        <v>27010</v>
      </c>
      <c r="C26" s="223" t="str">
        <f>IFERROR(INDEX('School Tables'!$M$4:$M$75,MATCH('School Level Expenditures'!A26,'School Tables'!$N$4:$N$75,0)),"")</f>
        <v>Conway</v>
      </c>
      <c r="D26" s="220">
        <v>5511618.2800000003</v>
      </c>
      <c r="E26" s="220">
        <v>187860.44</v>
      </c>
      <c r="F26" s="232">
        <f t="shared" ref="F26:F32" si="4">D26+E26</f>
        <v>5699478.7200000007</v>
      </c>
      <c r="G26" s="223"/>
      <c r="H26" s="223"/>
      <c r="J26" t="str">
        <f t="shared" ref="J26:J32" si="5">A26</f>
        <v>A. Crosby Kennett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5511618.2800000003</v>
      </c>
      <c r="E33" s="262">
        <f>SUM(E25:E32)</f>
        <v>187860.44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15017525.380000001</v>
      </c>
      <c r="G36" s="229">
        <f>'DOE25'!L248+'DOE25'!L329</f>
        <v>15017525.379999999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Kennett High School</v>
      </c>
      <c r="B38" s="230">
        <f>IFERROR(VLOOKUP(A38,'School Tables'!$Y$4:$Z$100,2,FALSE),"")</f>
        <v>20345</v>
      </c>
      <c r="C38" s="223" t="str">
        <f>IFERROR(INDEX('School Tables'!$X$4:$X$100,MATCH('School Level Expenditures'!A38,'School Tables'!$Y$4:$Y$100,0)),"")</f>
        <v>Conway</v>
      </c>
      <c r="D38" s="220">
        <v>14099657.48</v>
      </c>
      <c r="E38" s="220">
        <v>917867.9</v>
      </c>
      <c r="F38" s="232">
        <f t="shared" si="7"/>
        <v>15017525.380000001</v>
      </c>
      <c r="G38" s="223"/>
      <c r="H38" s="223"/>
      <c r="J38" t="str">
        <f t="shared" ref="J38:J42" si="8">A38</f>
        <v>Kennett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14099657.48</v>
      </c>
      <c r="E43" s="263">
        <f>SUM(E37:E42)</f>
        <v>917867.9</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Conway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2758685.54</v>
      </c>
      <c r="D8" s="73">
        <f>'DOE25'!G9</f>
        <v>659433.61</v>
      </c>
      <c r="E8" s="73">
        <f>'DOE25'!H9</f>
        <v>0</v>
      </c>
      <c r="F8" s="73">
        <f>'DOE25'!I9</f>
        <v>0</v>
      </c>
      <c r="G8" s="73">
        <f>'DOE25'!J9</f>
        <v>2441309.96</v>
      </c>
      <c r="H8" s="13">
        <f>SUM(C8:G8)</f>
        <v>5859429.1099999994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10501331.98</v>
      </c>
      <c r="D11" s="73">
        <f>'DOE25'!G12</f>
        <v>1743493.5</v>
      </c>
      <c r="E11" s="73">
        <f>'DOE25'!H12</f>
        <v>7412473.1799999997</v>
      </c>
      <c r="F11" s="73">
        <f>'DOE25'!I12</f>
        <v>0</v>
      </c>
      <c r="G11" s="73">
        <f>'DOE25'!J12</f>
        <v>0</v>
      </c>
      <c r="H11" s="13">
        <f t="shared" si="0"/>
        <v>19657298.66</v>
      </c>
      <c r="I11" s="90"/>
    </row>
    <row r="12" spans="1:9" x14ac:dyDescent="0.2">
      <c r="A12" s="1" t="s">
        <v>143</v>
      </c>
      <c r="B12" s="6">
        <v>140</v>
      </c>
      <c r="C12" s="73">
        <f>'DOE25'!F13</f>
        <v>121656.04</v>
      </c>
      <c r="D12" s="73">
        <f>'DOE25'!G13</f>
        <v>69621.22</v>
      </c>
      <c r="E12" s="73">
        <f>'DOE25'!H13</f>
        <v>387091.15</v>
      </c>
      <c r="F12" s="73">
        <f>'DOE25'!I13</f>
        <v>0</v>
      </c>
      <c r="G12" s="73">
        <f>'DOE25'!J13</f>
        <v>0</v>
      </c>
      <c r="H12" s="13">
        <f t="shared" si="0"/>
        <v>578368.41</v>
      </c>
      <c r="I12" s="90"/>
    </row>
    <row r="13" spans="1:9" x14ac:dyDescent="0.2">
      <c r="A13" s="1" t="s">
        <v>144</v>
      </c>
      <c r="B13" s="6">
        <v>150</v>
      </c>
      <c r="C13" s="73">
        <f>'DOE25'!F14</f>
        <v>444932.09</v>
      </c>
      <c r="D13" s="73">
        <f>'DOE25'!G14</f>
        <v>0</v>
      </c>
      <c r="E13" s="73">
        <f>'DOE25'!H14</f>
        <v>643.39</v>
      </c>
      <c r="F13" s="73">
        <f>'DOE25'!I14</f>
        <v>0</v>
      </c>
      <c r="G13" s="73">
        <f>'DOE25'!J14</f>
        <v>0</v>
      </c>
      <c r="H13" s="13">
        <f t="shared" si="0"/>
        <v>445575.48000000004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51953.22</v>
      </c>
      <c r="E15" s="73">
        <f>'DOE25'!H16</f>
        <v>0</v>
      </c>
      <c r="F15" s="73">
        <f>'DOE25'!I16</f>
        <v>0</v>
      </c>
      <c r="G15" s="23" t="s">
        <v>288</v>
      </c>
      <c r="H15" s="13">
        <f t="shared" si="0"/>
        <v>51953.22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13826605.649999999</v>
      </c>
      <c r="D18" s="38">
        <f>SUM(D8:D17)</f>
        <v>2524501.5500000003</v>
      </c>
      <c r="E18" s="38">
        <f>SUM(E8:E17)</f>
        <v>7800207.7199999997</v>
      </c>
      <c r="F18" s="38">
        <f>SUM(F8:F17)</f>
        <v>0</v>
      </c>
      <c r="G18" s="38">
        <f>SUM(G8:G17)</f>
        <v>2441309.96</v>
      </c>
      <c r="H18" s="38">
        <f t="shared" si="0"/>
        <v>26592624.879999999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10014525.300000001</v>
      </c>
      <c r="D21" s="73">
        <f>'DOE25'!G22</f>
        <v>2471895.16</v>
      </c>
      <c r="E21" s="73">
        <f>'DOE25'!H22</f>
        <v>7170930.7199999997</v>
      </c>
      <c r="F21" s="73">
        <f>'DOE25'!I22</f>
        <v>0</v>
      </c>
      <c r="G21" s="73">
        <f>'DOE25'!J22</f>
        <v>0</v>
      </c>
      <c r="H21" s="13">
        <f t="shared" ref="H21:H31" si="1">SUM(C21:G21)</f>
        <v>19657351.18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296610.13</v>
      </c>
      <c r="D23" s="73">
        <f>'DOE25'!G24</f>
        <v>648.41999999999996</v>
      </c>
      <c r="E23" s="73">
        <f>'DOE25'!H24</f>
        <v>126837.25</v>
      </c>
      <c r="F23" s="73">
        <f>'DOE25'!I24</f>
        <v>0</v>
      </c>
      <c r="G23" s="73">
        <f>'DOE25'!J24</f>
        <v>0</v>
      </c>
      <c r="H23" s="13">
        <f t="shared" si="1"/>
        <v>424095.8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34870.14</v>
      </c>
      <c r="D27" s="73">
        <f>'DOE25'!G28</f>
        <v>0</v>
      </c>
      <c r="E27" s="73">
        <f>'DOE25'!H28</f>
        <v>0</v>
      </c>
      <c r="F27" s="73">
        <f>'DOE25'!I28</f>
        <v>0</v>
      </c>
      <c r="G27" s="23" t="s">
        <v>288</v>
      </c>
      <c r="H27" s="13">
        <f t="shared" si="1"/>
        <v>34870.14</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758.98</v>
      </c>
      <c r="D29" s="73">
        <f>'DOE25'!G30</f>
        <v>0</v>
      </c>
      <c r="E29" s="73">
        <f>'DOE25'!H30</f>
        <v>0</v>
      </c>
      <c r="F29" s="73">
        <f>'DOE25'!I30</f>
        <v>0</v>
      </c>
      <c r="G29" s="23" t="s">
        <v>288</v>
      </c>
      <c r="H29" s="13">
        <f t="shared" si="1"/>
        <v>758.98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10346764.550000003</v>
      </c>
      <c r="D31" s="38">
        <f>SUM(D21:D30)</f>
        <v>2472543.58</v>
      </c>
      <c r="E31" s="38">
        <f>SUM(E21:E30)</f>
        <v>7297767.9699999997</v>
      </c>
      <c r="F31" s="38">
        <f>SUM(F21:F30)</f>
        <v>0</v>
      </c>
      <c r="G31" s="38">
        <f>SUM(G21:G30)</f>
        <v>0</v>
      </c>
      <c r="H31" s="38">
        <f t="shared" si="1"/>
        <v>20117076.100000001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51957.97</v>
      </c>
      <c r="E34" s="73">
        <f>'DOE25'!H35</f>
        <v>0</v>
      </c>
      <c r="F34" s="73">
        <f>'DOE25'!I35</f>
        <v>0</v>
      </c>
      <c r="G34" s="23" t="s">
        <v>288</v>
      </c>
      <c r="H34" s="13">
        <f t="shared" ref="H34:H51" si="2">SUM(C34:G34)</f>
        <v>51957.97</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502439.75</v>
      </c>
      <c r="F47" s="73">
        <f>'DOE25'!I48</f>
        <v>0</v>
      </c>
      <c r="G47" s="73">
        <f>'DOE25'!J48</f>
        <v>2441309.96</v>
      </c>
      <c r="H47" s="13">
        <f t="shared" si="2"/>
        <v>2943749.71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3479841.1</v>
      </c>
      <c r="D49" s="23" t="s">
        <v>288</v>
      </c>
      <c r="E49" s="23" t="s">
        <v>288</v>
      </c>
      <c r="F49" s="23" t="s">
        <v>288</v>
      </c>
      <c r="G49" s="23" t="s">
        <v>288</v>
      </c>
      <c r="H49" s="13">
        <f t="shared" si="2"/>
        <v>3479841.1</v>
      </c>
      <c r="I49" s="90"/>
    </row>
    <row r="50" spans="1:9" ht="12.75" thickTop="1" thickBot="1" x14ac:dyDescent="0.25">
      <c r="A50" s="35" t="s">
        <v>883</v>
      </c>
      <c r="B50" s="44"/>
      <c r="C50" s="38">
        <f>SUM(C34:C49)</f>
        <v>3479841.1</v>
      </c>
      <c r="D50" s="38">
        <f>SUM(D34:D49)</f>
        <v>51957.97</v>
      </c>
      <c r="E50" s="38">
        <f>SUM(E34:E49)</f>
        <v>502439.75</v>
      </c>
      <c r="F50" s="38">
        <f>SUM(F34:F49)</f>
        <v>0</v>
      </c>
      <c r="G50" s="38">
        <f>SUM(G34:G49)</f>
        <v>2441309.96</v>
      </c>
      <c r="H50" s="38">
        <f t="shared" si="2"/>
        <v>6475548.7800000003</v>
      </c>
      <c r="I50" s="90"/>
    </row>
    <row r="51" spans="1:9" ht="12" thickTop="1" x14ac:dyDescent="0.2">
      <c r="A51" s="35" t="s">
        <v>884</v>
      </c>
      <c r="B51" s="2"/>
      <c r="C51" s="38">
        <f>C50+C31</f>
        <v>13826605.650000002</v>
      </c>
      <c r="D51" s="38">
        <f>D50+D31</f>
        <v>2524501.5500000003</v>
      </c>
      <c r="E51" s="38">
        <f>E50+E31</f>
        <v>7800207.7199999997</v>
      </c>
      <c r="F51" s="38">
        <f>F50+F31</f>
        <v>0</v>
      </c>
      <c r="G51" s="38">
        <f>G50+G31</f>
        <v>2441309.96</v>
      </c>
      <c r="H51" s="38">
        <f t="shared" si="2"/>
        <v>26592624.880000003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16195827</v>
      </c>
      <c r="D56" s="73">
        <f>'DOE25'!G60</f>
        <v>0</v>
      </c>
      <c r="E56" s="73">
        <f>'DOE25'!H60</f>
        <v>0</v>
      </c>
      <c r="F56" s="73">
        <f>'DOE25'!I60</f>
        <v>0</v>
      </c>
      <c r="G56" s="73">
        <f>'DOE25'!J60</f>
        <v>0</v>
      </c>
      <c r="H56" s="13">
        <f t="shared" ref="H56:H63" si="3">SUM(C56:G56)</f>
        <v>16195827</v>
      </c>
      <c r="I56"/>
    </row>
    <row r="57" spans="1:9" x14ac:dyDescent="0.2">
      <c r="A57" s="1" t="s">
        <v>164</v>
      </c>
      <c r="B57" s="6" t="s">
        <v>165</v>
      </c>
      <c r="C57" s="73">
        <f>'DOE25'!F79</f>
        <v>10264096</v>
      </c>
      <c r="D57" s="23" t="s">
        <v>288</v>
      </c>
      <c r="E57" s="73">
        <f>'DOE25'!H79</f>
        <v>0</v>
      </c>
      <c r="F57" s="23" t="s">
        <v>288</v>
      </c>
      <c r="G57" s="23" t="s">
        <v>288</v>
      </c>
      <c r="H57" s="13">
        <f t="shared" si="3"/>
        <v>10264096</v>
      </c>
      <c r="I57"/>
    </row>
    <row r="58" spans="1:9" x14ac:dyDescent="0.2">
      <c r="A58" s="1" t="s">
        <v>166</v>
      </c>
      <c r="B58" s="6" t="s">
        <v>167</v>
      </c>
      <c r="C58" s="73">
        <f>'DOE25'!F94</f>
        <v>23430.04</v>
      </c>
      <c r="D58" s="23" t="s">
        <v>288</v>
      </c>
      <c r="E58" s="73">
        <f>'DOE25'!H94</f>
        <v>0</v>
      </c>
      <c r="F58" s="23" t="s">
        <v>288</v>
      </c>
      <c r="G58" s="23" t="s">
        <v>288</v>
      </c>
      <c r="H58" s="13">
        <f t="shared" si="3"/>
        <v>23430.04</v>
      </c>
      <c r="I58"/>
    </row>
    <row r="59" spans="1:9" x14ac:dyDescent="0.2">
      <c r="A59" s="1" t="s">
        <v>168</v>
      </c>
      <c r="B59" s="6" t="s">
        <v>169</v>
      </c>
      <c r="C59" s="73">
        <f>'DOE25'!F96</f>
        <v>101626.43</v>
      </c>
      <c r="D59" s="73">
        <f>'DOE25'!G96</f>
        <v>1133.01</v>
      </c>
      <c r="E59" s="73">
        <f>'DOE25'!H96</f>
        <v>0</v>
      </c>
      <c r="F59" s="73">
        <f>'DOE25'!I96</f>
        <v>0</v>
      </c>
      <c r="G59" s="73">
        <f>'DOE25'!J96</f>
        <v>49166.69</v>
      </c>
      <c r="H59" s="13">
        <f t="shared" si="3"/>
        <v>151926.13</v>
      </c>
      <c r="I59"/>
    </row>
    <row r="60" spans="1:9" x14ac:dyDescent="0.2">
      <c r="A60" s="1" t="s">
        <v>170</v>
      </c>
      <c r="B60" s="22" t="s">
        <v>171</v>
      </c>
      <c r="C60" s="23" t="s">
        <v>288</v>
      </c>
      <c r="D60" s="73">
        <f>'DOE25'!G97</f>
        <v>300010.32</v>
      </c>
      <c r="E60" s="23" t="s">
        <v>288</v>
      </c>
      <c r="F60" s="23" t="s">
        <v>288</v>
      </c>
      <c r="G60" s="23" t="s">
        <v>288</v>
      </c>
      <c r="H60" s="13">
        <f t="shared" si="3"/>
        <v>300010.32</v>
      </c>
      <c r="I60"/>
    </row>
    <row r="61" spans="1:9" ht="12" thickBot="1" x14ac:dyDescent="0.25">
      <c r="A61" s="1" t="s">
        <v>172</v>
      </c>
      <c r="B61" s="22" t="s">
        <v>173</v>
      </c>
      <c r="C61" s="73">
        <f>SUM('DOE25'!F98:F110)</f>
        <v>584995.46</v>
      </c>
      <c r="D61" s="73">
        <f>SUM('DOE25'!G98:G110)</f>
        <v>0</v>
      </c>
      <c r="E61" s="73">
        <f>SUM('DOE25'!H98:H110)</f>
        <v>153282.29</v>
      </c>
      <c r="F61" s="73">
        <f>SUM('DOE25'!I98:I110)</f>
        <v>0</v>
      </c>
      <c r="G61" s="73">
        <f>SUM('DOE25'!J98:J110)</f>
        <v>0</v>
      </c>
      <c r="H61" s="13">
        <f t="shared" si="3"/>
        <v>738277.75</v>
      </c>
      <c r="I61"/>
    </row>
    <row r="62" spans="1:9" ht="12.75" thickTop="1" thickBot="1" x14ac:dyDescent="0.25">
      <c r="A62" s="28" t="s">
        <v>174</v>
      </c>
      <c r="B62" s="6"/>
      <c r="C62" s="93">
        <f>SUM(C57:C61)</f>
        <v>10974147.93</v>
      </c>
      <c r="D62" s="93">
        <f>SUM(D57:D61)</f>
        <v>301143.33</v>
      </c>
      <c r="E62" s="93">
        <f>SUM(E57:E61)</f>
        <v>153282.29</v>
      </c>
      <c r="F62" s="93">
        <f>SUM(F57:F61)</f>
        <v>0</v>
      </c>
      <c r="G62" s="93">
        <f>SUM(G57:G61)</f>
        <v>49166.69</v>
      </c>
      <c r="H62" s="13">
        <f t="shared" si="3"/>
        <v>11477740.239999998</v>
      </c>
      <c r="I62"/>
    </row>
    <row r="63" spans="1:9" ht="12" thickTop="1" x14ac:dyDescent="0.2">
      <c r="A63" s="28" t="s">
        <v>175</v>
      </c>
      <c r="B63" s="6"/>
      <c r="C63" s="21">
        <f>C56+C62</f>
        <v>27169974.93</v>
      </c>
      <c r="D63" s="21">
        <f>D56+D62</f>
        <v>301143.33</v>
      </c>
      <c r="E63" s="21">
        <f>E56+E62</f>
        <v>153282.29</v>
      </c>
      <c r="F63" s="21">
        <f>F56+F62</f>
        <v>0</v>
      </c>
      <c r="G63" s="21">
        <f>G56+G62</f>
        <v>49166.69</v>
      </c>
      <c r="H63" s="13">
        <f t="shared" si="3"/>
        <v>27673567.239999998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3740927.99</v>
      </c>
      <c r="D66" s="23" t="s">
        <v>288</v>
      </c>
      <c r="E66" s="23" t="s">
        <v>288</v>
      </c>
      <c r="F66" s="23" t="s">
        <v>288</v>
      </c>
      <c r="G66" s="23" t="s">
        <v>288</v>
      </c>
      <c r="H66" s="13">
        <f t="shared" ref="H66:H81" si="4">SUM(C66:G66)</f>
        <v>3740927.99</v>
      </c>
      <c r="I66"/>
    </row>
    <row r="67" spans="1:9" x14ac:dyDescent="0.2">
      <c r="A67" s="1" t="s">
        <v>770</v>
      </c>
      <c r="B67" s="6">
        <v>3112</v>
      </c>
      <c r="C67" s="73">
        <f>'DOE25'!F118</f>
        <v>2505537</v>
      </c>
      <c r="D67" s="23"/>
      <c r="E67" s="23"/>
      <c r="F67" s="23"/>
      <c r="G67" s="23"/>
      <c r="H67" s="13">
        <f t="shared" si="4"/>
        <v>2505537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173524.26</v>
      </c>
      <c r="D69" s="73">
        <f>'DOE25'!G120</f>
        <v>0</v>
      </c>
      <c r="E69" s="73">
        <f>'DOE25'!H120</f>
        <v>0</v>
      </c>
      <c r="F69" s="73">
        <f>'DOE25'!I120</f>
        <v>0</v>
      </c>
      <c r="G69" s="73">
        <f>'DOE25'!J120</f>
        <v>0</v>
      </c>
      <c r="H69" s="13">
        <f t="shared" si="4"/>
        <v>173524.26</v>
      </c>
      <c r="I69"/>
    </row>
    <row r="70" spans="1:9" ht="12" thickTop="1" x14ac:dyDescent="0.2">
      <c r="A70" s="28" t="s">
        <v>252</v>
      </c>
      <c r="B70" s="2"/>
      <c r="C70" s="97">
        <f>SUM(C66:C69)</f>
        <v>6419989.25</v>
      </c>
      <c r="D70" s="97">
        <f>D69</f>
        <v>0</v>
      </c>
      <c r="E70" s="97">
        <f>E69</f>
        <v>0</v>
      </c>
      <c r="F70" s="97">
        <f>F69</f>
        <v>0</v>
      </c>
      <c r="G70" s="97">
        <f>G69</f>
        <v>0</v>
      </c>
      <c r="H70" s="13">
        <f t="shared" si="4"/>
        <v>6419989.25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1059831.67</v>
      </c>
      <c r="D72" s="23" t="s">
        <v>288</v>
      </c>
      <c r="E72" s="23" t="s">
        <v>288</v>
      </c>
      <c r="F72" s="73">
        <f>'DOE25'!I123</f>
        <v>0</v>
      </c>
      <c r="G72" s="23" t="s">
        <v>288</v>
      </c>
      <c r="H72" s="13">
        <f t="shared" si="4"/>
        <v>1059831.67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6132.97</v>
      </c>
      <c r="F76" s="73">
        <f>SUM('DOE25'!I127:I130)</f>
        <v>0</v>
      </c>
      <c r="G76" s="23" t="s">
        <v>288</v>
      </c>
      <c r="H76" s="13">
        <f t="shared" si="4"/>
        <v>6132.97</v>
      </c>
      <c r="I76"/>
    </row>
    <row r="77" spans="1:9" ht="12" thickBot="1" x14ac:dyDescent="0.25">
      <c r="A77" s="1" t="s">
        <v>258</v>
      </c>
      <c r="B77" s="6" t="s">
        <v>180</v>
      </c>
      <c r="C77" s="73">
        <f>SUM('DOE25'!F131:F135)</f>
        <v>0</v>
      </c>
      <c r="D77" s="73">
        <f>SUM('DOE25'!G131:G135)</f>
        <v>7402.72</v>
      </c>
      <c r="E77" s="73">
        <f>SUM('DOE25'!H131:H135)</f>
        <v>0</v>
      </c>
      <c r="F77" s="73">
        <f>SUM('DOE25'!I131:I135)</f>
        <v>0</v>
      </c>
      <c r="G77" s="73">
        <f>SUM('DOE25'!J131:J135)</f>
        <v>0</v>
      </c>
      <c r="H77" s="13">
        <f t="shared" si="4"/>
        <v>7402.72</v>
      </c>
      <c r="I77"/>
    </row>
    <row r="78" spans="1:9" ht="12.75" thickTop="1" thickBot="1" x14ac:dyDescent="0.25">
      <c r="A78" s="28" t="s">
        <v>259</v>
      </c>
      <c r="B78" s="6"/>
      <c r="C78" s="93">
        <f>SUM(C72:C77)</f>
        <v>1059831.67</v>
      </c>
      <c r="D78" s="93">
        <f>SUM(D72:D77)</f>
        <v>7402.72</v>
      </c>
      <c r="E78" s="93">
        <f>SUM(E72:E77)</f>
        <v>6132.97</v>
      </c>
      <c r="F78" s="93">
        <f>SUM(F72:F77)</f>
        <v>0</v>
      </c>
      <c r="G78" s="93">
        <f>SUM(G72:G77)</f>
        <v>0</v>
      </c>
      <c r="H78" s="13">
        <f t="shared" si="4"/>
        <v>1073367.3599999999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7479820.9199999999</v>
      </c>
      <c r="D81" s="93">
        <f>SUM(D79:D80)+D78+D70</f>
        <v>7402.72</v>
      </c>
      <c r="E81" s="93">
        <f>SUM(E79:E80)+E78+E70</f>
        <v>6132.97</v>
      </c>
      <c r="F81" s="93">
        <f>SUM(F79:F80)+F78+F70</f>
        <v>0</v>
      </c>
      <c r="G81" s="93">
        <f>SUM(G79:G80)+G78+G70</f>
        <v>0</v>
      </c>
      <c r="H81" s="93">
        <f t="shared" si="4"/>
        <v>7493356.6099999994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18951.72</v>
      </c>
      <c r="D88" s="253">
        <f>SUM('DOE25'!G153:G162)</f>
        <v>394540.39</v>
      </c>
      <c r="E88" s="253">
        <f>SUM('DOE25'!H153:H162)</f>
        <v>3106971.6</v>
      </c>
      <c r="F88" s="253">
        <f>SUM('DOE25'!I153:I162)</f>
        <v>0</v>
      </c>
      <c r="G88" s="23" t="s">
        <v>288</v>
      </c>
      <c r="H88" s="13">
        <f t="shared" si="5"/>
        <v>3520463.71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772.02</v>
      </c>
      <c r="D90" s="23" t="s">
        <v>288</v>
      </c>
      <c r="E90" s="23" t="s">
        <v>288</v>
      </c>
      <c r="F90" s="23" t="s">
        <v>288</v>
      </c>
      <c r="G90" s="23" t="s">
        <v>288</v>
      </c>
      <c r="H90" s="13">
        <f t="shared" si="5"/>
        <v>772.02</v>
      </c>
    </row>
    <row r="91" spans="1:9" ht="12.75" thickTop="1" thickBot="1" x14ac:dyDescent="0.25">
      <c r="A91" s="32" t="s">
        <v>750</v>
      </c>
      <c r="C91" s="94">
        <f>SUM(C85:C90)</f>
        <v>19723.740000000002</v>
      </c>
      <c r="D91" s="94">
        <f>SUM(D85:D90)</f>
        <v>394540.39</v>
      </c>
      <c r="E91" s="94">
        <f>SUM(E85:E90)</f>
        <v>3106971.6</v>
      </c>
      <c r="F91" s="94">
        <f>SUM(F85:F90)</f>
        <v>0</v>
      </c>
      <c r="G91" s="23" t="s">
        <v>288</v>
      </c>
      <c r="H91" s="13">
        <f t="shared" si="5"/>
        <v>3521235.73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41278.800000000003</v>
      </c>
      <c r="E96" s="73">
        <f>'DOE25'!H180</f>
        <v>0</v>
      </c>
      <c r="F96" s="73">
        <f>'DOE25'!I180</f>
        <v>0</v>
      </c>
      <c r="G96" s="73">
        <f>'DOE25'!J180</f>
        <v>331429</v>
      </c>
      <c r="H96" s="13">
        <f t="shared" si="5"/>
        <v>372707.8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410678</v>
      </c>
      <c r="D99" s="73">
        <f>'DOE25'!G186</f>
        <v>0</v>
      </c>
      <c r="E99" s="73">
        <f>'DOE25'!H186</f>
        <v>0</v>
      </c>
      <c r="F99" s="73">
        <f>'DOE25'!I186</f>
        <v>0</v>
      </c>
      <c r="G99" s="23" t="s">
        <v>288</v>
      </c>
      <c r="H99" s="13">
        <f t="shared" si="5"/>
        <v>410678</v>
      </c>
    </row>
    <row r="100" spans="1:8" x14ac:dyDescent="0.2">
      <c r="A100" t="s">
        <v>757</v>
      </c>
      <c r="B100" s="31" t="s">
        <v>190</v>
      </c>
      <c r="C100" s="73">
        <f>SUM('DOE25'!F187:F188)</f>
        <v>128105.4</v>
      </c>
      <c r="D100" s="73">
        <f>SUM('DOE25'!G187:G188)</f>
        <v>0</v>
      </c>
      <c r="E100" s="73">
        <f>SUM('DOE25'!H187:H188)</f>
        <v>0</v>
      </c>
      <c r="F100" s="73">
        <f>SUM('DOE25'!I187:I188)</f>
        <v>0</v>
      </c>
      <c r="G100" s="23" t="s">
        <v>288</v>
      </c>
      <c r="H100" s="13">
        <f t="shared" si="5"/>
        <v>128105.4</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538783.4</v>
      </c>
      <c r="D103" s="68">
        <f>SUM(D93:D102)</f>
        <v>41278.800000000003</v>
      </c>
      <c r="E103" s="68">
        <f>SUM(E93:E102)</f>
        <v>0</v>
      </c>
      <c r="F103" s="68">
        <f>SUM(F93:F102)</f>
        <v>0</v>
      </c>
      <c r="G103" s="68">
        <f>SUM(G93:G102)</f>
        <v>331429</v>
      </c>
      <c r="H103" s="68">
        <f t="shared" si="5"/>
        <v>911491.20000000007</v>
      </c>
    </row>
    <row r="104" spans="1:8" ht="12.75" thickTop="1" thickBot="1" x14ac:dyDescent="0.25">
      <c r="A104" s="32" t="s">
        <v>761</v>
      </c>
      <c r="C104" s="68">
        <f>C63+C81+C91+C103</f>
        <v>35208302.990000002</v>
      </c>
      <c r="D104" s="68">
        <f>D63+D81+D91+D103</f>
        <v>744365.24</v>
      </c>
      <c r="E104" s="68">
        <f>E63+E81+E91+E103</f>
        <v>3266386.8600000003</v>
      </c>
      <c r="F104" s="68">
        <f>F63+F81+F91+F103</f>
        <v>0</v>
      </c>
      <c r="G104" s="68">
        <f>G63+G81+G103</f>
        <v>380595.69</v>
      </c>
      <c r="H104" s="68">
        <f t="shared" si="5"/>
        <v>39599650.780000001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14248910.16</v>
      </c>
      <c r="D109" s="23" t="s">
        <v>288</v>
      </c>
      <c r="E109" s="73">
        <f>('DOE25'!L277)+('DOE25'!L296)+('DOE25'!L315)</f>
        <v>913194.36</v>
      </c>
      <c r="F109" s="23" t="s">
        <v>288</v>
      </c>
      <c r="G109" s="23" t="s">
        <v>288</v>
      </c>
      <c r="H109" s="13">
        <f t="shared" ref="H109:H115" si="6">SUM(C109:G109)</f>
        <v>15162104.52</v>
      </c>
    </row>
    <row r="110" spans="1:8" x14ac:dyDescent="0.2">
      <c r="A110" t="s">
        <v>198</v>
      </c>
      <c r="B110" s="31" t="s">
        <v>199</v>
      </c>
      <c r="C110" s="73">
        <f>('DOE25'!L199)+('DOE25'!L217)+('DOE25'!L235)</f>
        <v>4490859.0199999996</v>
      </c>
      <c r="D110" s="23" t="s">
        <v>288</v>
      </c>
      <c r="E110" s="73">
        <f>('DOE25'!L278)+('DOE25'!L297)+('DOE25'!L316)</f>
        <v>163814.95000000001</v>
      </c>
      <c r="F110" s="23" t="s">
        <v>288</v>
      </c>
      <c r="G110" s="23" t="s">
        <v>288</v>
      </c>
      <c r="H110" s="13">
        <f t="shared" si="6"/>
        <v>4654673.97</v>
      </c>
    </row>
    <row r="111" spans="1:8" x14ac:dyDescent="0.2">
      <c r="A111" t="s">
        <v>200</v>
      </c>
      <c r="B111" s="31" t="s">
        <v>165</v>
      </c>
      <c r="C111" s="73">
        <f>('DOE25'!L200)+('DOE25'!L218)+('DOE25'!L236)</f>
        <v>1083148.6399999999</v>
      </c>
      <c r="D111" s="23" t="s">
        <v>288</v>
      </c>
      <c r="E111" s="73">
        <f>('DOE25'!L279)+('DOE25'!L298)+('DOE25'!L317)</f>
        <v>165227.57999999999</v>
      </c>
      <c r="F111" s="23" t="s">
        <v>288</v>
      </c>
      <c r="G111" s="23" t="s">
        <v>288</v>
      </c>
      <c r="H111" s="13">
        <f t="shared" si="6"/>
        <v>1248376.22</v>
      </c>
    </row>
    <row r="112" spans="1:8" x14ac:dyDescent="0.2">
      <c r="A112" t="s">
        <v>201</v>
      </c>
      <c r="B112" s="31" t="s">
        <v>167</v>
      </c>
      <c r="C112" s="73">
        <f>('DOE25'!L201)+('DOE25'!L219)+('DOE25'!L237)</f>
        <v>750165.82</v>
      </c>
      <c r="D112" s="23" t="s">
        <v>288</v>
      </c>
      <c r="E112" s="73">
        <f>+('DOE25'!L280)+('DOE25'!L299)+('DOE25'!L318)</f>
        <v>285965.15999999997</v>
      </c>
      <c r="F112" s="23" t="s">
        <v>288</v>
      </c>
      <c r="G112" s="23" t="s">
        <v>288</v>
      </c>
      <c r="H112" s="13">
        <f t="shared" si="6"/>
        <v>1036130.98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20573083.640000001</v>
      </c>
      <c r="D115" s="68">
        <f>SUM(D109:D114)</f>
        <v>0</v>
      </c>
      <c r="E115" s="68">
        <f>SUM(E109:E114)</f>
        <v>1528202.05</v>
      </c>
      <c r="F115" s="68">
        <f>SUM(F109:F114)</f>
        <v>0</v>
      </c>
      <c r="G115" s="68">
        <f>SUM(G109:G114)</f>
        <v>0</v>
      </c>
      <c r="H115" s="68">
        <f t="shared" si="6"/>
        <v>22101285.690000001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2737267.81</v>
      </c>
      <c r="D118" s="23" t="s">
        <v>288</v>
      </c>
      <c r="E118" s="73">
        <f>+('DOE25'!L282)+('DOE25'!L301)+('DOE25'!L320)</f>
        <v>378028.66000000003</v>
      </c>
      <c r="F118" s="23" t="s">
        <v>288</v>
      </c>
      <c r="G118" s="23" t="s">
        <v>288</v>
      </c>
      <c r="H118" s="13">
        <f t="shared" ref="H118:H145" si="7">SUM(C118:G118)</f>
        <v>3115296.47</v>
      </c>
    </row>
    <row r="119" spans="1:8" x14ac:dyDescent="0.2">
      <c r="A119" t="s">
        <v>208</v>
      </c>
      <c r="B119" s="31" t="s">
        <v>209</v>
      </c>
      <c r="C119" s="73">
        <f>('DOE25'!L204)+('DOE25'!L222)+('DOE25'!L240)</f>
        <v>614146.97</v>
      </c>
      <c r="D119" s="23" t="s">
        <v>288</v>
      </c>
      <c r="E119" s="73">
        <f>+('DOE25'!L283)+('DOE25'!L302)+('DOE25'!L321)</f>
        <v>474951.85</v>
      </c>
      <c r="F119" s="23" t="s">
        <v>288</v>
      </c>
      <c r="G119" s="23" t="s">
        <v>288</v>
      </c>
      <c r="H119" s="13">
        <f t="shared" si="7"/>
        <v>1089098.8199999998</v>
      </c>
    </row>
    <row r="120" spans="1:8" x14ac:dyDescent="0.2">
      <c r="A120" t="s">
        <v>210</v>
      </c>
      <c r="B120" s="31" t="s">
        <v>211</v>
      </c>
      <c r="C120" s="73">
        <f>('DOE25'!L205)+('DOE25'!L223)+('DOE25'!L241)</f>
        <v>1513724.77</v>
      </c>
      <c r="D120" s="23" t="s">
        <v>288</v>
      </c>
      <c r="E120" s="73">
        <f>+('DOE25'!L284)+('DOE25'!L303)+('DOE25'!L322)</f>
        <v>30186.840000000004</v>
      </c>
      <c r="F120" s="23" t="s">
        <v>288</v>
      </c>
      <c r="G120" s="23" t="s">
        <v>288</v>
      </c>
      <c r="H120" s="13">
        <f t="shared" si="7"/>
        <v>1543911.61</v>
      </c>
    </row>
    <row r="121" spans="1:8" x14ac:dyDescent="0.2">
      <c r="A121" t="s">
        <v>212</v>
      </c>
      <c r="B121" s="31" t="s">
        <v>213</v>
      </c>
      <c r="C121" s="73">
        <f>('DOE25'!L206)+('DOE25'!L224)+('DOE25'!L242)</f>
        <v>2004138.78</v>
      </c>
      <c r="D121" s="23" t="s">
        <v>288</v>
      </c>
      <c r="E121" s="73">
        <f>+('DOE25'!L285)+('DOE25'!L304)+('DOE25'!L323)</f>
        <v>4469.42</v>
      </c>
      <c r="F121" s="23" t="s">
        <v>288</v>
      </c>
      <c r="G121" s="23" t="s">
        <v>288</v>
      </c>
      <c r="H121" s="13">
        <f t="shared" si="7"/>
        <v>2008608.2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4196781.9799999995</v>
      </c>
      <c r="D123" s="23" t="s">
        <v>288</v>
      </c>
      <c r="E123" s="73">
        <f>+('DOE25'!L287)+('DOE25'!L306)+('DOE25'!L325)</f>
        <v>184178.88999999998</v>
      </c>
      <c r="F123" s="23" t="s">
        <v>288</v>
      </c>
      <c r="G123" s="23" t="s">
        <v>288</v>
      </c>
      <c r="H123" s="13">
        <f t="shared" si="7"/>
        <v>4380960.8699999992</v>
      </c>
    </row>
    <row r="124" spans="1:8" x14ac:dyDescent="0.2">
      <c r="A124" t="s">
        <v>218</v>
      </c>
      <c r="B124" s="31" t="s">
        <v>219</v>
      </c>
      <c r="C124" s="73">
        <f>('DOE25'!L209)+('DOE25'!L227)+('DOE25'!L245+'DOE25'!L255)</f>
        <v>1328767.81</v>
      </c>
      <c r="D124" s="23" t="s">
        <v>288</v>
      </c>
      <c r="E124" s="73">
        <f>+('DOE25'!L288)+('DOE25'!L307)+('DOE25'!L326)</f>
        <v>53495.4</v>
      </c>
      <c r="F124" s="23" t="s">
        <v>288</v>
      </c>
      <c r="G124" s="23" t="s">
        <v>288</v>
      </c>
      <c r="H124" s="13">
        <f t="shared" si="7"/>
        <v>1382263.21</v>
      </c>
    </row>
    <row r="125" spans="1:8" x14ac:dyDescent="0.2">
      <c r="A125" t="s">
        <v>220</v>
      </c>
      <c r="B125" s="31" t="s">
        <v>221</v>
      </c>
      <c r="C125" s="73">
        <f>('DOE25'!L210)+('DOE25'!L228)+('DOE25'!L246)</f>
        <v>3978.82</v>
      </c>
      <c r="D125" s="23" t="s">
        <v>288</v>
      </c>
      <c r="E125" s="73">
        <f>+('DOE25'!L289)+('DOE25'!L308)+('DOE25'!L327)</f>
        <v>0</v>
      </c>
      <c r="F125" s="23" t="s">
        <v>288</v>
      </c>
      <c r="G125" s="23" t="s">
        <v>288</v>
      </c>
      <c r="H125" s="13">
        <f t="shared" si="7"/>
        <v>3978.82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789997.33</v>
      </c>
      <c r="E127" s="23" t="s">
        <v>288</v>
      </c>
      <c r="F127" s="23" t="s">
        <v>288</v>
      </c>
      <c r="G127" s="23" t="s">
        <v>288</v>
      </c>
      <c r="H127" s="13">
        <f t="shared" si="7"/>
        <v>789997.33</v>
      </c>
    </row>
    <row r="128" spans="1:8" ht="12.75" thickTop="1" thickBot="1" x14ac:dyDescent="0.25">
      <c r="A128" s="32" t="s">
        <v>226</v>
      </c>
      <c r="C128" s="68">
        <f>SUM(C118:C127)</f>
        <v>12398806.940000001</v>
      </c>
      <c r="D128" s="68">
        <f>SUM(D118:D127)</f>
        <v>789997.33</v>
      </c>
      <c r="E128" s="68">
        <f>SUM(E118:E127)</f>
        <v>1125311.0599999998</v>
      </c>
      <c r="F128" s="68">
        <f>SUM(F118:F127)</f>
        <v>0</v>
      </c>
      <c r="G128" s="68">
        <f>SUM(G118:G127)</f>
        <v>0</v>
      </c>
      <c r="H128" s="68">
        <f t="shared" si="7"/>
        <v>14314115.330000002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632238.41</v>
      </c>
      <c r="F130" s="92">
        <f>SUM('DOE25'!L375:'DOE25'!L381)</f>
        <v>0</v>
      </c>
      <c r="G130" s="23" t="s">
        <v>288</v>
      </c>
      <c r="H130" s="13">
        <f t="shared" si="7"/>
        <v>632238.41</v>
      </c>
    </row>
    <row r="131" spans="1:8" x14ac:dyDescent="0.2">
      <c r="A131" t="s">
        <v>229</v>
      </c>
      <c r="B131" s="31">
        <v>5110</v>
      </c>
      <c r="C131" s="73">
        <f>'DOE25'!L261</f>
        <v>2090000</v>
      </c>
      <c r="D131" s="23" t="s">
        <v>288</v>
      </c>
      <c r="E131" s="92">
        <f>'DOE25'!L342</f>
        <v>0</v>
      </c>
      <c r="F131" s="23" t="s">
        <v>288</v>
      </c>
      <c r="G131" s="23" t="s">
        <v>288</v>
      </c>
      <c r="H131" s="13">
        <f t="shared" si="7"/>
        <v>2090000</v>
      </c>
    </row>
    <row r="132" spans="1:8" x14ac:dyDescent="0.2">
      <c r="A132" t="s">
        <v>230</v>
      </c>
      <c r="B132" s="31">
        <v>5120</v>
      </c>
      <c r="C132" s="73">
        <f>'DOE25'!L262</f>
        <v>267595.26</v>
      </c>
      <c r="D132" s="23" t="s">
        <v>288</v>
      </c>
      <c r="E132" s="92">
        <f>'DOE25'!L343</f>
        <v>0</v>
      </c>
      <c r="F132" s="23" t="s">
        <v>288</v>
      </c>
      <c r="G132" s="23" t="s">
        <v>288</v>
      </c>
      <c r="H132" s="13">
        <f t="shared" si="7"/>
        <v>267595.26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11050.75</v>
      </c>
      <c r="H134" s="13">
        <f t="shared" si="7"/>
        <v>11050.75</v>
      </c>
    </row>
    <row r="135" spans="1:8" x14ac:dyDescent="0.2">
      <c r="A135" t="s">
        <v>233</v>
      </c>
      <c r="B135" s="31" t="s">
        <v>234</v>
      </c>
      <c r="C135" s="73">
        <f>'DOE25'!L264</f>
        <v>41278.800000000003</v>
      </c>
      <c r="D135" s="23" t="s">
        <v>288</v>
      </c>
      <c r="E135" s="92">
        <f>'DOE25'!L346</f>
        <v>0</v>
      </c>
      <c r="F135" s="23" t="s">
        <v>288</v>
      </c>
      <c r="G135" s="23" t="s">
        <v>288</v>
      </c>
      <c r="H135" s="13">
        <f t="shared" si="7"/>
        <v>41278.800000000003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258633.60000000001</v>
      </c>
      <c r="D138" s="23" t="s">
        <v>288</v>
      </c>
      <c r="E138" s="23" t="s">
        <v>288</v>
      </c>
      <c r="F138" s="23" t="s">
        <v>288</v>
      </c>
      <c r="G138" s="23" t="s">
        <v>288</v>
      </c>
      <c r="H138" s="13">
        <f t="shared" si="7"/>
        <v>258633.60000000001</v>
      </c>
    </row>
    <row r="139" spans="1:8" x14ac:dyDescent="0.2">
      <c r="A139" t="s">
        <v>239</v>
      </c>
      <c r="B139" s="31">
        <v>5252</v>
      </c>
      <c r="C139" s="73">
        <f>'DOE25'!L402</f>
        <v>121962.08999999998</v>
      </c>
      <c r="D139" s="23" t="s">
        <v>288</v>
      </c>
      <c r="E139" s="23" t="s">
        <v>288</v>
      </c>
      <c r="F139" s="23" t="s">
        <v>288</v>
      </c>
      <c r="G139" s="23" t="s">
        <v>288</v>
      </c>
      <c r="H139" s="13">
        <f t="shared" si="7"/>
        <v>121962.08999999998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-49166.69</v>
      </c>
      <c r="D141" s="23" t="s">
        <v>288</v>
      </c>
      <c r="E141" s="23" t="s">
        <v>288</v>
      </c>
      <c r="F141" s="23" t="s">
        <v>288</v>
      </c>
      <c r="G141" s="23" t="s">
        <v>288</v>
      </c>
      <c r="H141" s="13">
        <f t="shared" si="7"/>
        <v>-49166.69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2730303.0599999996</v>
      </c>
      <c r="D144" s="98">
        <f>SUM(D130:D143)</f>
        <v>0</v>
      </c>
      <c r="E144" s="98">
        <f>SUM(E130:E143)</f>
        <v>632238.41</v>
      </c>
      <c r="F144" s="98">
        <f>SUM(F130:F143)</f>
        <v>0</v>
      </c>
      <c r="G144" s="98">
        <f>SUM(G130:G143)</f>
        <v>11050.75</v>
      </c>
      <c r="H144" s="98">
        <f t="shared" si="7"/>
        <v>3373592.2199999997</v>
      </c>
    </row>
    <row r="145" spans="1:9" ht="12.75" thickTop="1" thickBot="1" x14ac:dyDescent="0.25">
      <c r="A145" s="32" t="s">
        <v>244</v>
      </c>
      <c r="C145" s="68">
        <f>(C115+C128+C144)</f>
        <v>35702193.640000001</v>
      </c>
      <c r="D145" s="68">
        <f>(D115+D128+D144)</f>
        <v>789997.33</v>
      </c>
      <c r="E145" s="68">
        <f>(E115+E128+E144)</f>
        <v>3285751.52</v>
      </c>
      <c r="F145" s="68">
        <f>(F115+F128+F144)</f>
        <v>0</v>
      </c>
      <c r="G145" s="68">
        <f>(G115+G128+G144)</f>
        <v>11050.75</v>
      </c>
      <c r="H145" s="68">
        <f t="shared" si="7"/>
        <v>39788993.240000002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20</v>
      </c>
      <c r="E151" s="110">
        <f>'DOE25'!I491</f>
        <v>20</v>
      </c>
      <c r="F151" s="110">
        <f>'DOE25'!J491</f>
        <v>0</v>
      </c>
      <c r="G151" s="23" t="s">
        <v>288</v>
      </c>
    </row>
    <row r="152" spans="1:9" x14ac:dyDescent="0.2">
      <c r="A152" s="21" t="s">
        <v>28</v>
      </c>
      <c r="B152" s="109" t="str">
        <f>'DOE25'!F492</f>
        <v>12/03</v>
      </c>
      <c r="C152" s="109" t="str">
        <f>'DOE25'!G492</f>
        <v>07/16</v>
      </c>
      <c r="D152" s="109" t="str">
        <f>'DOE25'!H492</f>
        <v>7/17</v>
      </c>
      <c r="E152" s="109" t="str">
        <f>'DOE25'!I492</f>
        <v>6/18</v>
      </c>
      <c r="F152" s="109">
        <f>'DOE25'!J492</f>
        <v>0</v>
      </c>
      <c r="G152" s="23" t="s">
        <v>288</v>
      </c>
    </row>
    <row r="153" spans="1:9" x14ac:dyDescent="0.2">
      <c r="A153" s="21" t="s">
        <v>29</v>
      </c>
      <c r="B153" s="109" t="str">
        <f>'DOE25'!F493</f>
        <v>01/24</v>
      </c>
      <c r="C153" s="109" t="str">
        <f>'DOE25'!G493</f>
        <v>08/36</v>
      </c>
      <c r="D153" s="109" t="str">
        <f>'DOE25'!H493</f>
        <v>08/37</v>
      </c>
      <c r="E153" s="109" t="str">
        <f>'DOE25'!I493</f>
        <v>08/38</v>
      </c>
      <c r="F153" s="109">
        <f>'DOE25'!J493</f>
        <v>0</v>
      </c>
      <c r="G153" s="23" t="s">
        <v>288</v>
      </c>
    </row>
    <row r="154" spans="1:9" x14ac:dyDescent="0.2">
      <c r="A154" s="21" t="s">
        <v>30</v>
      </c>
      <c r="B154" s="19">
        <f>'DOE25'!F494</f>
        <v>42120000</v>
      </c>
      <c r="C154" s="19">
        <f>'DOE25'!G494</f>
        <v>1837700</v>
      </c>
      <c r="D154" s="19">
        <f>'DOE25'!H494</f>
        <v>1871000</v>
      </c>
      <c r="E154" s="19">
        <f>'DOE25'!I494</f>
        <v>1122900</v>
      </c>
      <c r="F154" s="19">
        <f>'DOE25'!J494</f>
        <v>0</v>
      </c>
      <c r="G154" s="23" t="s">
        <v>288</v>
      </c>
    </row>
    <row r="155" spans="1:9" x14ac:dyDescent="0.2">
      <c r="A155" s="21" t="s">
        <v>31</v>
      </c>
      <c r="B155" s="19">
        <f>'DOE25'!F495</f>
        <v>4</v>
      </c>
      <c r="C155" s="19">
        <f>'DOE25'!G495</f>
        <v>2.5</v>
      </c>
      <c r="D155" s="19">
        <f>'DOE25'!H495</f>
        <v>2.66</v>
      </c>
      <c r="E155" s="19">
        <f>'DOE25'!I495</f>
        <v>3.24</v>
      </c>
      <c r="F155" s="19">
        <f>'DOE25'!J495</f>
        <v>0</v>
      </c>
      <c r="G155" s="23" t="s">
        <v>288</v>
      </c>
    </row>
    <row r="156" spans="1:9" x14ac:dyDescent="0.2">
      <c r="A156" s="21" t="s">
        <v>32</v>
      </c>
      <c r="B156" s="19">
        <f>'DOE25'!F496</f>
        <v>3680000</v>
      </c>
      <c r="C156" s="19">
        <f>'DOE25'!G496</f>
        <v>1370000</v>
      </c>
      <c r="D156" s="19">
        <f>'DOE25'!H496</f>
        <v>1495000</v>
      </c>
      <c r="E156" s="19">
        <f>'DOE25'!I496</f>
        <v>945000</v>
      </c>
      <c r="F156" s="19">
        <f>'DOE25'!J496</f>
        <v>0</v>
      </c>
      <c r="G156" s="96">
        <f>SUM(B156:F156)</f>
        <v>7490000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1840000</v>
      </c>
      <c r="C158" s="19">
        <f>'DOE25'!G498</f>
        <v>95000</v>
      </c>
      <c r="D158" s="19">
        <f>'DOE25'!H498</f>
        <v>95000</v>
      </c>
      <c r="E158" s="19">
        <f>'DOE25'!I498</f>
        <v>60000</v>
      </c>
      <c r="F158" s="19">
        <f>'DOE25'!J498</f>
        <v>0</v>
      </c>
      <c r="G158" s="96">
        <f t="shared" si="8"/>
        <v>2090000</v>
      </c>
    </row>
    <row r="159" spans="1:9" x14ac:dyDescent="0.2">
      <c r="A159" s="21" t="s">
        <v>35</v>
      </c>
      <c r="B159" s="19">
        <f>'DOE25'!F499</f>
        <v>1840000</v>
      </c>
      <c r="C159" s="19">
        <f>'DOE25'!G499</f>
        <v>1275000</v>
      </c>
      <c r="D159" s="19">
        <f>'DOE25'!H499</f>
        <v>1400000</v>
      </c>
      <c r="E159" s="19">
        <f>'DOE25'!I499</f>
        <v>885000</v>
      </c>
      <c r="F159" s="19">
        <f>'DOE25'!J499</f>
        <v>0</v>
      </c>
      <c r="G159" s="96">
        <f t="shared" si="8"/>
        <v>5400000</v>
      </c>
    </row>
    <row r="160" spans="1:9" x14ac:dyDescent="0.2">
      <c r="A160" s="21" t="s">
        <v>36</v>
      </c>
      <c r="B160" s="19">
        <f>'DOE25'!F500</f>
        <v>43700</v>
      </c>
      <c r="C160" s="19">
        <f>'DOE25'!G500</f>
        <v>325976.75</v>
      </c>
      <c r="D160" s="19">
        <f>'DOE25'!H500</f>
        <v>447247.5</v>
      </c>
      <c r="E160" s="19">
        <f>'DOE25'!I500</f>
        <v>306798.28000000003</v>
      </c>
      <c r="F160" s="19">
        <f>'DOE25'!J500</f>
        <v>0</v>
      </c>
      <c r="G160" s="96">
        <f t="shared" si="8"/>
        <v>1123722.53</v>
      </c>
    </row>
    <row r="161" spans="1:7" x14ac:dyDescent="0.2">
      <c r="A161" s="21" t="s">
        <v>37</v>
      </c>
      <c r="B161" s="19">
        <f>'DOE25'!F501</f>
        <v>1883700</v>
      </c>
      <c r="C161" s="19">
        <f>'DOE25'!G501</f>
        <v>1600976.75</v>
      </c>
      <c r="D161" s="19">
        <f>'DOE25'!H501</f>
        <v>1847247.5</v>
      </c>
      <c r="E161" s="19">
        <f>'DOE25'!I501</f>
        <v>1191798.28</v>
      </c>
      <c r="F161" s="19">
        <f>'DOE25'!J501</f>
        <v>0</v>
      </c>
      <c r="G161" s="96">
        <f t="shared" si="8"/>
        <v>6523722.5300000003</v>
      </c>
    </row>
    <row r="162" spans="1:7" x14ac:dyDescent="0.2">
      <c r="A162" s="21" t="s">
        <v>38</v>
      </c>
      <c r="B162" s="19">
        <f>'DOE25'!F502</f>
        <v>1840000</v>
      </c>
      <c r="C162" s="19">
        <f>'DOE25'!G502</f>
        <v>95000</v>
      </c>
      <c r="D162" s="19">
        <f>'DOE25'!H502</f>
        <v>95000</v>
      </c>
      <c r="E162" s="19">
        <f>'DOE25'!I502</f>
        <v>60000</v>
      </c>
      <c r="F162" s="19">
        <f>'DOE25'!J502</f>
        <v>0</v>
      </c>
      <c r="G162" s="96">
        <f t="shared" si="8"/>
        <v>2090000</v>
      </c>
    </row>
    <row r="163" spans="1:7" x14ac:dyDescent="0.2">
      <c r="A163" s="21" t="s">
        <v>39</v>
      </c>
      <c r="B163" s="19">
        <f>'DOE25'!F503</f>
        <v>43700</v>
      </c>
      <c r="C163" s="19">
        <f>'DOE25'!G503</f>
        <v>41408</v>
      </c>
      <c r="D163" s="19">
        <f>'DOE25'!H503</f>
        <v>56177.5</v>
      </c>
      <c r="E163" s="19">
        <f>'DOE25'!I503</f>
        <v>35423.760000000002</v>
      </c>
      <c r="F163" s="19">
        <f>'DOE25'!J503</f>
        <v>0</v>
      </c>
      <c r="G163" s="96">
        <f t="shared" si="8"/>
        <v>176709.26</v>
      </c>
    </row>
    <row r="164" spans="1:7" x14ac:dyDescent="0.2">
      <c r="A164" s="21" t="s">
        <v>246</v>
      </c>
      <c r="B164" s="19">
        <f>'DOE25'!F504</f>
        <v>1883700</v>
      </c>
      <c r="C164" s="19">
        <f>'DOE25'!G504</f>
        <v>136408</v>
      </c>
      <c r="D164" s="19">
        <f>'DOE25'!H504</f>
        <v>151177.5</v>
      </c>
      <c r="E164" s="19">
        <f>'DOE25'!I504</f>
        <v>95423.760000000009</v>
      </c>
      <c r="F164" s="19">
        <f>'DOE25'!J504</f>
        <v>0</v>
      </c>
      <c r="G164" s="96">
        <f t="shared" si="8"/>
        <v>2266709.2599999998</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Conway</v>
      </c>
    </row>
    <row r="3" spans="1:4" x14ac:dyDescent="0.2">
      <c r="B3" s="137" t="s">
        <v>1799</v>
      </c>
    </row>
    <row r="4" spans="1:4" x14ac:dyDescent="0.2">
      <c r="B4" t="s">
        <v>61</v>
      </c>
      <c r="C4" s="129">
        <f>IF('DOE25'!F666+'DOE25'!F671=0,0,ROUND('DOE25'!F673,0))</f>
        <v>23321</v>
      </c>
    </row>
    <row r="5" spans="1:4" x14ac:dyDescent="0.2">
      <c r="B5" t="s">
        <v>700</v>
      </c>
      <c r="C5" s="129">
        <f>IF('DOE25'!G666+'DOE25'!G671=0,0,ROUND('DOE25'!G673,0))</f>
        <v>23000</v>
      </c>
    </row>
    <row r="6" spans="1:4" x14ac:dyDescent="0.2">
      <c r="B6" t="s">
        <v>62</v>
      </c>
      <c r="C6" s="129">
        <f>IF('DOE25'!H666+'DOE25'!H671=0,0,ROUND('DOE25'!H673,0))</f>
        <v>20672</v>
      </c>
    </row>
    <row r="7" spans="1:4" x14ac:dyDescent="0.2">
      <c r="B7" t="s">
        <v>701</v>
      </c>
      <c r="C7" s="129">
        <f>IF('DOE25'!I666+'DOE25'!I671=0,0,ROUND('DOE25'!I673,0))</f>
        <v>22086</v>
      </c>
    </row>
    <row r="9" spans="1:4" x14ac:dyDescent="0.2">
      <c r="A9" s="136" t="s">
        <v>94</v>
      </c>
      <c r="B9" s="137" t="s">
        <v>1800</v>
      </c>
      <c r="C9" s="131" t="s">
        <v>720</v>
      </c>
      <c r="D9" s="131" t="s">
        <v>721</v>
      </c>
    </row>
    <row r="10" spans="1:4" x14ac:dyDescent="0.2">
      <c r="A10">
        <v>1100</v>
      </c>
      <c r="B10" t="s">
        <v>702</v>
      </c>
      <c r="C10" s="129">
        <f>ROUND('DOE25'!L198+'DOE25'!L216+'DOE25'!L234+'DOE25'!L277+'DOE25'!L296+'DOE25'!L315,0)</f>
        <v>15162105</v>
      </c>
      <c r="D10" s="132">
        <f>ROUND((C10/$C$28)*100,1)</f>
        <v>41.7</v>
      </c>
    </row>
    <row r="11" spans="1:4" x14ac:dyDescent="0.2">
      <c r="A11">
        <v>1200</v>
      </c>
      <c r="B11" t="s">
        <v>703</v>
      </c>
      <c r="C11" s="129">
        <f>ROUND('DOE25'!L199+'DOE25'!L217+'DOE25'!L235+'DOE25'!L278+'DOE25'!L297+'DOE25'!L316,0)</f>
        <v>4654674</v>
      </c>
      <c r="D11" s="132">
        <f>ROUND((C11/$C$28)*100,1)</f>
        <v>12.8</v>
      </c>
    </row>
    <row r="12" spans="1:4" x14ac:dyDescent="0.2">
      <c r="A12">
        <v>1300</v>
      </c>
      <c r="B12" t="s">
        <v>704</v>
      </c>
      <c r="C12" s="129">
        <f>ROUND('DOE25'!L200+'DOE25'!L218+'DOE25'!L236+'DOE25'!L279+'DOE25'!L298+'DOE25'!L317,0)</f>
        <v>1248376</v>
      </c>
      <c r="D12" s="132">
        <f>ROUND((C12/$C$28)*100,1)</f>
        <v>3.4</v>
      </c>
    </row>
    <row r="13" spans="1:4" x14ac:dyDescent="0.2">
      <c r="A13">
        <v>1400</v>
      </c>
      <c r="B13" t="s">
        <v>705</v>
      </c>
      <c r="C13" s="129">
        <f>ROUND('DOE25'!L201+'DOE25'!L219+'DOE25'!L237+'DOE25'!L280+'DOE25'!L299+'DOE25'!L318,0)</f>
        <v>1036131</v>
      </c>
      <c r="D13" s="132">
        <f>ROUND((C13/$C$28)*100,1)</f>
        <v>2.8</v>
      </c>
    </row>
    <row r="14" spans="1:4" x14ac:dyDescent="0.2">
      <c r="D14" s="132"/>
    </row>
    <row r="15" spans="1:4" x14ac:dyDescent="0.2">
      <c r="A15">
        <v>2100</v>
      </c>
      <c r="B15" t="s">
        <v>706</v>
      </c>
      <c r="C15" s="129">
        <f>ROUND('DOE25'!L203+'DOE25'!L221+'DOE25'!L239+'DOE25'!L282+'DOE25'!L301+'DOE25'!L320,0)</f>
        <v>3115296</v>
      </c>
      <c r="D15" s="132">
        <f t="shared" ref="D15:D27" si="0">ROUND((C15/$C$28)*100,1)</f>
        <v>8.6</v>
      </c>
    </row>
    <row r="16" spans="1:4" x14ac:dyDescent="0.2">
      <c r="A16">
        <v>2200</v>
      </c>
      <c r="B16" t="s">
        <v>707</v>
      </c>
      <c r="C16" s="129">
        <f>ROUND('DOE25'!L204+'DOE25'!L222+'DOE25'!L240+'DOE25'!L283+'DOE25'!L302+'DOE25'!L321,0)</f>
        <v>1089099</v>
      </c>
      <c r="D16" s="132">
        <f t="shared" si="0"/>
        <v>3</v>
      </c>
    </row>
    <row r="17" spans="1:4" x14ac:dyDescent="0.2">
      <c r="A17" s="133" t="s">
        <v>723</v>
      </c>
      <c r="B17" t="s">
        <v>738</v>
      </c>
      <c r="C17" s="129">
        <f>ROUND('DOE25'!L205+'DOE25'!L210+'DOE25'!L223+'DOE25'!L228+'DOE25'!L241+'DOE25'!L246+'DOE25'!L284+'DOE25'!L289+'DOE25'!L303+'DOE25'!L308+'DOE25'!L322+'DOE25'!L327,0)</f>
        <v>1547890</v>
      </c>
      <c r="D17" s="132">
        <f t="shared" si="0"/>
        <v>4.3</v>
      </c>
    </row>
    <row r="18" spans="1:4" x14ac:dyDescent="0.2">
      <c r="A18">
        <v>2400</v>
      </c>
      <c r="B18" t="s">
        <v>711</v>
      </c>
      <c r="C18" s="129">
        <f>ROUND('DOE25'!L206+'DOE25'!L224+'DOE25'!L242+'DOE25'!L285+'DOE25'!L304+'DOE25'!L323,0)</f>
        <v>2008608</v>
      </c>
      <c r="D18" s="132">
        <f t="shared" si="0"/>
        <v>5.5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4380961</v>
      </c>
      <c r="D20" s="132">
        <f t="shared" si="0"/>
        <v>12</v>
      </c>
    </row>
    <row r="21" spans="1:4" x14ac:dyDescent="0.2">
      <c r="A21">
        <v>2700</v>
      </c>
      <c r="B21" t="s">
        <v>710</v>
      </c>
      <c r="C21" s="129">
        <f>ROUND('DOE25'!L209+'DOE25'!L227+'DOE25'!L245+'DOE25'!L288+'DOE25'!L307+'DOE25'!L326,0)</f>
        <v>1382263</v>
      </c>
      <c r="D21" s="132">
        <f t="shared" si="0"/>
        <v>3.8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267595</v>
      </c>
      <c r="D25" s="132">
        <f t="shared" si="0"/>
        <v>0.7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489986.68</v>
      </c>
      <c r="D27" s="132">
        <f t="shared" si="0"/>
        <v>1.3</v>
      </c>
    </row>
    <row r="28" spans="1:4" x14ac:dyDescent="0.2">
      <c r="B28" s="136" t="s">
        <v>719</v>
      </c>
      <c r="C28" s="130">
        <f>SUM(C10:C27)</f>
        <v>36382984.68</v>
      </c>
      <c r="D28" s="134">
        <f>ROUND(SUM(D10:D27),0)</f>
        <v>100</v>
      </c>
    </row>
    <row r="29" spans="1:4" x14ac:dyDescent="0.2">
      <c r="A29">
        <v>4000</v>
      </c>
      <c r="B29" t="s">
        <v>724</v>
      </c>
      <c r="C29" s="129">
        <f>ROUND('DOE25'!L256+'DOE25'!L337+'DOE25'!L375+'DOE25'!L376+'DOE25'!L377+'DOE25'!L378+'DOE25'!L379+'DOE25'!L380+'DOE25'!L381,0)</f>
        <v>632238</v>
      </c>
    </row>
    <row r="30" spans="1:4" x14ac:dyDescent="0.2">
      <c r="B30" s="136" t="s">
        <v>725</v>
      </c>
      <c r="C30" s="130">
        <f>SUM(C28:C29)</f>
        <v>37015222.68</v>
      </c>
    </row>
    <row r="31" spans="1:4" x14ac:dyDescent="0.2">
      <c r="B31" s="32"/>
      <c r="C31" s="130"/>
    </row>
    <row r="32" spans="1:4" x14ac:dyDescent="0.2">
      <c r="A32">
        <v>5100</v>
      </c>
      <c r="B32" s="32" t="s">
        <v>726</v>
      </c>
      <c r="C32" s="130">
        <f>ROUND('DOE25'!L261+'DOE25'!L342,0)</f>
        <v>2090000</v>
      </c>
    </row>
    <row r="34" spans="1:4" x14ac:dyDescent="0.2">
      <c r="A34" s="136" t="s">
        <v>94</v>
      </c>
      <c r="B34" s="137" t="s">
        <v>1801</v>
      </c>
      <c r="C34" s="131" t="s">
        <v>720</v>
      </c>
      <c r="D34" s="131" t="s">
        <v>721</v>
      </c>
    </row>
    <row r="35" spans="1:4" x14ac:dyDescent="0.2">
      <c r="A35">
        <v>1100</v>
      </c>
      <c r="B35" s="71" t="s">
        <v>727</v>
      </c>
      <c r="C35" s="129">
        <f>ROUND('DOE25'!F60+'DOE25'!G60+'DOE25'!H60+'DOE25'!I60+'DOE25'!J60,0)</f>
        <v>16195827</v>
      </c>
      <c r="D35" s="132">
        <f t="shared" ref="D35:D40" si="1">ROUND((C35/$C$41)*100,1)</f>
        <v>42.2</v>
      </c>
    </row>
    <row r="36" spans="1:4" x14ac:dyDescent="0.2">
      <c r="B36" s="71" t="s">
        <v>739</v>
      </c>
      <c r="C36" s="129">
        <f>SUM('DOE25'!F112:J112)-SUM('DOE25'!G97:G110)+('DOE25'!F175+'DOE25'!F176+'DOE25'!I175+'DOE25'!I176)-C35</f>
        <v>11177729.919999998</v>
      </c>
      <c r="D36" s="132">
        <f t="shared" si="1"/>
        <v>29.1</v>
      </c>
    </row>
    <row r="37" spans="1:4" x14ac:dyDescent="0.2">
      <c r="A37" s="133" t="s">
        <v>834</v>
      </c>
      <c r="B37" s="71" t="s">
        <v>728</v>
      </c>
      <c r="C37" s="129">
        <f>ROUND('DOE25'!F117+'DOE25'!F118,0)</f>
        <v>6246465</v>
      </c>
      <c r="D37" s="132">
        <f t="shared" si="1"/>
        <v>16.3</v>
      </c>
    </row>
    <row r="38" spans="1:4" x14ac:dyDescent="0.2">
      <c r="A38" s="133" t="s">
        <v>734</v>
      </c>
      <c r="B38" s="71" t="s">
        <v>729</v>
      </c>
      <c r="C38" s="129">
        <f>ROUND(SUM('DOE25'!F140:J140)-SUM('DOE25'!F117:F119),0)</f>
        <v>1246892</v>
      </c>
      <c r="D38" s="132">
        <f t="shared" si="1"/>
        <v>3.2</v>
      </c>
    </row>
    <row r="39" spans="1:4" x14ac:dyDescent="0.2">
      <c r="A39">
        <v>4000</v>
      </c>
      <c r="B39" s="71" t="s">
        <v>730</v>
      </c>
      <c r="C39" s="129">
        <f>ROUND('DOE25'!F170+'DOE25'!G170+'DOE25'!H170+'DOE25'!I170,0)</f>
        <v>3521236</v>
      </c>
      <c r="D39" s="132">
        <f t="shared" si="1"/>
        <v>9.1999999999999993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38388149.920000002</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Conway</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52</v>
      </c>
      <c r="K4" s="257" t="b">
        <f>C4=C5</f>
        <v>0</v>
      </c>
      <c r="L4" s="280">
        <v>113</v>
      </c>
      <c r="M4" s="280" t="s">
        <v>981</v>
      </c>
      <c r="N4" s="280" t="s">
        <v>1612</v>
      </c>
      <c r="O4" s="280">
        <v>27010</v>
      </c>
      <c r="P4" s="280" t="s">
        <v>1525</v>
      </c>
      <c r="Q4" s="280">
        <v>9</v>
      </c>
      <c r="R4" s="280" t="s">
        <v>1677</v>
      </c>
      <c r="S4" s="282">
        <f>ROWS($Q$4:Q4)</f>
        <v>1</v>
      </c>
      <c r="T4" s="282">
        <f>IF('School Level Expenditures'!$B$2='School Tables'!L4,'School Tables'!S4,"")</f>
        <v>1</v>
      </c>
      <c r="U4" s="282">
        <f>IFERROR(SMALL($T$4:$T$75,ROWS($T$4:T4)),"")</f>
        <v>1</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146</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239</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f>IF('School Level Expenditures'!$B$2='School Tables'!W41,'School Tables'!AD41,"")</f>
        <v>38</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f>IF('School Level Expenditures'!$B$2=A55,'School Tables'!H55,"")</f>
        <v>52</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f>IF('School Level Expenditures'!$B$2=A149,'School Tables'!H149,"")</f>
        <v>146</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f>IF('School Level Expenditures'!$B$2=A242,'School Tables'!H242,"")</f>
        <v>239</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2023-09-26T19:58:28Z</cp:lastPrinted>
  <dcterms:created xsi:type="dcterms:W3CDTF">1997-12-04T19:04:30Z</dcterms:created>
  <dcterms:modified xsi:type="dcterms:W3CDTF">2023-12-28T16:26:17Z</dcterms:modified>
</cp:coreProperties>
</file>