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3750BE8-03CC-4DD9-85E1-9B557F29A96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 i="12" l="1"/>
  <c r="C11" i="12"/>
  <c r="B10" i="12"/>
  <c r="B11" i="12"/>
  <c r="C20" i="12"/>
  <c r="F101" i="1" l="1"/>
  <c r="H12" i="1"/>
  <c r="H542" i="1" l="1"/>
  <c r="G523" i="1"/>
  <c r="H523" i="1"/>
  <c r="I523" i="1"/>
  <c r="J523" i="1"/>
  <c r="K523" i="1"/>
  <c r="F523" i="1"/>
  <c r="G524" i="1"/>
  <c r="H524" i="1"/>
  <c r="F524" i="1"/>
  <c r="G522" i="1"/>
  <c r="H522" i="1"/>
  <c r="I522" i="1"/>
  <c r="J522" i="1"/>
  <c r="K522" i="1"/>
  <c r="F522" i="1"/>
  <c r="H578" i="1"/>
  <c r="F473" i="1" l="1"/>
  <c r="F24" i="1"/>
  <c r="F12" i="1"/>
  <c r="H252" i="1" l="1"/>
  <c r="G158" i="1" l="1"/>
  <c r="G132" i="1"/>
  <c r="G13" i="1"/>
  <c r="F9" i="1"/>
  <c r="H137" i="2" l="1"/>
  <c r="H139"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36" i="2"/>
  <c r="H143" i="2"/>
  <c r="H134" i="2"/>
  <c r="H113" i="2"/>
  <c r="H97" i="2"/>
  <c r="H98" i="2"/>
  <c r="H99" i="2"/>
  <c r="H100" i="2"/>
  <c r="H101" i="2"/>
  <c r="H102" i="2"/>
  <c r="H103" i="2"/>
  <c r="H96" i="2"/>
  <c r="H94" i="2"/>
  <c r="H93" i="2"/>
  <c r="H89" i="2"/>
  <c r="H90" i="2"/>
  <c r="H87" i="2"/>
  <c r="H85" i="2"/>
  <c r="H73" i="2"/>
  <c r="H74" i="2"/>
  <c r="H76" i="2"/>
  <c r="H79" i="2"/>
  <c r="H80" i="2"/>
  <c r="H58" i="2"/>
  <c r="H44" i="2"/>
  <c r="H42" i="2"/>
  <c r="H40" i="2"/>
  <c r="H38" i="2"/>
  <c r="H36" i="2"/>
  <c r="H35" i="2"/>
  <c r="H22" i="2"/>
  <c r="H24" i="2"/>
  <c r="H25" i="2"/>
  <c r="H26" i="2"/>
  <c r="H28" i="2"/>
  <c r="H21" i="2"/>
  <c r="H9" i="2"/>
  <c r="H10" i="2"/>
  <c r="H14" i="2"/>
  <c r="H16"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H17" i="2" s="1"/>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H30" i="2" s="1"/>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H653" i="1"/>
  <c r="G654" i="1"/>
  <c r="H654" i="1"/>
  <c r="H655" i="1"/>
  <c r="H656" i="1"/>
  <c r="I170" i="1"/>
  <c r="H477" i="1" l="1"/>
  <c r="H625" i="1" s="1"/>
  <c r="J652" i="1"/>
  <c r="H47" i="2"/>
  <c r="E112" i="2"/>
  <c r="G663" i="1"/>
  <c r="E121" i="2"/>
  <c r="H125" i="2"/>
  <c r="E13" i="13"/>
  <c r="C13" i="13" s="1"/>
  <c r="G651" i="1"/>
  <c r="C12" i="10"/>
  <c r="D15" i="13"/>
  <c r="C15" i="13" s="1"/>
  <c r="C110" i="2"/>
  <c r="M2" i="14"/>
  <c r="M3" i="14" s="1"/>
  <c r="N2" i="14"/>
  <c r="N3" i="14" s="1"/>
  <c r="C13" i="10"/>
  <c r="C112" i="2"/>
  <c r="H112" i="2" s="1"/>
  <c r="C121" i="2"/>
  <c r="H121" i="2" s="1"/>
  <c r="C120" i="2"/>
  <c r="H120" i="2" s="1"/>
  <c r="C119" i="2"/>
  <c r="D6" i="13"/>
  <c r="C6" i="13" s="1"/>
  <c r="L2" i="14"/>
  <c r="L3" i="14" s="1"/>
  <c r="A40" i="12"/>
  <c r="K2" i="14"/>
  <c r="K3" i="14" s="1"/>
  <c r="H61" i="2"/>
  <c r="H13" i="2"/>
  <c r="H59" i="2"/>
  <c r="G477" i="1"/>
  <c r="H624" i="1" s="1"/>
  <c r="J624" i="1" s="1"/>
  <c r="D29" i="13"/>
  <c r="C29" i="13" s="1"/>
  <c r="G662" i="1"/>
  <c r="D78" i="2"/>
  <c r="H77" i="2"/>
  <c r="H29" i="2"/>
  <c r="H23" i="2"/>
  <c r="H15" i="2"/>
  <c r="H12" i="2"/>
  <c r="H11" i="2"/>
  <c r="H8"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F194" i="1"/>
  <c r="G628" i="1" s="1"/>
  <c r="J628" i="1" s="1"/>
  <c r="H78" i="2"/>
  <c r="H81" i="2"/>
  <c r="H50" i="2"/>
  <c r="E128" i="2"/>
  <c r="G24" i="14"/>
  <c r="H24" i="14" s="1"/>
  <c r="I24" i="14" s="1"/>
  <c r="H123" i="2"/>
  <c r="H122" i="2"/>
  <c r="H119" i="2"/>
  <c r="H118" i="2"/>
  <c r="H114" i="2"/>
  <c r="I663" i="1"/>
  <c r="H110" i="2"/>
  <c r="H91" i="2"/>
  <c r="D128" i="2"/>
  <c r="H127" i="2"/>
  <c r="D63" i="2"/>
  <c r="H62" i="2"/>
  <c r="I662" i="1"/>
  <c r="D51" i="2"/>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M24" i="14"/>
  <c r="H104" i="2"/>
  <c r="C144" i="2"/>
  <c r="H141" i="2"/>
  <c r="D145" i="2"/>
  <c r="H128"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<sst xmlns="http://schemas.openxmlformats.org/spreadsheetml/2006/main" count="6559" uniqueCount="1814">
  <si>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</si>
  <si>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</si>
  <si>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</si>
  <si>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</si>
  <si>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</si>
  <si>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</si>
  <si>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</si>
  <si>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</si>
  <si>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</si>
  <si>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</si>
  <si>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</si>
  <si>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</si>
  <si>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</si>
  <si>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</si>
  <si>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</si>
  <si>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</si>
  <si>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</si>
  <si>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</si>
  <si>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</si>
  <si>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</si>
  <si>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</si>
  <si>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</si>
  <si>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</si>
  <si>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</si>
  <si>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</si>
  <si>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</si>
  <si>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</si>
  <si>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</si>
  <si>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</si>
  <si>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</si>
  <si>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</si>
  <si>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</si>
  <si>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</si>
  <si>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</si>
  <si>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</si>
  <si>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</si>
  <si>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</si>
  <si>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</si>
  <si>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</si>
  <si>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</si>
  <si>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</si>
  <si>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</si>
  <si>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</si>
  <si>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</si>
  <si>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</si>
  <si>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</si>
  <si>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</si>
  <si>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</si>
  <si>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</si>
  <si>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</si>
  <si>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</si>
  <si>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</si>
  <si>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</si>
  <si>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</si>
  <si>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</si>
  <si>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</si>
  <si>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</si>
  <si>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</si>
  <si>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</si>
  <si>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</si>
  <si>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</si>
  <si>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</si>
  <si>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</si>
  <si>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</si>
  <si>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</si>
  <si>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</si>
  <si>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</si>
  <si>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</si>
  <si>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</si>
  <si>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</si>
  <si>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</si>
  <si>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</si>
  <si>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</si>
  <si>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</si>
  <si>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</si>
  <si>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</si>
  <si>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</si>
  <si>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</si>
  <si>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</si>
  <si>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</si>
  <si>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</si>
  <si>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</si>
  <si>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</si>
  <si>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</si>
  <si>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</si>
  <si>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</si>
  <si>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</si>
  <si>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</si>
  <si>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</si>
  <si>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</si>
  <si>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</si>
  <si>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</si>
  <si>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</si>
  <si>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</si>
  <si>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</si>
  <si>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</si>
  <si>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</si>
  <si>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</si>
  <si>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</si>
  <si>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</si>
  <si>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</si>
  <si>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</si>
  <si>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</si>
  <si>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</si>
  <si>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</si>
  <si>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</si>
  <si>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</si>
  <si>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</si>
  <si>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</si>
  <si>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</si>
  <si>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</si>
  <si>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</si>
  <si>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</si>
  <si>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</si>
  <si>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</si>
  <si>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</si>
  <si>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</si>
  <si>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</si>
  <si>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</si>
  <si>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</si>
  <si>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</si>
  <si>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</si>
  <si>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</si>
  <si>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</si>
  <si>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</si>
  <si>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</si>
  <si>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</si>
  <si>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</si>
  <si>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</si>
  <si>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</si>
  <si>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</si>
  <si>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</si>
  <si>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</si>
  <si>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</si>
  <si>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</si>
  <si>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</si>
  <si>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</si>
  <si>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</si>
  <si>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</si>
  <si>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</si>
  <si>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</si>
  <si>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</si>
  <si>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</si>
  <si>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</si>
  <si>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</si>
  <si>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</si>
  <si>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</si>
  <si>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</si>
  <si>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</si>
  <si>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</si>
  <si>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</si>
  <si>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</si>
  <si>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</si>
  <si>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</si>
  <si>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</si>
  <si>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</si>
  <si>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</si>
  <si>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</si>
  <si>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</si>
  <si>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</si>
  <si>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</si>
  <si>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</si>
  <si>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</si>
  <si>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</si>
  <si>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</si>
  <si>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</si>
  <si>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</si>
  <si>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</si>
  <si>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</si>
  <si>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</si>
  <si>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</si>
  <si>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</si>
  <si>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</si>
  <si>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</si>
  <si>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</si>
  <si>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</si>
  <si>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</si>
  <si>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</si>
  <si>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</si>
  <si>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</si>
  <si>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</si>
  <si>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</si>
  <si>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</si>
  <si>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</si>
  <si>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</si>
  <si>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</si>
  <si>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</si>
  <si>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</si>
  <si>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</si>
  <si>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</si>
  <si>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</si>
  <si>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</si>
  <si>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</si>
  <si>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</si>
  <si>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</si>
  <si>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</si>
  <si>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</si>
  <si>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</si>
  <si>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</si>
  <si>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</si>
  <si>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</si>
  <si>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</si>
  <si>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</si>
  <si>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</si>
  <si>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</si>
  <si>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</si>
  <si>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</si>
  <si>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</si>
  <si>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</si>
  <si>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</si>
  <si>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</si>
  <si>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</si>
  <si>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</si>
  <si>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</si>
  <si>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</si>
  <si>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</si>
  <si>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</si>
  <si>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</si>
  <si>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</si>
  <si>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</si>
  <si>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</si>
  <si>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</si>
  <si>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</si>
  <si>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</si>
  <si>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</si>
  <si>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</si>
  <si>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</si>
  <si>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</si>
  <si>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</si>
  <si>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</si>
  <si>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</si>
  <si>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</si>
  <si>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</si>
  <si>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</si>
  <si>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</si>
  <si>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</si>
  <si>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</si>
  <si>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</si>
  <si>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</si>
  <si>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</si>
  <si>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</si>
  <si>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</si>
  <si>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</si>
  <si>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</si>
  <si>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</si>
  <si>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</si>
  <si>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</si>
  <si>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</si>
  <si>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</si>
  <si>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</si>
  <si>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</si>
  <si>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</si>
  <si>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</si>
  <si>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</si>
  <si>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</si>
  <si>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</si>
  <si>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</si>
  <si>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</si>
  <si>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</si>
  <si>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</si>
  <si>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</si>
  <si>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</si>
  <si>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</si>
  <si>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</si>
  <si>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</si>
  <si>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</si>
  <si>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</si>
  <si>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</si>
  <si>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</si>
  <si>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</si>
  <si>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</si>
  <si>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</si>
  <si>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</si>
  <si>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</si>
  <si>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</si>
  <si>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</si>
  <si>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</si>
  <si>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</si>
  <si>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</si>
  <si>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</si>
  <si>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</si>
  <si>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</si>
  <si>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</si>
  <si>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</si>
  <si>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</si>
  <si>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</si>
  <si>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</si>
  <si>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</si>
  <si>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</si>
  <si>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</si>
  <si>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</si>
  <si>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</si>
  <si>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</si>
  <si>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</si>
  <si>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</si>
  <si>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</si>
  <si>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</si>
  <si>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</si>
  <si>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</si>
  <si>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</si>
  <si>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</si>
  <si>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</si>
  <si>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</si>
  <si>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</si>
  <si>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</si>
  <si>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</si>
  <si>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</si>
  <si>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</si>
  <si>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</si>
  <si>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</si>
  <si>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</si>
  <si>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</si>
  <si>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</si>
  <si>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</si>
  <si>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</si>
  <si>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</si>
  <si>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</si>
  <si>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</si>
  <si>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</si>
  <si>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</si>
  <si>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</si>
  <si>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</si>
  <si>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</si>
  <si>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</si>
  <si>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</si>
  <si>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</si>
  <si>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</si>
  <si>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</si>
  <si>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</si>
  <si>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</si>
  <si>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</si>
  <si>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</si>
  <si>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</si>
  <si>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</si>
  <si>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</si>
  <si>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</si>
  <si>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</si>
  <si>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</si>
  <si>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</si>
  <si>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</si>
  <si>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</si>
  <si>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</si>
  <si>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</si>
  <si>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</si>
  <si>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</si>
  <si>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</si>
  <si>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</si>
  <si>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</si>
  <si>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</si>
  <si>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</si>
  <si>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</si>
  <si>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</si>
  <si>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</si>
  <si>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</si>
  <si>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</si>
  <si>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</si>
  <si>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</si>
  <si>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</si>
  <si>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</si>
  <si>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</si>
  <si>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</si>
  <si>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</si>
  <si>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</si>
  <si>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</si>
  <si>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</si>
  <si>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</si>
  <si>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</si>
  <si>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</si>
  <si>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</si>
  <si>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</si>
  <si>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</si>
  <si>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</si>
  <si>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</si>
  <si>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</si>
  <si>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</si>
  <si>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</si>
  <si>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</si>
  <si>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</si>
  <si>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</si>
  <si>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</si>
  <si>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</si>
  <si>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</si>
  <si>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</si>
  <si>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</si>
  <si>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</si>
  <si>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</si>
  <si>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</si>
  <si>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</si>
  <si>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</si>
  <si>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</si>
  <si>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</si>
  <si>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</si>
  <si>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</si>
  <si>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</si>
  <si>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</si>
  <si>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</si>
  <si>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</si>
  <si>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</si>
  <si>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</si>
  <si>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</si>
  <si>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</si>
  <si>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</si>
  <si>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</si>
  <si>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</si>
  <si>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</si>
  <si>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</si>
  <si>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</si>
  <si>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</si>
  <si>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</si>
  <si>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</si>
  <si>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</si>
  <si>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</si>
  <si>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</si>
  <si>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</si>
  <si>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</si>
  <si>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</si>
  <si>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</si>
  <si>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</si>
  <si>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</si>
  <si>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</si>
  <si>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</si>
  <si>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</si>
  <si>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</si>
  <si>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</si>
  <si>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</si>
  <si>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</si>
  <si>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</si>
  <si>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</si>
  <si>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</si>
  <si>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</si>
  <si>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</si>
  <si>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</si>
  <si>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</si>
  <si>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</si>
  <si>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</si>
  <si>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</si>
  <si>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</si>
  <si>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</si>
  <si>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</si>
  <si>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</si>
  <si>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</si>
  <si>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</si>
  <si>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</si>
  <si>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</si>
  <si>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</si>
  <si>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</si>
  <si>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</si>
  <si>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</si>
  <si>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</si>
  <si>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</si>
  <si>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</si>
  <si>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</si>
  <si>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</si>
  <si>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</si>
  <si>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</si>
  <si>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</si>
  <si>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</si>
  <si>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</si>
  <si>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</si>
  <si>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</si>
  <si>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</si>
  <si>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</si>
  <si>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</si>
  <si>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</si>
  <si>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</si>
  <si>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</si>
  <si>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</si>
  <si>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</si>
  <si>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</si>
  <si>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</si>
  <si>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</si>
  <si>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</si>
  <si>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</si>
  <si>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</si>
  <si>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</si>
  <si>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</si>
  <si>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</si>
  <si>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</si>
  <si>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</si>
  <si>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</si>
  <si>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</si>
  <si>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</si>
  <si>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</si>
  <si>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</si>
  <si>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</si>
  <si>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</si>
  <si>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</si>
  <si>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</si>
  <si>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</si>
  <si>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</si>
  <si>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</si>
  <si>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</si>
  <si>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</si>
  <si>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</si>
  <si>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</si>
  <si>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</si>
  <si>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</si>
  <si>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</si>
  <si>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</si>
  <si>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</si>
  <si>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</si>
  <si>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</si>
  <si>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</si>
  <si>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</si>
  <si>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</si>
  <si>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</si>
  <si>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</si>
  <si>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</si>
  <si>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</si>
  <si>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</si>
  <si>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</si>
  <si>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</si>
  <si>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</si>
  <si>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</si>
  <si>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</si>
  <si>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</si>
  <si>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</si>
  <si>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</si>
  <si>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</si>
  <si>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</si>
  <si>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</si>
  <si>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</si>
  <si>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</si>
  <si>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</si>
  <si>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</si>
  <si>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</si>
  <si>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</si>
  <si>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</si>
  <si>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</si>
  <si>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</si>
  <si>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</si>
  <si>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</si>
  <si>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</si>
  <si>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</si>
  <si>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</si>
  <si>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</si>
  <si>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</si>
  <si>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</si>
  <si>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</si>
  <si>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</si>
  <si>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</si>
  <si>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</si>
  <si>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</si>
  <si>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</si>
  <si>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</si>
  <si>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</si>
  <si>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</si>
  <si>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</si>
  <si>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</si>
  <si>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</si>
  <si>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</si>
  <si>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</si>
  <si>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</si>
  <si>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</si>
  <si>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</si>
  <si>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</si>
  <si>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</si>
  <si>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</si>
  <si>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</si>
  <si>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</si>
  <si>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</si>
  <si>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</si>
  <si>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</si>
  <si>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</si>
  <si>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</si>
  <si>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</si>
  <si>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</si>
  <si>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</si>
  <si>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</si>
  <si>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</si>
  <si>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</si>
  <si>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</si>
  <si>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</si>
  <si>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</si>
  <si>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</si>
  <si>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</si>
  <si>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</si>
  <si>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</si>
  <si>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</si>
  <si>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</si>
  <si>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</si>
  <si>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</si>
  <si>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</si>
  <si>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</si>
  <si>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</si>
  <si>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</si>
  <si>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</si>
  <si>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</si>
  <si>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</si>
  <si>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</si>
  <si>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</si>
  <si>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</si>
  <si>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</si>
  <si>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</si>
  <si>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</si>
  <si>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</si>
  <si>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</si>
  <si>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</si>
  <si>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</si>
  <si>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</si>
  <si>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</si>
  <si>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</si>
  <si>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</si>
  <si>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</si>
  <si>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</si>
  <si>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</si>
  <si>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</si>
  <si>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</si>
  <si>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</si>
  <si>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</si>
  <si>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</si>
  <si>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</si>
  <si>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</si>
  <si>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</si>
  <si>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</si>
  <si>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</si>
  <si>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</si>
  <si>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</si>
  <si>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</si>
  <si>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</si>
  <si>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</si>
  <si>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</si>
  <si>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</si>
  <si>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</si>
  <si>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</si>
  <si>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</si>
  <si>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</si>
  <si>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</si>
  <si>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</si>
  <si>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</si>
  <si>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</si>
  <si>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</si>
  <si>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</si>
  <si>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</si>
  <si>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</si>
  <si>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</si>
  <si>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</si>
  <si>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</si>
  <si>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</si>
  <si>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</si>
  <si>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</si>
  <si>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</si>
  <si>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</si>
  <si>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</si>
  <si>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</si>
  <si>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</si>
  <si>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</si>
  <si>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</si>
  <si>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</si>
  <si>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</si>
  <si>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</si>
  <si>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</si>
  <si>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</si>
  <si>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</si>
  <si>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</si>
  <si>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</si>
  <si>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</si>
  <si>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</si>
  <si>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</si>
  <si>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</si>
  <si>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</si>
  <si>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</si>
  <si>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</si>
  <si>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</si>
  <si>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</si>
  <si>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</si>
  <si>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</si>
  <si>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</si>
  <si>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</si>
  <si>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</si>
  <si>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</si>
  <si>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</si>
  <si>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</si>
  <si>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</si>
  <si>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</si>
  <si>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</si>
  <si>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</si>
  <si>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</si>
  <si>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</si>
  <si>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</si>
  <si>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</si>
  <si>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</si>
  <si>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</si>
  <si>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</si>
  <si>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</si>
  <si>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</si>
  <si>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</si>
  <si>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</si>
  <si>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</si>
  <si>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</si>
  <si>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</si>
  <si>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</si>
  <si>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</si>
  <si>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</si>
  <si>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</si>
  <si>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</si>
  <si>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</si>
  <si>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</si>
  <si>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</si>
  <si>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</si>
  <si>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</si>
  <si>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</si>
  <si>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</si>
  <si>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</si>
  <si>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</si>
  <si>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</si>
  <si>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</si>
  <si>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</si>
  <si>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</si>
  <si>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</si>
  <si>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</si>
  <si>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</si>
  <si>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</si>
  <si>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</si>
  <si>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</si>
  <si>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</si>
  <si>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</si>
  <si>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</si>
  <si>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</si>
  <si>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</si>
  <si>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</si>
  <si>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</si>
  <si>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</si>
  <si>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</si>
  <si>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</si>
  <si>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</si>
  <si>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</si>
  <si>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</si>
  <si>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</si>
  <si>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</si>
  <si>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</si>
  <si>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</si>
  <si>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</si>
  <si>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</si>
  <si>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</si>
  <si>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</si>
  <si>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</si>
  <si>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</si>
  <si>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</si>
  <si>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</si>
  <si>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</si>
  <si>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</si>
  <si>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</si>
  <si>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</si>
  <si>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</si>
  <si>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</si>
  <si>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</si>
  <si>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</si>
  <si>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</si>
  <si>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</si>
  <si>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</si>
  <si>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</si>
  <si>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</si>
  <si>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</si>
  <si>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</si>
  <si>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</si>
  <si>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</si>
  <si>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</si>
  <si>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</si>
  <si>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</si>
  <si>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</si>
  <si>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</si>
  <si>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</si>
  <si>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</si>
  <si>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</si>
  <si>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</si>
  <si>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</si>
  <si>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</si>
  <si>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</si>
  <si>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</si>
  <si>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</si>
  <si>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</si>
  <si>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</si>
  <si>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</si>
  <si>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</si>
  <si>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</si>
  <si>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</si>
  <si>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</si>
  <si>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</si>
  <si>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</si>
  <si>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</si>
  <si>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</si>
  <si>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</si>
  <si>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</si>
  <si>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</si>
  <si>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</si>
  <si>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</si>
  <si>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</si>
  <si>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</si>
  <si>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</si>
  <si>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</si>
  <si>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</si>
  <si>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</si>
  <si>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</si>
  <si>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</si>
  <si>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</si>
  <si>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</si>
  <si>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</si>
  <si>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</si>
  <si>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</si>
  <si>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</si>
  <si>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</si>
  <si>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</si>
  <si>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</si>
  <si>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</si>
  <si>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</si>
  <si>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</si>
  <si>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</si>
  <si>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</si>
  <si>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</si>
  <si>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</si>
  <si>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</si>
  <si>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</si>
  <si>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</si>
  <si>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</si>
  <si>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</si>
  <si>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</si>
  <si>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</si>
  <si>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</si>
  <si>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</si>
  <si>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</si>
  <si>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</si>
  <si>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</si>
  <si>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</si>
  <si>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</si>
  <si>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</si>
  <si>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</si>
  <si>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</si>
  <si>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</si>
  <si>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</si>
  <si>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</si>
  <si>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</si>
  <si>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</si>
  <si>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</si>
  <si>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</si>
  <si>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</si>
  <si>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</si>
  <si>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</si>
  <si>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</si>
  <si>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</si>
  <si>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</si>
  <si>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</si>
  <si>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</si>
  <si>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</si>
  <si>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</si>
  <si>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</si>
  <si>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</si>
  <si>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</si>
  <si>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</si>
  <si>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</si>
  <si>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</si>
  <si>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</si>
  <si>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</si>
  <si>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</si>
  <si>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</si>
  <si>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</si>
  <si>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</si>
  <si>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</si>
  <si>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</si>
  <si>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</si>
  <si>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</si>
  <si>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</si>
  <si>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</si>
  <si>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</si>
  <si>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</si>
  <si>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</si>
  <si>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</si>
  <si>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</si>
  <si>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</si>
  <si>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</si>
  <si>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</si>
  <si>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</si>
  <si>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</si>
  <si>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</si>
  <si>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</si>
  <si>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</si>
  <si>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</si>
  <si>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</si>
  <si>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</si>
  <si>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</si>
  <si>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</si>
  <si>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</si>
  <si>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</si>
  <si>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</si>
  <si>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</si>
  <si>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</si>
  <si>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</si>
  <si>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</si>
  <si>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</si>
  <si>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</si>
  <si>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</si>
  <si>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</si>
  <si>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</si>
  <si>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</si>
  <si>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</si>
  <si>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</si>
  <si>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</si>
  <si>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</si>
  <si>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</si>
  <si>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</si>
  <si>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</si>
  <si>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</si>
  <si>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</si>
  <si>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</si>
  <si>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</si>
  <si>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</si>
  <si>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</si>
  <si>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</si>
  <si>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</si>
  <si>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</si>
  <si>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</si>
  <si>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</si>
  <si>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</si>
  <si>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</si>
  <si>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</si>
  <si>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</si>
  <si>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</si>
  <si>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</si>
  <si>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</si>
  <si>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</si>
  <si>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</si>
  <si>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</si>
  <si>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</si>
  <si>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</si>
  <si>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</si>
  <si>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</si>
  <si>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</si>
  <si>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</si>
  <si>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</si>
  <si>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</si>
  <si>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</si>
  <si>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</si>
  <si>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</si>
  <si>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</si>
  <si>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</si>
  <si>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</si>
  <si>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</si>
  <si>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</si>
  <si>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</si>
  <si>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</si>
  <si>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</si>
  <si>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</si>
  <si>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</si>
  <si>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</si>
  <si>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</si>
  <si>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</si>
  <si>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</si>
  <si>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</si>
  <si>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</si>
  <si>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</si>
  <si>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</si>
  <si>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</si>
  <si>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</si>
  <si>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</si>
  <si>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</si>
  <si>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</si>
  <si>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</si>
  <si>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</si>
  <si>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</si>
  <si>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</si>
  <si>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</si>
  <si>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</si>
  <si>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</si>
  <si>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</si>
  <si>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</si>
  <si>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</si>
  <si>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</si>
  <si>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</si>
  <si>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</si>
  <si>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</si>
  <si>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</si>
  <si>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</si>
  <si>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</si>
  <si>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</si>
  <si>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</si>
  <si>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</si>
  <si>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</si>
  <si>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</si>
  <si>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</si>
  <si>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</si>
  <si>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</si>
  <si>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</si>
  <si>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</si>
  <si>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</si>
  <si>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</si>
  <si>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</si>
  <si>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</si>
  <si>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</si>
  <si>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</si>
  <si>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</si>
  <si>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</si>
  <si>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</si>
  <si>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</si>
  <si>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</si>
  <si>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</si>
  <si>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</si>
  <si>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</si>
  <si>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</si>
  <si>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</si>
  <si>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</si>
  <si>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</si>
  <si>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</si>
  <si>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</si>
  <si>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</si>
  <si>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</si>
  <si>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</si>
  <si>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</si>
  <si>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</si>
  <si>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</si>
  <si>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</si>
  <si>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</si>
  <si>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</si>
  <si>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</si>
  <si>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</si>
  <si>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</si>
  <si>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</si>
  <si>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</si>
  <si>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</si>
  <si>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</si>
  <si>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</si>
  <si>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</si>
  <si>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</si>
  <si>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</si>
  <si>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</si>
  <si>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</si>
  <si>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</si>
  <si>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</si>
  <si>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</si>
  <si>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</si>
  <si>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</si>
  <si>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</si>
  <si>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</si>
  <si>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</si>
  <si>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</si>
  <si>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</si>
  <si>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</si>
  <si>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</si>
  <si>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</si>
  <si>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</si>
  <si>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</si>
  <si>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</si>
  <si>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</si>
  <si>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</si>
  <si>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</si>
  <si>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</si>
  <si>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</si>
  <si>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</si>
  <si>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</si>
  <si>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</si>
  <si>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</si>
  <si>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</si>
  <si>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</si>
  <si>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</si>
  <si>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</si>
  <si>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</si>
  <si>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</si>
  <si>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</si>
  <si>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</si>
  <si>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</si>
  <si>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</si>
  <si>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</si>
  <si>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</si>
  <si>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</si>
  <si>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</si>
  <si>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</si>
  <si>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</si>
  <si>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</si>
  <si>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</si>
  <si>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</si>
  <si>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</si>
  <si>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</si>
  <si>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</si>
  <si>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</si>
  <si>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</si>
  <si>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</si>
  <si>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</si>
  <si>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</si>
  <si>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</si>
  <si>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</si>
  <si>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</si>
  <si>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</si>
  <si>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</si>
  <si>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</si>
  <si>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</si>
  <si>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</si>
  <si>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</si>
  <si>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</si>
  <si>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</si>
  <si>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</si>
  <si>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</si>
  <si>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</si>
  <si>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</si>
  <si>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</si>
  <si>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</si>
  <si>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</si>
  <si>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</si>
  <si>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</si>
  <si>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</si>
  <si>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</si>
  <si>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</si>
  <si>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</si>
  <si>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</si>
  <si>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</si>
  <si>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</si>
  <si>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</si>
  <si>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</si>
  <si>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</si>
  <si>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</si>
  <si>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</si>
  <si>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</si>
  <si>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</si>
  <si>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</si>
  <si>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</si>
  <si>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</si>
  <si>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</si>
  <si>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</si>
  <si>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</si>
  <si>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</si>
  <si>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</si>
  <si>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</si>
  <si>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</si>
  <si>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</si>
  <si>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</si>
  <si>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</si>
  <si>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</si>
  <si>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</si>
  <si>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</si>
  <si>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</si>
  <si>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</si>
  <si>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</si>
  <si>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</si>
  <si>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</si>
  <si>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</si>
  <si>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</si>
  <si>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</si>
  <si>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</si>
  <si>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</si>
  <si>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</si>
  <si>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</si>
  <si>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</si>
  <si>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</si>
  <si>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</si>
  <si>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</si>
  <si>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</si>
  <si>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</si>
  <si>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</si>
  <si>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</si>
  <si>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</si>
  <si>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</si>
  <si>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</si>
  <si>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</si>
  <si>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</si>
  <si>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</si>
  <si>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</si>
  <si>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</si>
  <si>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</si>
  <si>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</si>
  <si>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</si>
  <si>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</si>
  <si>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</si>
  <si>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</si>
  <si>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</si>
  <si>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</si>
  <si>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</si>
  <si>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</si>
  <si>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</si>
  <si>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</si>
  <si>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</si>
  <si>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</si>
  <si>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</si>
  <si>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</si>
  <si>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</si>
  <si>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</si>
  <si>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</si>
  <si>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</si>
  <si>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</si>
  <si>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</si>
  <si>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</si>
  <si>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</si>
  <si>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</si>
  <si>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</si>
  <si>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</si>
  <si>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</si>
  <si>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</si>
  <si>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</si>
  <si>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</si>
  <si>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</si>
  <si>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</si>
  <si>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</si>
  <si>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</si>
  <si>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</si>
  <si>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</si>
  <si>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</si>
  <si>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</si>
  <si>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</si>
  <si>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</si>
  <si>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</si>
  <si>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</si>
  <si>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</si>
  <si>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</si>
  <si>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</si>
  <si>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</si>
  <si>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</si>
  <si>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</si>
  <si>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</si>
  <si>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</si>
  <si>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</si>
  <si>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</si>
  <si>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</si>
  <si>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</si>
  <si>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</si>
  <si>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</si>
  <si>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</si>
  <si>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</si>
  <si>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</si>
  <si>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</si>
  <si>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</si>
  <si>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</si>
  <si>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</si>
  <si>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</si>
  <si>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</si>
  <si>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</si>
  <si>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</si>
  <si>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</si>
  <si>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</si>
  <si>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</si>
  <si>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</si>
  <si>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</si>
  <si>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</si>
  <si>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</si>
  <si>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</si>
  <si>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</si>
  <si>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</si>
  <si>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</si>
  <si>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</si>
  <si>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</si>
  <si>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</si>
  <si>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</si>
  <si>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</si>
  <si>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</si>
  <si>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</si>
  <si>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</si>
  <si>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</si>
  <si>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</si>
  <si>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</si>
  <si>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</si>
  <si>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</si>
  <si>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</si>
  <si>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</si>
  <si>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</si>
  <si>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</si>
  <si>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</si>
  <si>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</si>
  <si>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</si>
  <si>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</si>
  <si>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</si>
  <si>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</si>
  <si>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</si>
  <si>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</si>
  <si>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</si>
  <si>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</si>
  <si>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</si>
  <si>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</si>
  <si>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</si>
  <si>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</si>
  <si>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</si>
  <si>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</si>
  <si>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</si>
  <si>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</si>
  <si>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</si>
  <si>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</si>
  <si>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</si>
  <si>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</si>
  <si>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</si>
  <si>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</si>
  <si>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</si>
  <si>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</si>
  <si>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</si>
  <si>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</si>
  <si>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</si>
  <si>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</si>
  <si>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</si>
  <si>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</si>
  <si>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</si>
  <si>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</si>
  <si>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</si>
  <si>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</si>
  <si>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</si>
  <si>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</si>
  <si>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</si>
  <si>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</si>
  <si>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</si>
  <si>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</si>
  <si>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</si>
  <si>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</si>
  <si>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</si>
  <si>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</si>
  <si>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</si>
  <si>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</si>
  <si>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</si>
  <si>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</si>
  <si>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</si>
  <si>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</si>
  <si>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</si>
  <si>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</si>
  <si>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</si>
  <si>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</si>
  <si>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</si>
  <si>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</si>
  <si>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</si>
  <si>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</si>
  <si>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</si>
  <si>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</si>
  <si>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</si>
  <si>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</si>
  <si>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</si>
  <si>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</si>
  <si>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</si>
  <si>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</si>
  <si>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</si>
  <si>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</si>
  <si>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</si>
  <si>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</si>
  <si>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</si>
  <si>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</si>
  <si>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</si>
  <si>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</si>
  <si>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</si>
  <si>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</si>
  <si>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</si>
  <si>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</si>
  <si>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</si>
  <si>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</si>
  <si>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</si>
  <si>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</si>
  <si>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</si>
  <si>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</si>
  <si>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</si>
  <si>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</si>
  <si>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</si>
  <si>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</si>
  <si>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</si>
  <si>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</si>
  <si>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</si>
  <si>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</si>
  <si>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</si>
  <si>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</si>
  <si>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</si>
  <si>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</si>
  <si>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</si>
  <si>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</si>
  <si>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</si>
  <si>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</si>
  <si>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</si>
  <si>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</si>
  <si>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</si>
  <si>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</si>
  <si>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</si>
  <si>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</si>
  <si>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</si>
  <si>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</si>
  <si>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</si>
  <si>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</si>
  <si>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</si>
  <si>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</si>
  <si>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</si>
  <si>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</si>
  <si>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</si>
  <si>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</si>
  <si>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</si>
  <si>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</si>
  <si>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</si>
  <si>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</si>
  <si>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</si>
  <si>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</si>
  <si>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</si>
  <si>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</si>
  <si>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</si>
  <si>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</si>
  <si>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</si>
  <si>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</si>
  <si>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</si>
  <si>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</si>
  <si>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</si>
  <si>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</si>
  <si>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</si>
  <si>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</si>
  <si>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</si>
  <si>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</si>
  <si>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</si>
  <si>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</si>
  <si>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</si>
  <si>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</si>
  <si>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</si>
  <si>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</si>
  <si>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</si>
  <si>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</si>
  <si>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</si>
  <si>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</si>
  <si>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</si>
  <si>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</si>
  <si>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</si>
  <si>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</si>
  <si>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</si>
  <si>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</si>
  <si>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</si>
  <si>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</si>
  <si>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</si>
  <si>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</si>
  <si>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</si>
  <si>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</si>
  <si>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</si>
  <si>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</si>
  <si>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</si>
  <si>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</si>
  <si>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</si>
  <si>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</si>
  <si>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</si>
  <si>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</si>
  <si>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</si>
  <si>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</si>
  <si>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</si>
  <si>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</si>
  <si>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</si>
  <si>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</si>
  <si>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</si>
  <si>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</si>
  <si>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</si>
  <si>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</si>
  <si>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</si>
  <si>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</si>
  <si>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</si>
  <si>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</si>
  <si>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</si>
  <si>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</si>
  <si>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</si>
  <si>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</si>
  <si>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</si>
  <si>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</si>
  <si>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</si>
  <si>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</si>
  <si>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</si>
  <si>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</si>
  <si>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</si>
  <si>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</si>
  <si>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</si>
  <si>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</si>
  <si>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</si>
  <si>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</si>
  <si>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</si>
  <si>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</si>
  <si>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</si>
  <si>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</si>
  <si>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</si>
  <si>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</si>
  <si>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</si>
  <si>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</si>
  <si>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</si>
  <si>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</si>
  <si>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</si>
  <si>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</si>
  <si>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</si>
  <si>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</si>
  <si>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</si>
  <si>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</si>
  <si>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</si>
  <si>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</si>
  <si>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</si>
  <si>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</si>
  <si>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</si>
  <si>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</si>
  <si>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</si>
  <si>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</si>
  <si>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</si>
  <si>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</si>
  <si>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</si>
  <si>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</si>
  <si>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</si>
  <si>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</si>
  <si>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</si>
  <si>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</si>
  <si>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</si>
  <si>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</si>
  <si>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</si>
  <si>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</si>
  <si>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</si>
  <si>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</si>
  <si>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</si>
  <si>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</si>
  <si>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</si>
  <si>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</si>
  <si>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</si>
  <si>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</si>
  <si>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</si>
  <si>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</si>
  <si>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</si>
  <si>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</si>
  <si>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</si>
  <si>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</si>
  <si>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</si>
  <si>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</si>
  <si>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</si>
  <si>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</si>
  <si>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</si>
  <si>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</si>
  <si>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</si>
  <si>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</si>
  <si>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</si>
  <si>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</si>
  <si>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</si>
  <si>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</si>
  <si>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</si>
  <si>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</si>
  <si>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</si>
  <si>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</si>
  <si>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</si>
  <si>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</si>
  <si>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</si>
  <si>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</si>
  <si>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</si>
  <si>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</si>
  <si>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</si>
  <si>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</si>
  <si>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</si>
  <si>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</si>
  <si>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</si>
  <si>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</si>
  <si>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</si>
  <si>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</si>
  <si>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</si>
  <si>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</si>
  <si>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</si>
  <si>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</si>
  <si>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</si>
  <si>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</si>
  <si>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</si>
  <si>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</si>
  <si>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</si>
  <si>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</si>
  <si>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</si>
  <si>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</si>
  <si>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</si>
  <si>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</si>
  <si>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</si>
  <si>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</si>
  <si>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</si>
  <si>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</si>
  <si>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</si>
  <si>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</si>
  <si>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</si>
  <si>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</si>
  <si>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</si>
  <si>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</si>
  <si>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</si>
  <si>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</si>
  <si>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</si>
  <si>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</si>
  <si>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</si>
  <si>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</si>
  <si>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</si>
  <si>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</si>
  <si>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</si>
  <si>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</si>
  <si>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</si>
  <si>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</si>
  <si>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</si>
  <si>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</si>
  <si>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</si>
  <si>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</si>
  <si>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</si>
  <si>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</si>
  <si>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</si>
  <si>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</si>
  <si>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</si>
  <si>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</si>
  <si>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</si>
  <si>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</si>
  <si>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</si>
  <si>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</si>
  <si>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</si>
  <si>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</si>
  <si>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</si>
  <si>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</si>
  <si>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</si>
  <si>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</si>
  <si>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</si>
  <si>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</si>
  <si>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</si>
  <si>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</si>
  <si>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</si>
  <si>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</si>
  <si>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</si>
  <si>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</si>
  <si>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</si>
  <si>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</si>
  <si>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</si>
  <si>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</si>
  <si>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</si>
  <si>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</si>
  <si>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</si>
  <si>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</si>
  <si>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</si>
  <si>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</si>
  <si>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</si>
  <si>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</si>
  <si>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</si>
  <si>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</si>
  <si>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</si>
  <si>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</si>
  <si>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</si>
  <si>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</si>
  <si>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</si>
  <si>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</si>
  <si>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</si>
  <si>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</si>
  <si>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</si>
  <si>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</si>
  <si>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</si>
  <si>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</si>
  <si>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</si>
  <si>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</si>
  <si>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</si>
  <si>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</si>
  <si>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</si>
  <si>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</si>
  <si>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</si>
  <si>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</si>
  <si>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</si>
  <si>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</si>
  <si>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</si>
  <si>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</si>
  <si>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</si>
  <si>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</si>
  <si>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</si>
  <si>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</si>
  <si>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</si>
  <si>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</si>
  <si>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</si>
  <si>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</si>
  <si>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</si>
  <si>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</si>
  <si>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</si>
  <si>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</si>
  <si>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</si>
  <si>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</si>
  <si>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</si>
  <si>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</si>
  <si>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</si>
  <si>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</si>
  <si>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</si>
  <si>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</si>
  <si>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</si>
  <si>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</si>
  <si>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</si>
  <si>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</si>
  <si>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</si>
  <si>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</si>
  <si>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</si>
  <si>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</si>
  <si>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</si>
  <si>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</si>
  <si>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</si>
  <si>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</si>
  <si>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</si>
  <si>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</si>
  <si>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</si>
  <si>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</si>
  <si>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</si>
  <si>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</si>
  <si>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</si>
  <si>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</si>
  <si>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</si>
  <si>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</si>
  <si>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</si>
  <si>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</si>
  <si>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</si>
  <si>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</si>
  <si>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</si>
  <si>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</si>
  <si>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</si>
  <si>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</si>
  <si>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</si>
  <si>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</si>
  <si>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</si>
  <si>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</si>
  <si>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</si>
  <si>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</si>
  <si>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</si>
  <si>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</si>
  <si>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</si>
  <si>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</si>
  <si>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</si>
  <si>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</si>
  <si>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</si>
  <si>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</si>
  <si>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</si>
  <si>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</si>
  <si>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</si>
  <si>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</si>
  <si>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</si>
  <si>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</si>
  <si>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</si>
  <si>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</si>
  <si>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</si>
  <si>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</si>
  <si>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</si>
  <si>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</si>
  <si>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</si>
  <si>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</si>
  <si>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</si>
  <si>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</si>
  <si>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</si>
  <si>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</si>
  <si>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</si>
  <si>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</si>
  <si>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</si>
  <si>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</si>
  <si>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</si>
  <si>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</si>
  <si>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</si>
  <si>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</si>
  <si>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</si>
  <si>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</si>
  <si>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</si>
  <si>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</si>
  <si>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</si>
  <si>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</si>
  <si>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</si>
  <si>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</si>
  <si>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</si>
  <si>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</si>
  <si>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</si>
  <si>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</si>
  <si>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</si>
  <si>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</si>
  <si>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</si>
  <si>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</si>
  <si>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</si>
  <si>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</si>
  <si>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</si>
  <si>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</si>
  <si>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</si>
  <si>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</si>
  <si>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</si>
  <si>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</si>
  <si>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</si>
  <si>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</si>
  <si>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</si>
  <si>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</si>
  <si>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</si>
  <si>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</si>
  <si>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</si>
  <si>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</si>
  <si>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</si>
  <si>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</si>
  <si>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</si>
  <si>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</si>
  <si>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</si>
  <si>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</si>
  <si>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</si>
  <si>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</si>
  <si>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</si>
  <si>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</si>
  <si>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</si>
  <si>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</si>
  <si>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</si>
  <si>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</si>
  <si>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</si>
  <si>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</si>
  <si>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</si>
  <si>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</si>
  <si>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</si>
  <si>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</si>
  <si>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</si>
  <si>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</si>
  <si>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</si>
  <si>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</si>
  <si>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</si>
  <si>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</si>
  <si>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</si>
  <si>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</si>
  <si>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</si>
  <si>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</si>
  <si>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</si>
  <si>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</si>
  <si>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</si>
  <si>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</si>
  <si>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</si>
  <si>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</si>
  <si>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</si>
  <si>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</si>
  <si>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</si>
  <si>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</si>
  <si>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</si>
  <si>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</si>
  <si>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</si>
  <si>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</si>
  <si>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</si>
  <si>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</si>
  <si>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</si>
  <si>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</si>
  <si>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</si>
  <si>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</si>
  <si>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</si>
  <si>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</si>
  <si>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</si>
  <si>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</si>
  <si>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</si>
  <si>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</si>
  <si>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</si>
  <si>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</si>
  <si>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</si>
  <si>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The 2 students that were listed as another LEA were foster students who attended Derry Schools and tuition was not </t>
  </si>
  <si>
    <t>charged or payment received from that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</si>
</sst>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8" fontId="4" fillId="40" borderId="0" xfId="43" applyNumberFormat="1" applyFill="1" applyProtection="1">
      <protection locked="0"/>
    </xf>
    <xf numFmtId="3"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992</v>
      </c>
      <c r="B2">
        <f>INDEX('School Tables'!$AH$3:$AH$209,MATCH('DOE25'!A2,'School Tables'!$AJ$3:$AJ$209,0))</f>
        <v>131</v>
      </c>
      <c r="C2">
        <f>INDEX('School Tables'!$AI$3:$AI$209,MATCH('DOE25'!A2,'School Tables'!$AJ$3:$AJ$209,0))</f>
        <v>131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-1721284.54+200+7570439.05</f>
        <v>5849354.5099999998</v>
      </c>
      <c r="G9" s="18">
        <v>925</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1946423.15-2285015.1</f>
        <v>-338591.95000000019</v>
      </c>
      <c r="G12" s="18">
        <v>966675.33</v>
      </c>
      <c r="H12" s="18">
        <f>-730896.97+102813.59</f>
        <v>-628083.38</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24586.560000000001</v>
      </c>
      <c r="G13" s="18">
        <f>130243.84+1899.8+5625.05</f>
        <v>137768.68999999997</v>
      </c>
      <c r="H13" s="18">
        <v>715351.21</v>
      </c>
      <c r="I13" s="18"/>
      <c r="J13" s="13">
        <f>SUM(I443)</f>
        <v>200411.39</v>
      </c>
      <c r="K13" s="23" t="s">
        <v>288</v>
      </c>
      <c r="L13" s="23" t="s">
        <v>288</v>
      </c>
      <c r="M13" s="8"/>
      <c r="N13" s="165"/>
    </row>
    <row r="14" spans="1:14" s="3" customFormat="1" ht="12.2" customHeight="1" x14ac:dyDescent="0.15">
      <c r="A14" s="1" t="s">
        <v>565</v>
      </c>
      <c r="B14" s="2" t="s">
        <v>289</v>
      </c>
      <c r="C14" s="6">
        <v>6</v>
      </c>
      <c r="D14" s="2" t="s">
        <v>428</v>
      </c>
      <c r="E14" s="6">
        <v>150</v>
      </c>
      <c r="F14" s="18">
        <v>40265</v>
      </c>
      <c r="G14" s="18"/>
      <c r="H14" s="18">
        <v>18431</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24993.49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5575614.1199999992</v>
      </c>
      <c r="G19" s="38">
        <f>SUM(G9:G18)</f>
        <v>1130362.51</v>
      </c>
      <c r="H19" s="38">
        <f>SUM(H9:H18)</f>
        <v>105698.82999999996</v>
      </c>
      <c r="I19" s="38">
        <f>SUM(I9:I18)</f>
        <v>0</v>
      </c>
      <c r="J19" s="38">
        <f>SUM(J9:J18)</f>
        <v>200411.39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563751.79+100</f>
        <v>563851.79</v>
      </c>
      <c r="G24" s="18">
        <v>1367.79</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110833.4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14460</v>
      </c>
      <c r="G30" s="18">
        <v>27207.360000000001</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-1250.98</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687894.21000000008</v>
      </c>
      <c r="G32" s="38">
        <f>SUM(G22:G31)</f>
        <v>28575.15</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24993.49</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1076793.8700000001</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1800000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105698.83</v>
      </c>
      <c r="I48" s="18"/>
      <c r="J48" s="13">
        <f>SUM(I460)</f>
        <v>200411.39</v>
      </c>
      <c r="K48" s="23" t="s">
        <v>288</v>
      </c>
      <c r="L48" s="23" t="s">
        <v>288</v>
      </c>
      <c r="M48" s="8"/>
      <c r="N48" s="165"/>
    </row>
    <row r="49" spans="1:14" s="3" customFormat="1" ht="12.2" customHeight="1" x14ac:dyDescent="0.15">
      <c r="A49" s="1" t="s">
        <v>858</v>
      </c>
      <c r="B49" s="2" t="s">
        <v>289</v>
      </c>
      <c r="C49" s="6">
        <v>34</v>
      </c>
      <c r="D49" s="2"/>
      <c r="E49" s="6">
        <v>753</v>
      </c>
      <c r="F49" s="18">
        <v>101127.55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2186592.36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4887719.91</v>
      </c>
      <c r="G51" s="38">
        <f>SUM(G35:G50)</f>
        <v>1101787.3600000001</v>
      </c>
      <c r="H51" s="38">
        <f>SUM(H35:H50)</f>
        <v>105698.83</v>
      </c>
      <c r="I51" s="38">
        <f>SUM(I35:I50)</f>
        <v>0</v>
      </c>
      <c r="J51" s="38">
        <f>SUM(J35:J50)</f>
        <v>200411.39</v>
      </c>
      <c r="K51" s="42" t="s">
        <v>288</v>
      </c>
      <c r="L51" s="42" t="s">
        <v>288</v>
      </c>
      <c r="N51" s="131"/>
    </row>
    <row r="52" spans="1:14" s="3" customFormat="1" ht="12.2" customHeight="1" thickTop="1" x14ac:dyDescent="0.15">
      <c r="A52" s="35" t="s">
        <v>455</v>
      </c>
      <c r="B52" s="36" t="s">
        <v>289</v>
      </c>
      <c r="C52" s="6">
        <v>37</v>
      </c>
      <c r="D52" s="36" t="s">
        <v>653</v>
      </c>
      <c r="E52" s="36"/>
      <c r="F52" s="38">
        <f>F51+F32</f>
        <v>5575614.1200000001</v>
      </c>
      <c r="G52" s="38">
        <f>G51+G32</f>
        <v>1130362.51</v>
      </c>
      <c r="H52" s="38">
        <f>H51+H32</f>
        <v>105698.83</v>
      </c>
      <c r="I52" s="38">
        <f>I51+I32</f>
        <v>0</v>
      </c>
      <c r="J52" s="38">
        <f>J51+J32</f>
        <v>200411.39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55628738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55628738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131028.42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56360.38</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187388.79999999999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135401.87</v>
      </c>
      <c r="G96" s="18"/>
      <c r="H96" s="18"/>
      <c r="I96" s="18"/>
      <c r="J96" s="18">
        <v>2514.34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828428.19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f>34005+24756.02</f>
        <v>58761.020000000004</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v>20616.7</v>
      </c>
      <c r="H102" s="18">
        <v>103172.01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662643.1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856805.99</v>
      </c>
      <c r="G111" s="38">
        <f>SUM(G96:G110)</f>
        <v>849044.8899999999</v>
      </c>
      <c r="H111" s="38">
        <f>SUM(H96:H110)</f>
        <v>103172.01</v>
      </c>
      <c r="I111" s="38">
        <f>SUM(I96:I110)</f>
        <v>0</v>
      </c>
      <c r="J111" s="38">
        <f>SUM(J96:J110)</f>
        <v>2514.34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56672932.789999999</v>
      </c>
      <c r="G112" s="38">
        <f>G60+G111</f>
        <v>849044.8899999999</v>
      </c>
      <c r="H112" s="38">
        <f>H60+H79+H94+H111</f>
        <v>103172.01</v>
      </c>
      <c r="I112" s="38">
        <f>I60+I111</f>
        <v>0</v>
      </c>
      <c r="J112" s="38">
        <f>J60+J111</f>
        <v>2514.34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25968269.25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4786918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119974.32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30875161.57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462659.09</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1027110.94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84896.13+19822.7</f>
        <v>104718.83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1489770.03</v>
      </c>
      <c r="G136" s="38">
        <f>SUM(G123:G135)</f>
        <v>104718.83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32364931.600000001</v>
      </c>
      <c r="G140" s="38">
        <f>G121+SUM(G136:G137)</f>
        <v>104718.83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810454.6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158610.09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67903</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356861.16+492009.82</f>
        <v>848870.98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1421945.47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417504.98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25927.33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1870257.31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417504.98</v>
      </c>
      <c r="G163" s="38">
        <f>SUM(G150:G162)</f>
        <v>848870.98</v>
      </c>
      <c r="H163" s="38">
        <f>SUM(H150:H162)</f>
        <v>4355097.8000000007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417504.98</v>
      </c>
      <c r="G170" s="38">
        <f>G147+G163+SUM(G164:G169)</f>
        <v>848870.98</v>
      </c>
      <c r="H170" s="38">
        <f>H147+H163+SUM(H164:H169)</f>
        <v>4355097.8000000007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89455369.370000005</v>
      </c>
      <c r="G194" s="38">
        <f>G112+G140+G170+G193</f>
        <v>1802634.6999999997</v>
      </c>
      <c r="H194" s="38">
        <f>H112+H140+H170+H193</f>
        <v>4458269.8100000005</v>
      </c>
      <c r="I194" s="38">
        <f>I112+I140+I170+I193</f>
        <v>0</v>
      </c>
      <c r="J194" s="38">
        <f>J112+J140+J193</f>
        <v>2514.34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8260326.8600000003</v>
      </c>
      <c r="G198" s="18">
        <v>5004654.6000000006</v>
      </c>
      <c r="H198" s="18">
        <v>1752.78</v>
      </c>
      <c r="I198" s="18">
        <v>93908.78</v>
      </c>
      <c r="J198" s="18">
        <v>-499.72</v>
      </c>
      <c r="K198" s="18">
        <v>0</v>
      </c>
      <c r="L198" s="13">
        <f>SUM(F198:K198)</f>
        <v>13360143.299999999</v>
      </c>
      <c r="M198" s="8"/>
      <c r="N198" s="165"/>
    </row>
    <row r="199" spans="1:14" s="3" customFormat="1" ht="12.2" customHeight="1" x14ac:dyDescent="0.15">
      <c r="A199" s="1" t="s">
        <v>439</v>
      </c>
      <c r="B199" s="2" t="s">
        <v>341</v>
      </c>
      <c r="C199" s="2" t="s">
        <v>291</v>
      </c>
      <c r="D199" s="2" t="s">
        <v>431</v>
      </c>
      <c r="E199" s="6">
        <v>1200</v>
      </c>
      <c r="F199" s="18">
        <v>5382090.0899999999</v>
      </c>
      <c r="G199" s="18">
        <v>2417413.2799999998</v>
      </c>
      <c r="H199" s="18">
        <v>2530477.79</v>
      </c>
      <c r="I199" s="18">
        <v>6494.76</v>
      </c>
      <c r="J199" s="18">
        <v>5913.99</v>
      </c>
      <c r="K199" s="18">
        <v>2931.4</v>
      </c>
      <c r="L199" s="13">
        <f>SUM(F199:K199)</f>
        <v>10345321.310000001</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141417.84</v>
      </c>
      <c r="G201" s="18">
        <v>33343.83</v>
      </c>
      <c r="H201" s="18">
        <v>0</v>
      </c>
      <c r="I201" s="18">
        <v>0</v>
      </c>
      <c r="J201" s="18">
        <v>0</v>
      </c>
      <c r="K201" s="18">
        <v>0</v>
      </c>
      <c r="L201" s="13">
        <f>SUM(F201:K201)</f>
        <v>174761.66999999998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1986933.9700000002</v>
      </c>
      <c r="G203" s="18">
        <v>1353993.85</v>
      </c>
      <c r="H203" s="18">
        <v>965316.38</v>
      </c>
      <c r="I203" s="18">
        <v>17033.349999999999</v>
      </c>
      <c r="J203" s="18">
        <v>0</v>
      </c>
      <c r="K203" s="18">
        <v>0</v>
      </c>
      <c r="L203" s="13">
        <f t="shared" ref="L203:L209" si="0">SUM(F203:K203)</f>
        <v>4323277.55</v>
      </c>
      <c r="M203" s="8"/>
      <c r="N203" s="165"/>
    </row>
    <row r="204" spans="1:14" s="3" customFormat="1" ht="12.2" customHeight="1" x14ac:dyDescent="0.15">
      <c r="A204" s="1" t="s">
        <v>443</v>
      </c>
      <c r="B204" s="2" t="s">
        <v>341</v>
      </c>
      <c r="C204" s="2" t="s">
        <v>295</v>
      </c>
      <c r="D204" s="2" t="s">
        <v>431</v>
      </c>
      <c r="E204" s="6">
        <v>2200</v>
      </c>
      <c r="F204" s="18">
        <v>554263.59000000008</v>
      </c>
      <c r="G204" s="18">
        <v>289880.99</v>
      </c>
      <c r="H204" s="18">
        <v>136998.21</v>
      </c>
      <c r="I204" s="18">
        <v>271350.76</v>
      </c>
      <c r="J204" s="18">
        <v>25797.27</v>
      </c>
      <c r="K204" s="18">
        <v>8617.6200000000008</v>
      </c>
      <c r="L204" s="13">
        <f t="shared" si="0"/>
        <v>1286908.4400000002</v>
      </c>
      <c r="M204" s="8"/>
      <c r="N204" s="165"/>
    </row>
    <row r="205" spans="1:14" s="3" customFormat="1" ht="12.2" customHeight="1" x14ac:dyDescent="0.15">
      <c r="A205" s="1" t="s">
        <v>444</v>
      </c>
      <c r="B205" s="2" t="s">
        <v>341</v>
      </c>
      <c r="C205" s="2" t="s">
        <v>296</v>
      </c>
      <c r="D205" s="2" t="s">
        <v>431</v>
      </c>
      <c r="E205" s="6">
        <v>2300</v>
      </c>
      <c r="F205" s="18">
        <v>390861.26</v>
      </c>
      <c r="G205" s="18">
        <v>226852.78</v>
      </c>
      <c r="H205" s="18">
        <v>104506.87</v>
      </c>
      <c r="I205" s="18">
        <v>22108.14</v>
      </c>
      <c r="J205" s="18">
        <v>0</v>
      </c>
      <c r="K205" s="18">
        <v>8861.67</v>
      </c>
      <c r="L205" s="13">
        <f t="shared" si="0"/>
        <v>753190.72000000009</v>
      </c>
      <c r="M205" s="8"/>
      <c r="N205" s="165"/>
    </row>
    <row r="206" spans="1:14" s="3" customFormat="1" ht="12.2" customHeight="1" x14ac:dyDescent="0.15">
      <c r="A206" s="1" t="s">
        <v>445</v>
      </c>
      <c r="B206" s="2" t="s">
        <v>341</v>
      </c>
      <c r="C206" s="2" t="s">
        <v>297</v>
      </c>
      <c r="D206" s="2" t="s">
        <v>431</v>
      </c>
      <c r="E206" s="6">
        <v>2400</v>
      </c>
      <c r="F206" s="18">
        <v>1353351.75</v>
      </c>
      <c r="G206" s="18">
        <v>856808.37</v>
      </c>
      <c r="H206" s="18">
        <v>134386.54999999999</v>
      </c>
      <c r="I206" s="18">
        <v>19699.870000000003</v>
      </c>
      <c r="J206" s="18">
        <v>7041.6</v>
      </c>
      <c r="K206" s="18">
        <v>8026</v>
      </c>
      <c r="L206" s="13">
        <f t="shared" si="0"/>
        <v>2379314.14</v>
      </c>
      <c r="M206" s="8"/>
      <c r="N206" s="165"/>
    </row>
    <row r="207" spans="1:14" s="3" customFormat="1" ht="12.2" customHeight="1" x14ac:dyDescent="0.15">
      <c r="A207" s="1" t="s">
        <v>446</v>
      </c>
      <c r="B207" s="2" t="s">
        <v>341</v>
      </c>
      <c r="C207" s="2" t="s">
        <v>298</v>
      </c>
      <c r="D207" s="2" t="s">
        <v>431</v>
      </c>
      <c r="E207" s="6">
        <v>2500</v>
      </c>
      <c r="F207" s="18">
        <v>307417.40999999997</v>
      </c>
      <c r="G207" s="18">
        <v>142864.25</v>
      </c>
      <c r="H207" s="18">
        <v>2506.5299999999997</v>
      </c>
      <c r="I207" s="18">
        <v>796.12</v>
      </c>
      <c r="J207" s="18">
        <v>0</v>
      </c>
      <c r="K207" s="18">
        <v>5918.09</v>
      </c>
      <c r="L207" s="13">
        <f t="shared" si="0"/>
        <v>459502.4</v>
      </c>
      <c r="M207" s="8"/>
      <c r="N207" s="165"/>
    </row>
    <row r="208" spans="1:14" s="3" customFormat="1" ht="12.2" customHeight="1" x14ac:dyDescent="0.15">
      <c r="A208" s="1" t="s">
        <v>447</v>
      </c>
      <c r="B208" s="2" t="s">
        <v>341</v>
      </c>
      <c r="C208" s="2" t="s">
        <v>299</v>
      </c>
      <c r="D208" s="2" t="s">
        <v>431</v>
      </c>
      <c r="E208" s="6">
        <v>2600</v>
      </c>
      <c r="F208" s="18">
        <v>1021446.44</v>
      </c>
      <c r="G208" s="18">
        <v>535583.4</v>
      </c>
      <c r="H208" s="18">
        <v>1046249.3099999999</v>
      </c>
      <c r="I208" s="18">
        <v>806009.07000000007</v>
      </c>
      <c r="J208" s="18">
        <v>0</v>
      </c>
      <c r="K208" s="18">
        <v>0</v>
      </c>
      <c r="L208" s="13">
        <f t="shared" si="0"/>
        <v>3409288.2199999997</v>
      </c>
      <c r="M208" s="8"/>
      <c r="N208" s="165"/>
    </row>
    <row r="209" spans="1:14" s="3" customFormat="1" ht="12.2" customHeight="1" x14ac:dyDescent="0.15">
      <c r="A209" s="1" t="s">
        <v>448</v>
      </c>
      <c r="B209" s="2" t="s">
        <v>341</v>
      </c>
      <c r="C209" s="2" t="s">
        <v>300</v>
      </c>
      <c r="D209" s="2" t="s">
        <v>431</v>
      </c>
      <c r="E209" s="6">
        <v>2700</v>
      </c>
      <c r="F209" s="18">
        <v>0</v>
      </c>
      <c r="G209" s="18">
        <v>0</v>
      </c>
      <c r="H209" s="18">
        <v>2061305.46</v>
      </c>
      <c r="I209" s="18">
        <v>0</v>
      </c>
      <c r="J209" s="18">
        <v>0</v>
      </c>
      <c r="K209" s="18">
        <v>0</v>
      </c>
      <c r="L209" s="13">
        <f t="shared" si="0"/>
        <v>2061305.46</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54905.01</v>
      </c>
      <c r="J210" s="18">
        <v>0</v>
      </c>
      <c r="K210" s="18">
        <v>0</v>
      </c>
      <c r="L210" s="13">
        <f>SUM(F210:K210)</f>
        <v>54905.01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19398109.210000001</v>
      </c>
      <c r="G212" s="38">
        <f t="shared" si="1"/>
        <v>10861395.35</v>
      </c>
      <c r="H212" s="38">
        <f t="shared" si="1"/>
        <v>6983499.879999999</v>
      </c>
      <c r="I212" s="38">
        <f t="shared" si="1"/>
        <v>1292305.8600000001</v>
      </c>
      <c r="J212" s="38">
        <f t="shared" si="1"/>
        <v>38253.14</v>
      </c>
      <c r="K212" s="38">
        <f t="shared" si="1"/>
        <v>34354.78</v>
      </c>
      <c r="L212" s="38">
        <f t="shared" si="1"/>
        <v>38607918.219999999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4962215.41</v>
      </c>
      <c r="G216" s="18">
        <v>3046593.81</v>
      </c>
      <c r="H216" s="18">
        <v>4762.38</v>
      </c>
      <c r="I216" s="18">
        <v>56244.49</v>
      </c>
      <c r="J216" s="18">
        <v>8878.48</v>
      </c>
      <c r="K216" s="18">
        <v>0</v>
      </c>
      <c r="L216" s="13">
        <f>SUM(F216:K216)</f>
        <v>8078694.5700000012</v>
      </c>
      <c r="M216" s="8"/>
      <c r="N216" s="165"/>
    </row>
    <row r="217" spans="1:14" s="3" customFormat="1" ht="12.2" customHeight="1" x14ac:dyDescent="0.15">
      <c r="A217" s="1" t="s">
        <v>439</v>
      </c>
      <c r="B217" s="2" t="s">
        <v>346</v>
      </c>
      <c r="C217" s="2" t="s">
        <v>291</v>
      </c>
      <c r="D217" s="2" t="s">
        <v>431</v>
      </c>
      <c r="E217" s="6">
        <v>1200</v>
      </c>
      <c r="F217" s="18">
        <v>2227732.75</v>
      </c>
      <c r="G217" s="18">
        <v>986254.48</v>
      </c>
      <c r="H217" s="18">
        <v>1168295.6900000002</v>
      </c>
      <c r="I217" s="18">
        <v>744.24</v>
      </c>
      <c r="J217" s="18">
        <v>3116.88</v>
      </c>
      <c r="K217" s="18">
        <v>1553.6</v>
      </c>
      <c r="L217" s="13">
        <f>SUM(F217:K217)</f>
        <v>4387697.6399999997</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183036.69</v>
      </c>
      <c r="G219" s="18">
        <v>39246.33</v>
      </c>
      <c r="H219" s="18">
        <v>14831.55</v>
      </c>
      <c r="I219" s="18">
        <v>6987.34</v>
      </c>
      <c r="J219" s="18">
        <v>7273.19</v>
      </c>
      <c r="K219" s="18">
        <v>3887</v>
      </c>
      <c r="L219" s="13">
        <f>SUM(F219:K219)</f>
        <v>255262.1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1202735.71</v>
      </c>
      <c r="G221" s="18">
        <v>727793.72</v>
      </c>
      <c r="H221" s="18">
        <v>154574.66999999998</v>
      </c>
      <c r="I221" s="18">
        <v>10247.98</v>
      </c>
      <c r="J221" s="18">
        <v>0</v>
      </c>
      <c r="K221" s="18">
        <v>0</v>
      </c>
      <c r="L221" s="13">
        <f t="shared" ref="L221:L227" si="2">SUM(F221:K221)</f>
        <v>2095352.0799999998</v>
      </c>
      <c r="M221" s="8"/>
      <c r="N221" s="165"/>
    </row>
    <row r="222" spans="1:14" s="3" customFormat="1" ht="12.2" customHeight="1" x14ac:dyDescent="0.15">
      <c r="A222" s="1" t="s">
        <v>443</v>
      </c>
      <c r="B222" s="2" t="s">
        <v>346</v>
      </c>
      <c r="C222" s="2" t="s">
        <v>295</v>
      </c>
      <c r="D222" s="2" t="s">
        <v>431</v>
      </c>
      <c r="E222" s="6">
        <v>2200</v>
      </c>
      <c r="F222" s="18">
        <v>295158.51</v>
      </c>
      <c r="G222" s="18">
        <v>167011.5</v>
      </c>
      <c r="H222" s="18">
        <v>83097.650000000009</v>
      </c>
      <c r="I222" s="18">
        <v>143275.28</v>
      </c>
      <c r="J222" s="18">
        <v>13379.44</v>
      </c>
      <c r="K222" s="18">
        <v>4567.24</v>
      </c>
      <c r="L222" s="13">
        <f t="shared" si="2"/>
        <v>706489.62</v>
      </c>
      <c r="M222" s="8"/>
      <c r="N222" s="165"/>
    </row>
    <row r="223" spans="1:14" s="3" customFormat="1" ht="12.2" customHeight="1" x14ac:dyDescent="0.15">
      <c r="A223" s="1" t="s">
        <v>444</v>
      </c>
      <c r="B223" s="2" t="s">
        <v>346</v>
      </c>
      <c r="C223" s="2" t="s">
        <v>296</v>
      </c>
      <c r="D223" s="2" t="s">
        <v>431</v>
      </c>
      <c r="E223" s="6">
        <v>2300</v>
      </c>
      <c r="F223" s="18">
        <v>207151.69</v>
      </c>
      <c r="G223" s="18">
        <v>120229.19</v>
      </c>
      <c r="H223" s="18">
        <v>55387.369999999995</v>
      </c>
      <c r="I223" s="18">
        <v>11717.04</v>
      </c>
      <c r="J223" s="18">
        <v>0</v>
      </c>
      <c r="K223" s="18">
        <v>4696.57</v>
      </c>
      <c r="L223" s="13">
        <f t="shared" si="2"/>
        <v>399181.86</v>
      </c>
      <c r="M223" s="8"/>
      <c r="N223" s="165"/>
    </row>
    <row r="224" spans="1:14" s="3" customFormat="1" ht="12.2" customHeight="1" x14ac:dyDescent="0.15">
      <c r="A224" s="1" t="s">
        <v>445</v>
      </c>
      <c r="B224" s="2" t="s">
        <v>346</v>
      </c>
      <c r="C224" s="2" t="s">
        <v>297</v>
      </c>
      <c r="D224" s="2" t="s">
        <v>431</v>
      </c>
      <c r="E224" s="6">
        <v>2400</v>
      </c>
      <c r="F224" s="18">
        <v>717202.74</v>
      </c>
      <c r="G224" s="18">
        <v>474341.26999999996</v>
      </c>
      <c r="H224" s="18">
        <v>87071.909999999989</v>
      </c>
      <c r="I224" s="18">
        <v>18312.849999999999</v>
      </c>
      <c r="J224" s="18">
        <v>5247.29</v>
      </c>
      <c r="K224" s="18">
        <v>2889</v>
      </c>
      <c r="L224" s="13">
        <f t="shared" si="2"/>
        <v>1305065.06</v>
      </c>
      <c r="M224" s="8"/>
      <c r="N224" s="165"/>
    </row>
    <row r="225" spans="1:14" s="3" customFormat="1" ht="12.2" customHeight="1" x14ac:dyDescent="0.15">
      <c r="A225" s="1" t="s">
        <v>446</v>
      </c>
      <c r="B225" s="2" t="s">
        <v>346</v>
      </c>
      <c r="C225" s="2" t="s">
        <v>298</v>
      </c>
      <c r="D225" s="2" t="s">
        <v>431</v>
      </c>
      <c r="E225" s="6">
        <v>2500</v>
      </c>
      <c r="F225" s="18">
        <v>162927.47</v>
      </c>
      <c r="G225" s="18">
        <v>75716.3</v>
      </c>
      <c r="H225" s="18">
        <v>1328.44</v>
      </c>
      <c r="I225" s="18">
        <v>421.93</v>
      </c>
      <c r="J225" s="18">
        <v>0</v>
      </c>
      <c r="K225" s="18">
        <v>3136.51</v>
      </c>
      <c r="L225" s="13">
        <f t="shared" si="2"/>
        <v>243530.65000000002</v>
      </c>
      <c r="M225" s="8"/>
      <c r="N225" s="165"/>
    </row>
    <row r="226" spans="1:14" s="3" customFormat="1" ht="12.2" customHeight="1" x14ac:dyDescent="0.15">
      <c r="A226" s="1" t="s">
        <v>447</v>
      </c>
      <c r="B226" s="2" t="s">
        <v>346</v>
      </c>
      <c r="C226" s="2" t="s">
        <v>299</v>
      </c>
      <c r="D226" s="2" t="s">
        <v>431</v>
      </c>
      <c r="E226" s="6">
        <v>2600</v>
      </c>
      <c r="F226" s="18">
        <v>594402.49</v>
      </c>
      <c r="G226" s="18">
        <v>301093.21000000002</v>
      </c>
      <c r="H226" s="18">
        <v>559932.28</v>
      </c>
      <c r="I226" s="18">
        <v>480452.1</v>
      </c>
      <c r="J226" s="18">
        <v>0</v>
      </c>
      <c r="K226" s="18">
        <v>0</v>
      </c>
      <c r="L226" s="13">
        <f t="shared" si="2"/>
        <v>1935880.08</v>
      </c>
      <c r="M226" s="8"/>
      <c r="N226" s="165"/>
    </row>
    <row r="227" spans="1:14" s="3" customFormat="1" ht="12.2" customHeight="1" x14ac:dyDescent="0.15">
      <c r="A227" s="1" t="s">
        <v>448</v>
      </c>
      <c r="B227" s="2" t="s">
        <v>346</v>
      </c>
      <c r="C227" s="2" t="s">
        <v>300</v>
      </c>
      <c r="D227" s="2" t="s">
        <v>431</v>
      </c>
      <c r="E227" s="6">
        <v>2700</v>
      </c>
      <c r="F227" s="18">
        <v>0</v>
      </c>
      <c r="G227" s="18">
        <v>0</v>
      </c>
      <c r="H227" s="18">
        <v>1148744.73</v>
      </c>
      <c r="I227" s="18">
        <v>0</v>
      </c>
      <c r="J227" s="18">
        <v>0</v>
      </c>
      <c r="K227" s="18">
        <v>0</v>
      </c>
      <c r="L227" s="13">
        <f t="shared" si="2"/>
        <v>1148744.73</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29098.99</v>
      </c>
      <c r="J228" s="18">
        <v>0</v>
      </c>
      <c r="K228" s="18">
        <v>0</v>
      </c>
      <c r="L228" s="13">
        <f>SUM(F228:K228)</f>
        <v>29098.99</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10552563.460000001</v>
      </c>
      <c r="G230" s="38">
        <f>SUM(G216:G229)</f>
        <v>5938279.8099999996</v>
      </c>
      <c r="H230" s="38">
        <f>SUM(H216:H229)</f>
        <v>3278026.67</v>
      </c>
      <c r="I230" s="38">
        <f>SUM(I216:I229)</f>
        <v>757502.24</v>
      </c>
      <c r="J230" s="38">
        <f>SUM(J216:J229)</f>
        <v>37895.279999999999</v>
      </c>
      <c r="K230" s="38">
        <f t="shared" si="3"/>
        <v>20729.919999999998</v>
      </c>
      <c r="L230" s="38">
        <f t="shared" si="3"/>
        <v>20584997.379999995</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22431401.640000001</v>
      </c>
      <c r="I234" s="18">
        <v>0</v>
      </c>
      <c r="J234" s="18">
        <v>0</v>
      </c>
      <c r="K234" s="18">
        <v>0</v>
      </c>
      <c r="L234" s="13">
        <f>SUM(F234:K234)</f>
        <v>22431401.640000001</v>
      </c>
      <c r="M234" s="8"/>
      <c r="N234" s="165"/>
    </row>
    <row r="235" spans="1:14" s="3" customFormat="1" ht="12.2" customHeight="1" x14ac:dyDescent="0.15">
      <c r="A235" s="1" t="s">
        <v>439</v>
      </c>
      <c r="B235" s="2" t="s">
        <v>350</v>
      </c>
      <c r="C235" s="2" t="s">
        <v>291</v>
      </c>
      <c r="D235" s="2" t="s">
        <v>431</v>
      </c>
      <c r="E235" s="6">
        <v>1200</v>
      </c>
      <c r="F235" s="18">
        <v>81840.13</v>
      </c>
      <c r="G235" s="18">
        <v>54898.78</v>
      </c>
      <c r="H235" s="18">
        <v>6832473.7199999997</v>
      </c>
      <c r="I235" s="18">
        <v>0</v>
      </c>
      <c r="J235" s="18">
        <v>0</v>
      </c>
      <c r="K235" s="18">
        <v>0</v>
      </c>
      <c r="L235" s="13">
        <f>SUM(F235:K235)</f>
        <v>6969212.6299999999</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354642.1</v>
      </c>
      <c r="I239" s="18">
        <v>0</v>
      </c>
      <c r="J239" s="18">
        <v>0</v>
      </c>
      <c r="K239" s="18">
        <v>0</v>
      </c>
      <c r="L239" s="13">
        <f t="shared" ref="L239:L245" si="4">SUM(F239:K239)</f>
        <v>354642.1</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958650.84</v>
      </c>
      <c r="I245" s="18">
        <v>0</v>
      </c>
      <c r="J245" s="18">
        <v>0</v>
      </c>
      <c r="K245" s="18">
        <v>0</v>
      </c>
      <c r="L245" s="13">
        <f t="shared" si="4"/>
        <v>958650.84</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81840.13</v>
      </c>
      <c r="G248" s="38">
        <f t="shared" si="5"/>
        <v>54898.78</v>
      </c>
      <c r="H248" s="38">
        <f t="shared" si="5"/>
        <v>30577168.300000001</v>
      </c>
      <c r="I248" s="38">
        <f t="shared" si="5"/>
        <v>0</v>
      </c>
      <c r="J248" s="38">
        <f t="shared" si="5"/>
        <v>0</v>
      </c>
      <c r="K248" s="38">
        <f t="shared" si="5"/>
        <v>0</v>
      </c>
      <c r="L248" s="38">
        <f t="shared" si="5"/>
        <v>30713907.210000001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56108.36</v>
      </c>
      <c r="G252" s="18">
        <v>4670.78</v>
      </c>
      <c r="H252" s="18">
        <f>900+14003.69</f>
        <v>14903.69</v>
      </c>
      <c r="I252" s="18">
        <v>2614.84</v>
      </c>
      <c r="J252" s="18">
        <v>0</v>
      </c>
      <c r="K252" s="18">
        <v>0</v>
      </c>
      <c r="L252" s="13">
        <f t="shared" si="6"/>
        <v>78297.67</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56108.36</v>
      </c>
      <c r="G257" s="38">
        <f t="shared" si="7"/>
        <v>4670.78</v>
      </c>
      <c r="H257" s="38">
        <f t="shared" si="7"/>
        <v>14903.69</v>
      </c>
      <c r="I257" s="38">
        <f t="shared" si="7"/>
        <v>2614.84</v>
      </c>
      <c r="J257" s="38">
        <f t="shared" si="7"/>
        <v>0</v>
      </c>
      <c r="K257" s="38">
        <f t="shared" si="7"/>
        <v>0</v>
      </c>
      <c r="L257" s="38">
        <f>SUM(F257:K257)</f>
        <v>78297.67</v>
      </c>
      <c r="M257" s="8"/>
      <c r="N257" s="165"/>
    </row>
    <row r="258" spans="1:14" s="3" customFormat="1" ht="12.2" customHeight="1" thickTop="1" x14ac:dyDescent="0.15">
      <c r="A258" s="35" t="s">
        <v>462</v>
      </c>
      <c r="B258" s="37">
        <v>10</v>
      </c>
      <c r="C258" s="37">
        <v>8</v>
      </c>
      <c r="D258" s="36" t="s">
        <v>431</v>
      </c>
      <c r="E258" s="37"/>
      <c r="F258" s="38">
        <f t="shared" ref="F258:L258" si="8">F212+F230+F248+F257</f>
        <v>30088621.16</v>
      </c>
      <c r="G258" s="38">
        <f t="shared" si="8"/>
        <v>16859244.720000003</v>
      </c>
      <c r="H258" s="38">
        <f t="shared" si="8"/>
        <v>40853598.539999999</v>
      </c>
      <c r="I258" s="38">
        <f t="shared" si="8"/>
        <v>2052422.9400000002</v>
      </c>
      <c r="J258" s="38">
        <f t="shared" si="8"/>
        <v>76148.42</v>
      </c>
      <c r="K258" s="38">
        <f t="shared" si="8"/>
        <v>55084.7</v>
      </c>
      <c r="L258" s="38">
        <f t="shared" si="8"/>
        <v>89985120.480000004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1787715.12</v>
      </c>
      <c r="L261" s="13">
        <f>SUM(F261:K261)</f>
        <v>1787715.12</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276229.94</v>
      </c>
      <c r="L262" s="13">
        <f>SUM(F262:K262)</f>
        <v>276229.94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2063945.06</v>
      </c>
      <c r="L271" s="38">
        <f t="shared" si="9"/>
        <v>2063945.06</v>
      </c>
      <c r="M271" s="8"/>
      <c r="N271" s="165"/>
    </row>
    <row r="272" spans="1:14" s="33" customFormat="1" ht="12.2" customHeight="1" thickTop="1" x14ac:dyDescent="0.2">
      <c r="A272" s="40" t="s">
        <v>464</v>
      </c>
      <c r="B272" s="37">
        <v>10</v>
      </c>
      <c r="C272" s="37">
        <v>18</v>
      </c>
      <c r="D272" s="36" t="s">
        <v>431</v>
      </c>
      <c r="E272" s="37"/>
      <c r="F272" s="39">
        <f t="shared" ref="F272:L272" si="11">F258+F271</f>
        <v>30088621.16</v>
      </c>
      <c r="G272" s="39">
        <f t="shared" si="11"/>
        <v>16859244.720000003</v>
      </c>
      <c r="H272" s="39">
        <f t="shared" si="11"/>
        <v>40853598.539999999</v>
      </c>
      <c r="I272" s="39">
        <f t="shared" si="11"/>
        <v>2052422.9400000002</v>
      </c>
      <c r="J272" s="39">
        <f t="shared" si="11"/>
        <v>76148.42</v>
      </c>
      <c r="K272" s="39">
        <f t="shared" si="11"/>
        <v>2119029.7600000002</v>
      </c>
      <c r="L272" s="39">
        <f t="shared" si="11"/>
        <v>92049065.540000007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712523.90999999992</v>
      </c>
      <c r="G277" s="18">
        <v>277327.19</v>
      </c>
      <c r="H277" s="18">
        <v>26047.17</v>
      </c>
      <c r="I277" s="18">
        <v>414050.10000000003</v>
      </c>
      <c r="J277" s="18">
        <v>0</v>
      </c>
      <c r="K277" s="18">
        <v>0</v>
      </c>
      <c r="L277" s="13">
        <f>SUM(F277:K277)</f>
        <v>1429948.3699999999</v>
      </c>
      <c r="M277" s="8"/>
      <c r="N277" s="165"/>
    </row>
    <row r="278" spans="1:14" s="3" customFormat="1" ht="12.2" customHeight="1" x14ac:dyDescent="0.15">
      <c r="A278" s="1" t="s">
        <v>439</v>
      </c>
      <c r="B278" s="2" t="s">
        <v>357</v>
      </c>
      <c r="C278" s="2" t="s">
        <v>291</v>
      </c>
      <c r="D278" s="2" t="s">
        <v>431</v>
      </c>
      <c r="E278" s="6">
        <v>1200</v>
      </c>
      <c r="F278" s="18">
        <v>217556.09</v>
      </c>
      <c r="G278" s="18">
        <v>55012.91</v>
      </c>
      <c r="H278" s="18">
        <v>11588.88</v>
      </c>
      <c r="I278" s="18">
        <v>3003.51</v>
      </c>
      <c r="J278" s="18">
        <v>21642</v>
      </c>
      <c r="K278" s="18">
        <v>0</v>
      </c>
      <c r="L278" s="13">
        <f>SUM(F278:K278)</f>
        <v>308803.39</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12874.39</v>
      </c>
      <c r="G280" s="18">
        <v>3198.69</v>
      </c>
      <c r="H280" s="18">
        <v>0</v>
      </c>
      <c r="I280" s="18">
        <v>2775.15</v>
      </c>
      <c r="J280" s="18">
        <v>0</v>
      </c>
      <c r="K280" s="18">
        <v>0</v>
      </c>
      <c r="L280" s="13">
        <f>SUM(F280:K280)</f>
        <v>18848.23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166210.26</v>
      </c>
      <c r="G282" s="18">
        <v>53375.360000000001</v>
      </c>
      <c r="H282" s="18">
        <v>649830.27</v>
      </c>
      <c r="I282" s="18">
        <v>62128.21</v>
      </c>
      <c r="J282" s="18">
        <v>0</v>
      </c>
      <c r="K282" s="18">
        <v>37.53</v>
      </c>
      <c r="L282" s="13">
        <f t="shared" ref="L282:L288" si="12">SUM(F282:K282)</f>
        <v>931581.63</v>
      </c>
      <c r="M282" s="8"/>
      <c r="N282" s="165"/>
    </row>
    <row r="283" spans="1:14" s="3" customFormat="1" ht="12.2" customHeight="1" x14ac:dyDescent="0.15">
      <c r="A283" s="1" t="s">
        <v>443</v>
      </c>
      <c r="B283" s="2" t="s">
        <v>357</v>
      </c>
      <c r="C283" s="2" t="s">
        <v>295</v>
      </c>
      <c r="D283" s="2" t="s">
        <v>431</v>
      </c>
      <c r="E283" s="6">
        <v>2200</v>
      </c>
      <c r="F283" s="18">
        <v>568.63</v>
      </c>
      <c r="G283" s="18">
        <v>162.44999999999999</v>
      </c>
      <c r="H283" s="18">
        <v>0</v>
      </c>
      <c r="I283" s="18">
        <v>3856.7299999999996</v>
      </c>
      <c r="J283" s="18">
        <v>3262.48</v>
      </c>
      <c r="K283" s="18">
        <v>0</v>
      </c>
      <c r="L283" s="13">
        <f t="shared" si="12"/>
        <v>7850.2899999999991</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5576.55</v>
      </c>
      <c r="G285" s="18">
        <v>1346.33</v>
      </c>
      <c r="H285" s="18">
        <v>0</v>
      </c>
      <c r="I285" s="18">
        <v>0</v>
      </c>
      <c r="J285" s="18">
        <v>0</v>
      </c>
      <c r="K285" s="18">
        <v>0</v>
      </c>
      <c r="L285" s="13">
        <f t="shared" si="12"/>
        <v>6922.88</v>
      </c>
      <c r="M285" s="8"/>
      <c r="N285" s="165"/>
    </row>
    <row r="286" spans="1:14" s="3" customFormat="1" ht="12.2" customHeight="1" x14ac:dyDescent="0.15">
      <c r="A286" s="1" t="s">
        <v>446</v>
      </c>
      <c r="B286" s="2" t="s">
        <v>357</v>
      </c>
      <c r="C286" s="2" t="s">
        <v>298</v>
      </c>
      <c r="D286" s="2" t="s">
        <v>431</v>
      </c>
      <c r="E286" s="6">
        <v>2500</v>
      </c>
      <c r="F286" s="18">
        <v>0</v>
      </c>
      <c r="G286" s="18">
        <v>0</v>
      </c>
      <c r="H286" s="18">
        <v>10816.61</v>
      </c>
      <c r="I286" s="18">
        <v>0</v>
      </c>
      <c r="J286" s="18">
        <v>0</v>
      </c>
      <c r="K286" s="18">
        <v>0</v>
      </c>
      <c r="L286" s="13">
        <f t="shared" si="12"/>
        <v>10816.61</v>
      </c>
      <c r="M286" s="8"/>
      <c r="N286" s="165"/>
    </row>
    <row r="287" spans="1:14" s="3" customFormat="1" ht="12.2" customHeight="1" x14ac:dyDescent="0.15">
      <c r="A287" s="1" t="s">
        <v>447</v>
      </c>
      <c r="B287" s="2" t="s">
        <v>357</v>
      </c>
      <c r="C287" s="2" t="s">
        <v>299</v>
      </c>
      <c r="D287" s="2" t="s">
        <v>431</v>
      </c>
      <c r="E287" s="6">
        <v>2600</v>
      </c>
      <c r="F287" s="18">
        <v>0</v>
      </c>
      <c r="G287" s="18">
        <v>0</v>
      </c>
      <c r="H287" s="18">
        <v>6245.15</v>
      </c>
      <c r="I287" s="18">
        <v>10902.7</v>
      </c>
      <c r="J287" s="18">
        <v>0</v>
      </c>
      <c r="K287" s="18">
        <v>0</v>
      </c>
      <c r="L287" s="13">
        <f t="shared" si="12"/>
        <v>17147.849999999999</v>
      </c>
      <c r="M287" s="8"/>
      <c r="N287" s="165"/>
    </row>
    <row r="288" spans="1:14" s="3" customFormat="1" ht="12.2" customHeight="1" x14ac:dyDescent="0.15">
      <c r="A288" s="1" t="s">
        <v>448</v>
      </c>
      <c r="B288" s="2" t="s">
        <v>357</v>
      </c>
      <c r="C288" s="2" t="s">
        <v>300</v>
      </c>
      <c r="D288" s="2" t="s">
        <v>431</v>
      </c>
      <c r="E288" s="6">
        <v>2700</v>
      </c>
      <c r="F288" s="18">
        <v>0</v>
      </c>
      <c r="G288" s="18">
        <v>0</v>
      </c>
      <c r="H288" s="18">
        <v>42015.38</v>
      </c>
      <c r="I288" s="18">
        <v>0</v>
      </c>
      <c r="J288" s="18">
        <v>0</v>
      </c>
      <c r="K288" s="18">
        <v>0</v>
      </c>
      <c r="L288" s="13">
        <f t="shared" si="12"/>
        <v>42015.38</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1115309.8299999998</v>
      </c>
      <c r="G291" s="39">
        <f t="shared" si="13"/>
        <v>390422.93</v>
      </c>
      <c r="H291" s="39">
        <f t="shared" si="13"/>
        <v>746543.46000000008</v>
      </c>
      <c r="I291" s="39">
        <f t="shared" si="13"/>
        <v>496716.40000000008</v>
      </c>
      <c r="J291" s="39">
        <f t="shared" si="13"/>
        <v>24904.48</v>
      </c>
      <c r="K291" s="39">
        <f t="shared" si="13"/>
        <v>37.53</v>
      </c>
      <c r="L291" s="38">
        <f t="shared" si="13"/>
        <v>2773934.6299999994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275963.74</v>
      </c>
      <c r="G296" s="18">
        <v>122416.14</v>
      </c>
      <c r="H296" s="18">
        <v>13804.68</v>
      </c>
      <c r="I296" s="18">
        <v>225641.59999999998</v>
      </c>
      <c r="J296" s="18">
        <v>0</v>
      </c>
      <c r="K296" s="18">
        <v>0</v>
      </c>
      <c r="L296" s="13">
        <f>SUM(F296:K296)</f>
        <v>637826.15999999992</v>
      </c>
      <c r="M296" s="8"/>
      <c r="N296" s="165"/>
    </row>
    <row r="297" spans="1:14" s="3" customFormat="1" ht="12.2" customHeight="1" x14ac:dyDescent="0.15">
      <c r="A297" s="1" t="s">
        <v>439</v>
      </c>
      <c r="B297" s="2" t="s">
        <v>358</v>
      </c>
      <c r="C297" s="2" t="s">
        <v>291</v>
      </c>
      <c r="D297" s="2" t="s">
        <v>431</v>
      </c>
      <c r="E297" s="6">
        <v>1200</v>
      </c>
      <c r="F297" s="18">
        <v>86858.15</v>
      </c>
      <c r="G297" s="18">
        <v>15892.32</v>
      </c>
      <c r="H297" s="18">
        <v>6141.96</v>
      </c>
      <c r="I297" s="18">
        <v>1009.36</v>
      </c>
      <c r="J297" s="18">
        <v>11470</v>
      </c>
      <c r="K297" s="18">
        <v>0</v>
      </c>
      <c r="L297" s="13">
        <f>SUM(F297:K297)</f>
        <v>121371.79000000001</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6823.27</v>
      </c>
      <c r="G299" s="18">
        <v>1695.27</v>
      </c>
      <c r="H299" s="18">
        <v>0</v>
      </c>
      <c r="I299" s="18">
        <v>1470.8</v>
      </c>
      <c r="J299" s="18">
        <v>0</v>
      </c>
      <c r="K299" s="18">
        <v>0</v>
      </c>
      <c r="L299" s="13">
        <f>SUM(F299:K299)</f>
        <v>9989.34</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62926.45</v>
      </c>
      <c r="G301" s="18">
        <v>22266.07</v>
      </c>
      <c r="H301" s="18">
        <v>343904.64</v>
      </c>
      <c r="I301" s="18">
        <v>28465.53</v>
      </c>
      <c r="J301" s="18">
        <v>0</v>
      </c>
      <c r="K301" s="18">
        <v>19.89</v>
      </c>
      <c r="L301" s="13">
        <f t="shared" ref="L301:L307" si="14">SUM(F301:K301)</f>
        <v>457582.58000000007</v>
      </c>
      <c r="M301" s="8"/>
      <c r="N301" s="165"/>
    </row>
    <row r="302" spans="1:14" s="3" customFormat="1" ht="12.2" customHeight="1" x14ac:dyDescent="0.15">
      <c r="A302" s="1" t="s">
        <v>443</v>
      </c>
      <c r="B302" s="2" t="s">
        <v>358</v>
      </c>
      <c r="C302" s="2" t="s">
        <v>295</v>
      </c>
      <c r="D302" s="2" t="s">
        <v>431</v>
      </c>
      <c r="E302" s="6">
        <v>2200</v>
      </c>
      <c r="F302" s="18">
        <v>301.37</v>
      </c>
      <c r="G302" s="18">
        <v>86.09</v>
      </c>
      <c r="H302" s="18">
        <v>0</v>
      </c>
      <c r="I302" s="18">
        <v>2044.02</v>
      </c>
      <c r="J302" s="18">
        <v>1729.08</v>
      </c>
      <c r="K302" s="18">
        <v>0</v>
      </c>
      <c r="L302" s="13">
        <f t="shared" si="14"/>
        <v>4160.5599999999995</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2955.5</v>
      </c>
      <c r="G304" s="18">
        <v>713.54</v>
      </c>
      <c r="H304" s="18">
        <v>0</v>
      </c>
      <c r="I304" s="18">
        <v>0</v>
      </c>
      <c r="J304" s="18">
        <v>0</v>
      </c>
      <c r="K304" s="18">
        <v>0</v>
      </c>
      <c r="L304" s="13">
        <f t="shared" si="14"/>
        <v>3669.04</v>
      </c>
      <c r="M304" s="8"/>
      <c r="N304" s="165"/>
    </row>
    <row r="305" spans="1:14" s="3" customFormat="1" ht="12.2" customHeight="1" x14ac:dyDescent="0.15">
      <c r="A305" s="1" t="s">
        <v>446</v>
      </c>
      <c r="B305" s="2" t="s">
        <v>358</v>
      </c>
      <c r="C305" s="2" t="s">
        <v>298</v>
      </c>
      <c r="D305" s="2" t="s">
        <v>431</v>
      </c>
      <c r="E305" s="6">
        <v>2500</v>
      </c>
      <c r="F305" s="18">
        <v>0</v>
      </c>
      <c r="G305" s="18">
        <v>0</v>
      </c>
      <c r="H305" s="18">
        <v>5732.67</v>
      </c>
      <c r="I305" s="18">
        <v>0</v>
      </c>
      <c r="J305" s="18">
        <v>0</v>
      </c>
      <c r="K305" s="18">
        <v>0</v>
      </c>
      <c r="L305" s="13">
        <f t="shared" si="14"/>
        <v>5732.67</v>
      </c>
      <c r="M305" s="8"/>
      <c r="N305" s="165"/>
    </row>
    <row r="306" spans="1:14" s="3" customFormat="1" ht="12.2" customHeight="1" x14ac:dyDescent="0.15">
      <c r="A306" s="1" t="s">
        <v>447</v>
      </c>
      <c r="B306" s="2" t="s">
        <v>358</v>
      </c>
      <c r="C306" s="2" t="s">
        <v>299</v>
      </c>
      <c r="D306" s="2" t="s">
        <v>431</v>
      </c>
      <c r="E306" s="6">
        <v>2600</v>
      </c>
      <c r="F306" s="18">
        <v>0</v>
      </c>
      <c r="G306" s="18">
        <v>0</v>
      </c>
      <c r="H306" s="18">
        <v>3309.85</v>
      </c>
      <c r="I306" s="18">
        <v>5778.29</v>
      </c>
      <c r="J306" s="18">
        <v>0</v>
      </c>
      <c r="K306" s="18">
        <v>0</v>
      </c>
      <c r="L306" s="13">
        <f t="shared" si="14"/>
        <v>9088.14</v>
      </c>
      <c r="M306" s="8"/>
      <c r="N306" s="165"/>
    </row>
    <row r="307" spans="1:14" s="3" customFormat="1" ht="12.2" customHeight="1" x14ac:dyDescent="0.15">
      <c r="A307" s="1" t="s">
        <v>448</v>
      </c>
      <c r="B307" s="2" t="s">
        <v>358</v>
      </c>
      <c r="C307" s="2" t="s">
        <v>300</v>
      </c>
      <c r="D307" s="2" t="s">
        <v>431</v>
      </c>
      <c r="E307" s="6">
        <v>2700</v>
      </c>
      <c r="F307" s="18">
        <v>0</v>
      </c>
      <c r="G307" s="18">
        <v>0</v>
      </c>
      <c r="H307" s="18">
        <v>22267.64</v>
      </c>
      <c r="I307" s="18">
        <v>0</v>
      </c>
      <c r="J307" s="18">
        <v>0</v>
      </c>
      <c r="K307" s="18">
        <v>0</v>
      </c>
      <c r="L307" s="13">
        <f t="shared" si="14"/>
        <v>22267.64</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435828.48000000004</v>
      </c>
      <c r="G310" s="39">
        <f t="shared" si="15"/>
        <v>163069.43</v>
      </c>
      <c r="H310" s="39">
        <f t="shared" si="15"/>
        <v>395161.44</v>
      </c>
      <c r="I310" s="39">
        <f t="shared" si="15"/>
        <v>264409.59999999992</v>
      </c>
      <c r="J310" s="39">
        <f t="shared" si="15"/>
        <v>13199.08</v>
      </c>
      <c r="K310" s="39">
        <f t="shared" si="15"/>
        <v>19.89</v>
      </c>
      <c r="L310" s="38">
        <f t="shared" si="15"/>
        <v>1271687.92</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242831.52</v>
      </c>
      <c r="I316" s="18">
        <v>0</v>
      </c>
      <c r="J316" s="18">
        <v>0</v>
      </c>
      <c r="K316" s="18">
        <v>0</v>
      </c>
      <c r="L316" s="13">
        <f>SUM(F316:K316)</f>
        <v>242831.52</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34574.879999999997</v>
      </c>
      <c r="I320" s="18">
        <v>2327.56</v>
      </c>
      <c r="J320" s="18">
        <v>0</v>
      </c>
      <c r="K320" s="18">
        <v>0</v>
      </c>
      <c r="L320" s="13">
        <f t="shared" ref="L320:L326" si="16">SUM(F320:K320)</f>
        <v>36902.439999999995</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277406.39999999997</v>
      </c>
      <c r="I329" s="39">
        <f t="shared" si="17"/>
        <v>2327.56</v>
      </c>
      <c r="J329" s="39">
        <f t="shared" si="17"/>
        <v>0</v>
      </c>
      <c r="K329" s="39">
        <f t="shared" si="17"/>
        <v>0</v>
      </c>
      <c r="L329" s="38">
        <f t="shared" si="17"/>
        <v>279733.95999999996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v>60798.75</v>
      </c>
      <c r="G334" s="18">
        <v>4651.1099999999997</v>
      </c>
      <c r="H334" s="18">
        <v>1123.9000000000001</v>
      </c>
      <c r="I334" s="18">
        <v>1130.94</v>
      </c>
      <c r="J334" s="18">
        <v>0</v>
      </c>
      <c r="K334" s="18">
        <v>199</v>
      </c>
      <c r="L334" s="13">
        <f t="shared" si="18"/>
        <v>67903.7</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60798.75</v>
      </c>
      <c r="G338" s="38">
        <f t="shared" si="19"/>
        <v>4651.1099999999997</v>
      </c>
      <c r="H338" s="38">
        <f t="shared" si="19"/>
        <v>1123.9000000000001</v>
      </c>
      <c r="I338" s="38">
        <f t="shared" si="19"/>
        <v>1130.94</v>
      </c>
      <c r="J338" s="38">
        <f t="shared" si="19"/>
        <v>0</v>
      </c>
      <c r="K338" s="38">
        <f t="shared" si="19"/>
        <v>199</v>
      </c>
      <c r="L338" s="38">
        <f t="shared" si="18"/>
        <v>67903.7</v>
      </c>
      <c r="M338" s="8"/>
      <c r="N338" s="165"/>
    </row>
    <row r="339" spans="1:43" s="3" customFormat="1" ht="12.2" customHeight="1" thickTop="1" x14ac:dyDescent="0.15">
      <c r="A339" s="35" t="s">
        <v>468</v>
      </c>
      <c r="B339" s="37">
        <v>14</v>
      </c>
      <c r="C339" s="37">
        <v>7</v>
      </c>
      <c r="D339" s="36" t="s">
        <v>431</v>
      </c>
      <c r="E339" s="37"/>
      <c r="F339" s="38">
        <f t="shared" ref="F339:L339" si="20">F291+F310+F329+F338</f>
        <v>1611937.0599999998</v>
      </c>
      <c r="G339" s="38">
        <f t="shared" si="20"/>
        <v>558143.47</v>
      </c>
      <c r="H339" s="38">
        <f t="shared" si="20"/>
        <v>1420235.2</v>
      </c>
      <c r="I339" s="38">
        <f t="shared" si="20"/>
        <v>764584.5</v>
      </c>
      <c r="J339" s="38">
        <f t="shared" si="20"/>
        <v>38103.56</v>
      </c>
      <c r="K339" s="38">
        <f t="shared" si="20"/>
        <v>256.42</v>
      </c>
      <c r="L339" s="38">
        <f t="shared" si="20"/>
        <v>4393260.21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1611937.0599999998</v>
      </c>
      <c r="G353" s="38">
        <f>G339</f>
        <v>558143.47</v>
      </c>
      <c r="H353" s="38">
        <f>H339</f>
        <v>1420235.2</v>
      </c>
      <c r="I353" s="38">
        <f>I339</f>
        <v>764584.5</v>
      </c>
      <c r="J353" s="38">
        <f>J339</f>
        <v>38103.56</v>
      </c>
      <c r="K353" s="38">
        <f>K339+K352</f>
        <v>256.42</v>
      </c>
      <c r="L353" s="38">
        <f>L339+L352</f>
        <v>4393260.21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417707.25</v>
      </c>
      <c r="G359" s="18">
        <v>157573.98000000001</v>
      </c>
      <c r="H359" s="18">
        <v>123461.06</v>
      </c>
      <c r="I359" s="18">
        <v>424259.59</v>
      </c>
      <c r="J359" s="18">
        <v>20157.240000000002</v>
      </c>
      <c r="K359" s="18">
        <v>753.97</v>
      </c>
      <c r="L359" s="13">
        <f>SUM(F359:K359)</f>
        <v>1143913.0900000001</v>
      </c>
      <c r="M359" s="8"/>
      <c r="N359" s="165"/>
    </row>
    <row r="360" spans="1:22" s="3" customFormat="1" ht="12.2" customHeight="1" x14ac:dyDescent="0.15">
      <c r="A360" s="1" t="s">
        <v>542</v>
      </c>
      <c r="B360" s="2" t="s">
        <v>366</v>
      </c>
      <c r="C360" s="6">
        <v>2</v>
      </c>
      <c r="D360" s="2" t="s">
        <v>431</v>
      </c>
      <c r="E360" s="6"/>
      <c r="F360" s="18">
        <v>196136.95</v>
      </c>
      <c r="G360" s="18">
        <v>83497.3</v>
      </c>
      <c r="H360" s="18">
        <v>65421.11</v>
      </c>
      <c r="I360" s="18">
        <v>224812.05</v>
      </c>
      <c r="J360" s="18">
        <v>10681.18</v>
      </c>
      <c r="K360" s="18">
        <v>399.53</v>
      </c>
      <c r="L360" s="13">
        <f>SUM(F360:K360)</f>
        <v>580948.12</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613844.19999999995</v>
      </c>
      <c r="G363" s="38">
        <f t="shared" si="22"/>
        <v>241071.28000000003</v>
      </c>
      <c r="H363" s="38">
        <f t="shared" si="22"/>
        <v>188882.16999999998</v>
      </c>
      <c r="I363" s="38">
        <f t="shared" si="22"/>
        <v>649071.64</v>
      </c>
      <c r="J363" s="38">
        <f t="shared" si="22"/>
        <v>30838.420000000002</v>
      </c>
      <c r="K363" s="38">
        <f t="shared" si="22"/>
        <v>1153.5</v>
      </c>
      <c r="L363" s="38">
        <f t="shared" si="22"/>
        <v>1724861.21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396565.8</v>
      </c>
      <c r="G368" s="18">
        <v>210137.32</v>
      </c>
      <c r="H368" s="18"/>
      <c r="I368" s="13">
        <f>SUM(F368:H368)</f>
        <v>606703.12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27693.79</v>
      </c>
      <c r="G369" s="53">
        <v>14674.73</v>
      </c>
      <c r="H369" s="53"/>
      <c r="I369" s="13">
        <f>SUM(F369:H369)</f>
        <v>42368.520000000004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424259.58999999997</v>
      </c>
      <c r="G370" s="38">
        <f>SUM(G368:G369)</f>
        <v>224812.05000000002</v>
      </c>
      <c r="H370" s="38">
        <f>SUM(H368:H369)</f>
        <v>0</v>
      </c>
      <c r="I370" s="38">
        <f>SUM(I368:I369)</f>
        <v>649071.64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2514.34</v>
      </c>
      <c r="I393" s="18"/>
      <c r="J393" s="23" t="s">
        <v>288</v>
      </c>
      <c r="K393" s="23" t="s">
        <v>288</v>
      </c>
      <c r="L393" s="13">
        <f t="shared" si="25"/>
        <v>2514.34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2514.34</v>
      </c>
      <c r="I394" s="54">
        <f>SUM(I388:I393)</f>
        <v>0</v>
      </c>
      <c r="J394" s="42" t="s">
        <v>288</v>
      </c>
      <c r="K394" s="42" t="s">
        <v>288</v>
      </c>
      <c r="L394" s="38">
        <f>SUM(L388:L393)</f>
        <v>2514.34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2514.34</v>
      </c>
      <c r="I409" s="38">
        <f>I394+I402+I408</f>
        <v>0</v>
      </c>
      <c r="J409" s="23" t="s">
        <v>288</v>
      </c>
      <c r="K409" s="23" t="s">
        <v>288</v>
      </c>
      <c r="L409" s="38">
        <f>L394+L402+L408</f>
        <v>2514.34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200411.39</v>
      </c>
      <c r="G443" s="18"/>
      <c r="H443" s="18"/>
      <c r="I443" s="13">
        <f t="shared" si="33"/>
        <v>200411.39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200411.39</v>
      </c>
      <c r="G447" s="13">
        <f>SUM(G440:G446)</f>
        <v>0</v>
      </c>
      <c r="H447" s="13">
        <f>SUM(H440:H446)</f>
        <v>0</v>
      </c>
      <c r="I447" s="13">
        <f>SUM(I440:I446)</f>
        <v>200411.39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200411.39</v>
      </c>
      <c r="G460" s="18"/>
      <c r="H460" s="18"/>
      <c r="I460" s="13">
        <f t="shared" si="34"/>
        <v>200411.39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200411.39</v>
      </c>
      <c r="G461" s="65">
        <f>SUM(G455:G460)</f>
        <v>0</v>
      </c>
      <c r="H461" s="65">
        <f>SUM(H455:H460)</f>
        <v>0</v>
      </c>
      <c r="I461" s="65">
        <f>SUM(I455:I460)</f>
        <v>200411.39</v>
      </c>
      <c r="J461" s="23" t="s">
        <v>288</v>
      </c>
      <c r="K461" s="23" t="s">
        <v>288</v>
      </c>
      <c r="L461" s="23" t="s">
        <v>288</v>
      </c>
      <c r="N461" s="131"/>
    </row>
    <row r="462" spans="1:86" ht="12.2" customHeight="1" thickTop="1" x14ac:dyDescent="0.2">
      <c r="A462" s="40" t="s">
        <v>424</v>
      </c>
      <c r="B462" s="41">
        <v>18</v>
      </c>
      <c r="C462" s="64">
        <v>21</v>
      </c>
      <c r="D462" s="114" t="s">
        <v>432</v>
      </c>
      <c r="E462" s="64"/>
      <c r="F462" s="39">
        <f>F453+F461</f>
        <v>200411.39</v>
      </c>
      <c r="G462" s="39">
        <f>G453+G461</f>
        <v>0</v>
      </c>
      <c r="H462" s="39">
        <f>H453+H461</f>
        <v>0</v>
      </c>
      <c r="I462" s="39">
        <f>I453+I461</f>
        <v>200411.39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7481416.0800000001</v>
      </c>
      <c r="G466" s="18">
        <v>1024013.87</v>
      </c>
      <c r="H466" s="18">
        <v>40689.230000000003</v>
      </c>
      <c r="I466" s="18"/>
      <c r="J466" s="18">
        <v>197897.05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89455369.370000005</v>
      </c>
      <c r="G469" s="18">
        <v>1802634.7</v>
      </c>
      <c r="H469" s="18">
        <v>4458269.8099999996</v>
      </c>
      <c r="I469" s="18"/>
      <c r="J469" s="18">
        <v>2514.34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89455369.370000005</v>
      </c>
      <c r="G471" s="19">
        <f>SUM(G469:G470)</f>
        <v>1802634.7</v>
      </c>
      <c r="H471" s="19">
        <f>SUM(H469:H470)</f>
        <v>4458269.8099999996</v>
      </c>
      <c r="I471" s="19">
        <f>SUM(I469:I470)</f>
        <v>0</v>
      </c>
      <c r="J471" s="19">
        <f>SUM(J469:J470)</f>
        <v>2514.34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91860116.04+188949.5</f>
        <v>92049065.540000007</v>
      </c>
      <c r="G473" s="18">
        <v>1724861.21</v>
      </c>
      <c r="H473" s="18">
        <v>4393260.21</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92049065.540000007</v>
      </c>
      <c r="G475" s="19">
        <f>SUM(G473:G474)</f>
        <v>1724861.21</v>
      </c>
      <c r="H475" s="19">
        <f>SUM(H473:H474)</f>
        <v>4393260.21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4887719.9099999964</v>
      </c>
      <c r="G477" s="19">
        <f>(G466+G471)- G475</f>
        <v>1101787.3599999999</v>
      </c>
      <c r="H477" s="19">
        <f>(H466+H471)- H475</f>
        <v>105698.83000000007</v>
      </c>
      <c r="I477" s="19">
        <f>(I466+I471)- I475</f>
        <v>0</v>
      </c>
      <c r="J477" s="19">
        <f>(J466+J471)- J475</f>
        <v>200411.38999999998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5599646.1799999997</v>
      </c>
      <c r="G522" s="18">
        <f t="shared" ref="G522:K522" si="36">G199+G278</f>
        <v>2472426.19</v>
      </c>
      <c r="H522" s="18">
        <f t="shared" si="36"/>
        <v>2542066.67</v>
      </c>
      <c r="I522" s="18">
        <f t="shared" si="36"/>
        <v>9498.27</v>
      </c>
      <c r="J522" s="18">
        <f t="shared" si="36"/>
        <v>27555.989999999998</v>
      </c>
      <c r="K522" s="18">
        <f t="shared" si="36"/>
        <v>2931.4</v>
      </c>
      <c r="L522" s="69">
        <f>SUM(F522:K522)</f>
        <v>10654124.699999999</v>
      </c>
      <c r="N522" s="131"/>
    </row>
    <row r="523" spans="1:14" ht="12.2" customHeight="1" x14ac:dyDescent="0.2">
      <c r="A523" s="21" t="s">
        <v>634</v>
      </c>
      <c r="B523" s="22">
        <v>21</v>
      </c>
      <c r="C523" s="22">
        <v>2</v>
      </c>
      <c r="D523" s="2" t="s">
        <v>432</v>
      </c>
      <c r="E523" s="22"/>
      <c r="F523" s="18">
        <f>F217+F297</f>
        <v>2314590.9</v>
      </c>
      <c r="G523" s="18">
        <f t="shared" ref="G523:K523" si="37">G217+G297</f>
        <v>1002146.7999999999</v>
      </c>
      <c r="H523" s="18">
        <f t="shared" si="37"/>
        <v>1174437.6500000001</v>
      </c>
      <c r="I523" s="18">
        <f t="shared" si="37"/>
        <v>1753.6</v>
      </c>
      <c r="J523" s="18">
        <f t="shared" si="37"/>
        <v>14586.880000000001</v>
      </c>
      <c r="K523" s="18">
        <f t="shared" si="37"/>
        <v>1553.6</v>
      </c>
      <c r="L523" s="69">
        <f>SUM(F523:K523)</f>
        <v>4509069.4299999988</v>
      </c>
      <c r="N523" s="131"/>
    </row>
    <row r="524" spans="1:14" ht="12.2" customHeight="1" thickBot="1" x14ac:dyDescent="0.25">
      <c r="A524" s="21" t="s">
        <v>635</v>
      </c>
      <c r="B524" s="22">
        <v>21</v>
      </c>
      <c r="C524" s="22">
        <v>3</v>
      </c>
      <c r="D524" s="2" t="s">
        <v>432</v>
      </c>
      <c r="E524" s="22"/>
      <c r="F524" s="18">
        <f>F235+F316</f>
        <v>81840.13</v>
      </c>
      <c r="G524" s="18">
        <f t="shared" ref="G524:H524" si="38">G235+G316</f>
        <v>54898.78</v>
      </c>
      <c r="H524" s="18">
        <f t="shared" si="38"/>
        <v>7075305.2399999993</v>
      </c>
      <c r="I524" s="18"/>
      <c r="J524" s="18"/>
      <c r="K524" s="18"/>
      <c r="L524" s="69">
        <f>SUM(F524:K524)</f>
        <v>7212044.1499999994</v>
      </c>
      <c r="N524" s="131"/>
    </row>
    <row r="525" spans="1:14" ht="12.2" customHeight="1" thickTop="1" x14ac:dyDescent="0.2">
      <c r="A525" s="97" t="s">
        <v>63</v>
      </c>
      <c r="B525" s="41">
        <v>21</v>
      </c>
      <c r="C525" s="41">
        <v>4</v>
      </c>
      <c r="D525" s="115" t="s">
        <v>432</v>
      </c>
      <c r="E525" s="41"/>
      <c r="F525" s="81">
        <f>SUM(F522:F524)</f>
        <v>7996077.21</v>
      </c>
      <c r="G525" s="81">
        <f t="shared" ref="G525:L525" si="39">SUM(G522:G524)</f>
        <v>3529471.7699999996</v>
      </c>
      <c r="H525" s="81">
        <f t="shared" si="39"/>
        <v>10791809.559999999</v>
      </c>
      <c r="I525" s="81">
        <f t="shared" si="39"/>
        <v>11251.87</v>
      </c>
      <c r="J525" s="81">
        <f t="shared" si="39"/>
        <v>42142.869999999995</v>
      </c>
      <c r="K525" s="81">
        <f t="shared" si="39"/>
        <v>4485</v>
      </c>
      <c r="L525" s="70">
        <f t="shared" si="39"/>
        <v>22375238.279999997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84758</v>
      </c>
      <c r="G527" s="18">
        <v>39875</v>
      </c>
      <c r="H527" s="18">
        <v>556784.22</v>
      </c>
      <c r="I527" s="18"/>
      <c r="J527" s="18"/>
      <c r="K527" s="18"/>
      <c r="L527" s="69">
        <f>SUM(F527:K527)</f>
        <v>681417.22</v>
      </c>
      <c r="M527" s="8"/>
      <c r="N527" s="165"/>
    </row>
    <row r="528" spans="1:14" s="3" customFormat="1" ht="12.2" customHeight="1" x14ac:dyDescent="0.15">
      <c r="A528" s="21" t="s">
        <v>634</v>
      </c>
      <c r="B528" s="22">
        <v>21</v>
      </c>
      <c r="C528" s="22">
        <v>6</v>
      </c>
      <c r="D528" s="2" t="s">
        <v>432</v>
      </c>
      <c r="E528" s="22"/>
      <c r="F528" s="18">
        <v>28789.5</v>
      </c>
      <c r="G528" s="18">
        <v>29876.31</v>
      </c>
      <c r="H528" s="18">
        <v>134785.45000000001</v>
      </c>
      <c r="I528" s="18"/>
      <c r="J528" s="18"/>
      <c r="K528" s="18"/>
      <c r="L528" s="69">
        <f>SUM(F528:K528)</f>
        <v>193451.26</v>
      </c>
      <c r="M528" s="8"/>
      <c r="N528" s="165"/>
    </row>
    <row r="529" spans="1:14" s="3" customFormat="1" ht="12.2" customHeight="1" thickBot="1" x14ac:dyDescent="0.2">
      <c r="A529" s="21" t="s">
        <v>635</v>
      </c>
      <c r="B529" s="22">
        <v>21</v>
      </c>
      <c r="C529" s="22">
        <v>7</v>
      </c>
      <c r="D529" s="2" t="s">
        <v>432</v>
      </c>
      <c r="E529" s="22"/>
      <c r="F529" s="18"/>
      <c r="G529" s="18"/>
      <c r="H529" s="18">
        <v>418666.98</v>
      </c>
      <c r="I529" s="18"/>
      <c r="J529" s="18"/>
      <c r="K529" s="18"/>
      <c r="L529" s="69">
        <f>SUM(F529:K529)</f>
        <v>418666.98</v>
      </c>
      <c r="M529" s="8"/>
      <c r="N529" s="165"/>
    </row>
    <row r="530" spans="1:14" s="3" customFormat="1" ht="12.2" customHeight="1" thickTop="1" x14ac:dyDescent="0.15">
      <c r="A530" s="97" t="s">
        <v>65</v>
      </c>
      <c r="B530" s="41">
        <v>21</v>
      </c>
      <c r="C530" s="41">
        <v>8</v>
      </c>
      <c r="D530" s="115" t="s">
        <v>432</v>
      </c>
      <c r="E530" s="41"/>
      <c r="F530" s="70">
        <f>SUM(F527:F529)</f>
        <v>113547.5</v>
      </c>
      <c r="G530" s="70">
        <f t="shared" ref="G530:L530" si="40">SUM(G527:G529)</f>
        <v>69751.31</v>
      </c>
      <c r="H530" s="70">
        <f t="shared" si="40"/>
        <v>1110236.6499999999</v>
      </c>
      <c r="I530" s="70">
        <f t="shared" si="40"/>
        <v>0</v>
      </c>
      <c r="J530" s="70">
        <f t="shared" si="40"/>
        <v>0</v>
      </c>
      <c r="K530" s="70">
        <f t="shared" si="40"/>
        <v>0</v>
      </c>
      <c r="L530" s="70">
        <f t="shared" si="40"/>
        <v>1293535.46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168555.9</v>
      </c>
      <c r="G532" s="18">
        <v>118645.84</v>
      </c>
      <c r="H532" s="18"/>
      <c r="I532" s="18"/>
      <c r="J532" s="18"/>
      <c r="K532" s="18"/>
      <c r="L532" s="69">
        <f>SUM(F532:K532)</f>
        <v>287201.74</v>
      </c>
      <c r="M532" s="8"/>
      <c r="N532" s="165"/>
    </row>
    <row r="533" spans="1:14" s="3" customFormat="1" ht="12.2" customHeight="1" x14ac:dyDescent="0.15">
      <c r="A533" s="21" t="s">
        <v>634</v>
      </c>
      <c r="B533" s="22">
        <v>21</v>
      </c>
      <c r="C533" s="22">
        <v>10</v>
      </c>
      <c r="D533" s="2" t="s">
        <v>432</v>
      </c>
      <c r="E533" s="22"/>
      <c r="F533" s="18">
        <v>234789.55</v>
      </c>
      <c r="G533" s="18">
        <v>274502.53999999998</v>
      </c>
      <c r="H533" s="18"/>
      <c r="I533" s="18"/>
      <c r="J533" s="18"/>
      <c r="K533" s="18"/>
      <c r="L533" s="69">
        <f>SUM(F533:K533)</f>
        <v>509292.08999999997</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403345.44999999995</v>
      </c>
      <c r="G535" s="70">
        <f t="shared" ref="G535:L535" si="41">SUM(G532:G534)</f>
        <v>393148.38</v>
      </c>
      <c r="H535" s="70">
        <f t="shared" si="41"/>
        <v>0</v>
      </c>
      <c r="I535" s="70">
        <f t="shared" si="41"/>
        <v>0</v>
      </c>
      <c r="J535" s="70">
        <f t="shared" si="41"/>
        <v>0</v>
      </c>
      <c r="K535" s="70">
        <f t="shared" si="41"/>
        <v>0</v>
      </c>
      <c r="L535" s="70">
        <f t="shared" si="41"/>
        <v>796493.83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24926.959999999999</v>
      </c>
      <c r="I537" s="18"/>
      <c r="J537" s="18"/>
      <c r="K537" s="18"/>
      <c r="L537" s="69">
        <f>SUM(F537:K537)</f>
        <v>24926.959999999999</v>
      </c>
      <c r="M537" s="8"/>
      <c r="N537" s="165"/>
    </row>
    <row r="538" spans="1:14" s="3" customFormat="1" ht="12.2" customHeight="1" x14ac:dyDescent="0.15">
      <c r="A538" s="21" t="s">
        <v>634</v>
      </c>
      <c r="B538" s="22">
        <v>21</v>
      </c>
      <c r="C538" s="22">
        <v>14</v>
      </c>
      <c r="D538" s="2" t="s">
        <v>432</v>
      </c>
      <c r="E538" s="22"/>
      <c r="F538" s="18"/>
      <c r="G538" s="18"/>
      <c r="H538" s="18">
        <v>13208.61</v>
      </c>
      <c r="I538" s="18"/>
      <c r="J538" s="18"/>
      <c r="K538" s="18"/>
      <c r="L538" s="69">
        <f>SUM(F538:K538)</f>
        <v>13208.61</v>
      </c>
      <c r="M538" s="8"/>
      <c r="N538" s="165"/>
    </row>
    <row r="539" spans="1:14" s="3" customFormat="1" ht="12.2" customHeight="1" thickBot="1" x14ac:dyDescent="0.2">
      <c r="A539" s="21" t="s">
        <v>635</v>
      </c>
      <c r="B539" s="22">
        <v>21</v>
      </c>
      <c r="C539" s="22">
        <v>15</v>
      </c>
      <c r="D539" s="2" t="s">
        <v>432</v>
      </c>
      <c r="E539" s="22"/>
      <c r="F539" s="18"/>
      <c r="G539" s="18"/>
      <c r="H539" s="18">
        <v>19322.53</v>
      </c>
      <c r="I539" s="18"/>
      <c r="J539" s="18"/>
      <c r="K539" s="18"/>
      <c r="L539" s="69">
        <f>SUM(F539:K539)</f>
        <v>19322.53</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57458.1</v>
      </c>
      <c r="I540" s="70">
        <f t="shared" si="42"/>
        <v>0</v>
      </c>
      <c r="J540" s="70">
        <f t="shared" si="42"/>
        <v>0</v>
      </c>
      <c r="K540" s="70">
        <f t="shared" si="42"/>
        <v>0</v>
      </c>
      <c r="L540" s="70">
        <f t="shared" si="42"/>
        <v>57458.1</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H593</f>
        <v>384279.05</v>
      </c>
      <c r="I542" s="18"/>
      <c r="J542" s="18"/>
      <c r="K542" s="18"/>
      <c r="L542" s="69">
        <f>SUM(F542:K542)</f>
        <v>384279.05</v>
      </c>
      <c r="M542" s="8"/>
      <c r="N542" s="165"/>
    </row>
    <row r="543" spans="1:14" s="3" customFormat="1" ht="12.2" customHeight="1" x14ac:dyDescent="0.15">
      <c r="A543" s="21" t="s">
        <v>634</v>
      </c>
      <c r="B543" s="22">
        <v>21</v>
      </c>
      <c r="C543" s="22">
        <v>18</v>
      </c>
      <c r="D543" s="2" t="s">
        <v>432</v>
      </c>
      <c r="E543" s="22"/>
      <c r="F543" s="18"/>
      <c r="G543" s="18"/>
      <c r="H543" s="18">
        <v>242202.85</v>
      </c>
      <c r="I543" s="18"/>
      <c r="J543" s="18"/>
      <c r="K543" s="18"/>
      <c r="L543" s="69">
        <f>SUM(F543:K543)</f>
        <v>242202.85</v>
      </c>
      <c r="M543" s="8"/>
      <c r="N543" s="165"/>
    </row>
    <row r="544" spans="1:14" s="3" customFormat="1" ht="12.2" customHeight="1" thickBot="1" x14ac:dyDescent="0.2">
      <c r="A544" s="21" t="s">
        <v>635</v>
      </c>
      <c r="B544" s="22">
        <v>21</v>
      </c>
      <c r="C544" s="22">
        <v>19</v>
      </c>
      <c r="D544" s="2" t="s">
        <v>432</v>
      </c>
      <c r="E544" s="22"/>
      <c r="F544" s="18"/>
      <c r="G544" s="18"/>
      <c r="H544" s="18">
        <v>160819.34</v>
      </c>
      <c r="I544" s="18"/>
      <c r="J544" s="18"/>
      <c r="K544" s="18"/>
      <c r="L544" s="69">
        <f>SUM(F544:K544)</f>
        <v>160819.34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 t="shared" si="43"/>
        <v>787301.24</v>
      </c>
      <c r="I545" s="141">
        <f t="shared" si="43"/>
        <v>0</v>
      </c>
      <c r="J545" s="141">
        <f t="shared" si="43"/>
        <v>0</v>
      </c>
      <c r="K545" s="141">
        <f t="shared" si="43"/>
        <v>0</v>
      </c>
      <c r="L545" s="141">
        <f t="shared" si="43"/>
        <v>787301.24</v>
      </c>
      <c r="M545" s="8"/>
      <c r="N545" s="165"/>
    </row>
    <row r="546" spans="1:14" s="3" customFormat="1" ht="12.2" customHeight="1" thickTop="1" x14ac:dyDescent="0.15">
      <c r="A546" s="75" t="s">
        <v>72</v>
      </c>
      <c r="B546" s="41">
        <v>21</v>
      </c>
      <c r="C546" s="41">
        <v>21</v>
      </c>
      <c r="D546" s="115" t="s">
        <v>432</v>
      </c>
      <c r="E546" s="41"/>
      <c r="F546" s="70">
        <f>F525+F530+F535+F540+F545</f>
        <v>8512970.1600000001</v>
      </c>
      <c r="G546" s="70">
        <f t="shared" ref="G546:L546" si="44">G525+G530+G535+G540+G545</f>
        <v>3992371.4599999995</v>
      </c>
      <c r="H546" s="70">
        <f t="shared" si="44"/>
        <v>12746805.549999999</v>
      </c>
      <c r="I546" s="70">
        <f t="shared" si="44"/>
        <v>11251.87</v>
      </c>
      <c r="J546" s="70">
        <f t="shared" si="44"/>
        <v>42142.869999999995</v>
      </c>
      <c r="K546" s="70">
        <f t="shared" si="44"/>
        <v>4485</v>
      </c>
      <c r="L546" s="70">
        <f t="shared" si="44"/>
        <v>25310026.909999996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10654124.699999999</v>
      </c>
      <c r="G550" s="69">
        <f>L527</f>
        <v>681417.22</v>
      </c>
      <c r="H550" s="69">
        <f>L532</f>
        <v>287201.74</v>
      </c>
      <c r="I550" s="69">
        <f>L537</f>
        <v>24926.959999999999</v>
      </c>
      <c r="J550" s="69">
        <f>L542</f>
        <v>384279.05</v>
      </c>
      <c r="K550" s="69">
        <f>SUM(F550:J550)</f>
        <v>12031949.670000002</v>
      </c>
      <c r="L550" s="23" t="s">
        <v>288</v>
      </c>
      <c r="M550" s="8"/>
      <c r="N550" s="165"/>
    </row>
    <row r="551" spans="1:14" s="3" customFormat="1" ht="12.2" customHeight="1" x14ac:dyDescent="0.15">
      <c r="A551" s="21" t="s">
        <v>634</v>
      </c>
      <c r="B551" s="22">
        <v>21</v>
      </c>
      <c r="C551" s="22">
        <v>23</v>
      </c>
      <c r="D551" s="2" t="s">
        <v>432</v>
      </c>
      <c r="E551" s="22"/>
      <c r="F551" s="69">
        <f>L523</f>
        <v>4509069.4299999988</v>
      </c>
      <c r="G551" s="69">
        <f>L528</f>
        <v>193451.26</v>
      </c>
      <c r="H551" s="69">
        <f>L533</f>
        <v>509292.08999999997</v>
      </c>
      <c r="I551" s="69">
        <f>L538</f>
        <v>13208.61</v>
      </c>
      <c r="J551" s="69">
        <f>L543</f>
        <v>242202.85</v>
      </c>
      <c r="K551" s="69">
        <f>SUM(F551:J551)</f>
        <v>5467224.2399999984</v>
      </c>
      <c r="L551" s="23" t="s">
        <v>288</v>
      </c>
      <c r="M551" s="8"/>
      <c r="N551" s="165"/>
    </row>
    <row r="552" spans="1:14" s="3" customFormat="1" ht="12.2" customHeight="1" thickBot="1" x14ac:dyDescent="0.2">
      <c r="A552" s="21" t="s">
        <v>635</v>
      </c>
      <c r="B552" s="22">
        <v>21</v>
      </c>
      <c r="C552" s="22">
        <v>24</v>
      </c>
      <c r="D552" s="2" t="s">
        <v>432</v>
      </c>
      <c r="E552" s="22"/>
      <c r="F552" s="69">
        <f>L524</f>
        <v>7212044.1499999994</v>
      </c>
      <c r="G552" s="69">
        <f>L529</f>
        <v>418666.98</v>
      </c>
      <c r="H552" s="69">
        <f>L534</f>
        <v>0</v>
      </c>
      <c r="I552" s="69">
        <f>L539</f>
        <v>19322.53</v>
      </c>
      <c r="J552" s="69">
        <f>L544</f>
        <v>160819.34</v>
      </c>
      <c r="K552" s="69">
        <f>SUM(F552:J552)</f>
        <v>7810852.9999999991</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22375238.279999997</v>
      </c>
      <c r="G553" s="70">
        <f t="shared" si="45"/>
        <v>1293535.46</v>
      </c>
      <c r="H553" s="70">
        <f t="shared" si="45"/>
        <v>796493.83</v>
      </c>
      <c r="I553" s="70">
        <f t="shared" si="45"/>
        <v>57458.1</v>
      </c>
      <c r="J553" s="70">
        <f t="shared" si="45"/>
        <v>787301.24</v>
      </c>
      <c r="K553" s="70">
        <f t="shared" si="45"/>
        <v>25310026.91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131434.04</v>
      </c>
      <c r="G563" s="18">
        <v>47151.86</v>
      </c>
      <c r="H563" s="18">
        <v>353.95</v>
      </c>
      <c r="I563" s="18">
        <v>632.70000000000005</v>
      </c>
      <c r="J563" s="18">
        <v>0</v>
      </c>
      <c r="K563" s="18">
        <v>0</v>
      </c>
      <c r="L563" s="69">
        <f>SUM(F563:K563)</f>
        <v>179572.55000000005</v>
      </c>
      <c r="M563" s="8"/>
      <c r="N563" s="165"/>
    </row>
    <row r="564" spans="1:14" s="3" customFormat="1" ht="12.2" customHeight="1" x14ac:dyDescent="0.15">
      <c r="A564" s="21" t="s">
        <v>634</v>
      </c>
      <c r="B564" s="22">
        <v>22</v>
      </c>
      <c r="C564" s="22">
        <v>6</v>
      </c>
      <c r="D564" s="2" t="s">
        <v>432</v>
      </c>
      <c r="E564" s="22"/>
      <c r="F564" s="18">
        <v>69645.929999999993</v>
      </c>
      <c r="G564" s="18">
        <v>24985.43</v>
      </c>
      <c r="H564" s="18">
        <v>187.55</v>
      </c>
      <c r="I564" s="18">
        <v>335.26</v>
      </c>
      <c r="J564" s="18">
        <v>0</v>
      </c>
      <c r="K564" s="18">
        <v>0</v>
      </c>
      <c r="L564" s="69">
        <f>SUM(F564:K564)</f>
        <v>95154.169999999984</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7">SUM(F563:F565)</f>
        <v>201079.97</v>
      </c>
      <c r="G566" s="70">
        <f t="shared" si="47"/>
        <v>72137.290000000008</v>
      </c>
      <c r="H566" s="70">
        <f t="shared" si="47"/>
        <v>541.5</v>
      </c>
      <c r="I566" s="70">
        <f t="shared" si="47"/>
        <v>967.96</v>
      </c>
      <c r="J566" s="70">
        <f t="shared" si="47"/>
        <v>0</v>
      </c>
      <c r="K566" s="70">
        <f t="shared" si="47"/>
        <v>0</v>
      </c>
      <c r="L566" s="70">
        <f t="shared" si="47"/>
        <v>274726.72000000003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440163.9</v>
      </c>
      <c r="G568" s="18">
        <v>214301.72</v>
      </c>
      <c r="H568" s="18">
        <v>579.77</v>
      </c>
      <c r="I568" s="18">
        <v>178.03</v>
      </c>
      <c r="J568" s="18"/>
      <c r="K568" s="18"/>
      <c r="L568" s="69">
        <f>SUM(F568:K568)</f>
        <v>655223.42000000004</v>
      </c>
      <c r="M568" s="8"/>
      <c r="N568" s="165"/>
    </row>
    <row r="569" spans="1:14" s="3" customFormat="1" ht="12.2" customHeight="1" x14ac:dyDescent="0.15">
      <c r="A569" s="21" t="s">
        <v>634</v>
      </c>
      <c r="B569" s="22">
        <v>22</v>
      </c>
      <c r="C569" s="22">
        <v>10</v>
      </c>
      <c r="D569" s="2" t="s">
        <v>432</v>
      </c>
      <c r="E569" s="22"/>
      <c r="F569" s="18">
        <v>224139</v>
      </c>
      <c r="G569" s="18">
        <v>104945.83</v>
      </c>
      <c r="H569" s="18">
        <v>307.20999999999998</v>
      </c>
      <c r="I569" s="18">
        <v>94.33</v>
      </c>
      <c r="J569" s="18"/>
      <c r="K569" s="18"/>
      <c r="L569" s="69">
        <f>SUM(F569:K569)</f>
        <v>329486.37000000005</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664302.9</v>
      </c>
      <c r="G571" s="141">
        <f t="shared" ref="G571:L571" si="48">SUM(G568:G570)</f>
        <v>319247.55</v>
      </c>
      <c r="H571" s="141">
        <f t="shared" si="48"/>
        <v>886.98</v>
      </c>
      <c r="I571" s="141">
        <f t="shared" si="48"/>
        <v>272.36</v>
      </c>
      <c r="J571" s="141">
        <f t="shared" si="48"/>
        <v>0</v>
      </c>
      <c r="K571" s="141">
        <f t="shared" si="48"/>
        <v>0</v>
      </c>
      <c r="L571" s="141">
        <f t="shared" si="48"/>
        <v>984709.79</v>
      </c>
      <c r="M571" s="8"/>
      <c r="N571" s="165"/>
    </row>
    <row r="572" spans="1:14" s="3" customFormat="1" ht="12.2" customHeight="1" thickTop="1" x14ac:dyDescent="0.15">
      <c r="A572" s="75" t="s">
        <v>88</v>
      </c>
      <c r="B572" s="41">
        <v>22</v>
      </c>
      <c r="C572" s="41">
        <v>13</v>
      </c>
      <c r="D572" s="115" t="s">
        <v>432</v>
      </c>
      <c r="E572" s="41"/>
      <c r="F572" s="70">
        <f>F561+F566+F571</f>
        <v>865382.87</v>
      </c>
      <c r="G572" s="70">
        <f t="shared" ref="G572:L572" si="49">G561+G566+G571</f>
        <v>391384.83999999997</v>
      </c>
      <c r="H572" s="70">
        <f t="shared" si="49"/>
        <v>1428.48</v>
      </c>
      <c r="I572" s="70">
        <f t="shared" si="49"/>
        <v>1240.3200000000002</v>
      </c>
      <c r="J572" s="70">
        <f t="shared" si="49"/>
        <v>0</v>
      </c>
      <c r="K572" s="70">
        <f t="shared" si="49"/>
        <v>0</v>
      </c>
      <c r="L572" s="70">
        <f t="shared" si="49"/>
        <v>1259436.51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f>21491113.14+14238</f>
        <v>21505351.140000001</v>
      </c>
      <c r="I578" s="69">
        <f t="shared" si="50"/>
        <v>21505351.140000001</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50"/>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5291659.49</v>
      </c>
      <c r="I582" s="69">
        <f t="shared" si="50"/>
        <v>5291659.49</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1487285.92</v>
      </c>
      <c r="G583" s="18">
        <v>794736.72</v>
      </c>
      <c r="H583" s="18">
        <v>1783645.75</v>
      </c>
      <c r="I583" s="69">
        <f t="shared" si="50"/>
        <v>4065668.3899999997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50"/>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982399.6</v>
      </c>
      <c r="I592" s="18">
        <v>526869.9</v>
      </c>
      <c r="J592" s="18">
        <v>797831.5</v>
      </c>
      <c r="K592" s="80">
        <f t="shared" ref="K592:K598" si="51">SUM(H592:J592)</f>
        <v>2307101</v>
      </c>
      <c r="L592" s="23" t="s">
        <v>288</v>
      </c>
      <c r="M592" s="8"/>
      <c r="N592" s="165"/>
    </row>
    <row r="593" spans="1:14" s="3" customFormat="1" ht="12.2" customHeight="1" x14ac:dyDescent="0.15">
      <c r="A593" s="3" t="s">
        <v>638</v>
      </c>
      <c r="B593" s="22">
        <v>23</v>
      </c>
      <c r="C593" s="22">
        <v>2</v>
      </c>
      <c r="D593" s="2" t="s">
        <v>432</v>
      </c>
      <c r="E593" s="22"/>
      <c r="F593" s="78">
        <v>2722</v>
      </c>
      <c r="G593" s="79" t="s">
        <v>97</v>
      </c>
      <c r="H593" s="18">
        <v>384279.05</v>
      </c>
      <c r="I593" s="18">
        <v>242202.85</v>
      </c>
      <c r="J593" s="18">
        <v>160819.34</v>
      </c>
      <c r="K593" s="80">
        <f t="shared" si="51"/>
        <v>787301.24</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51"/>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11528.28</v>
      </c>
      <c r="J595" s="18">
        <v>0</v>
      </c>
      <c r="K595" s="80">
        <f t="shared" si="51"/>
        <v>11528.28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4619.55</v>
      </c>
      <c r="I596" s="18">
        <v>2448.3000000000002</v>
      </c>
      <c r="J596" s="18">
        <v>0</v>
      </c>
      <c r="K596" s="80">
        <f t="shared" si="51"/>
        <v>7067.85</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690007.26</v>
      </c>
      <c r="I598" s="18">
        <v>365695.4</v>
      </c>
      <c r="J598" s="18">
        <v>0</v>
      </c>
      <c r="K598" s="80">
        <f t="shared" si="51"/>
        <v>1055702.6600000001</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2061305.46</v>
      </c>
      <c r="I599" s="81">
        <f>SUM(I592:I598)</f>
        <v>1148744.73</v>
      </c>
      <c r="J599" s="81">
        <f>SUM(J592:J598)</f>
        <v>958650.84</v>
      </c>
      <c r="K599" s="81">
        <f>SUM(K592:K598)</f>
        <v>4168701.0300000003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63161.04</v>
      </c>
      <c r="I605" s="18">
        <v>51090.94</v>
      </c>
      <c r="J605" s="18"/>
      <c r="K605" s="80">
        <f>SUM(H605:J605)</f>
        <v>114251.98000000001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63161.04</v>
      </c>
      <c r="I606" s="81">
        <f>SUM(I603:I605)</f>
        <v>51090.94</v>
      </c>
      <c r="J606" s="81">
        <f>SUM(J603:J605)</f>
        <v>0</v>
      </c>
      <c r="K606" s="81">
        <f>SUM(K603:K605)</f>
        <v>114251.98000000001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5575614.1199999992</v>
      </c>
      <c r="H618" s="80">
        <f>SUM(F52)</f>
        <v>5575614.1200000001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1130362.51</v>
      </c>
      <c r="H619" s="80">
        <f>SUM(G52)</f>
        <v>1130362.51</v>
      </c>
      <c r="I619" s="87" t="s">
        <v>875</v>
      </c>
      <c r="J619" s="80">
        <f>G619-H619</f>
        <v>0</v>
      </c>
      <c r="K619" s="80"/>
      <c r="L619" s="80"/>
      <c r="M619" s="8"/>
    </row>
    <row r="620" spans="1:14" s="3" customFormat="1" ht="12.2" customHeight="1" x14ac:dyDescent="0.15">
      <c r="A620" s="74"/>
      <c r="B620" s="22"/>
      <c r="C620" s="22"/>
      <c r="D620" s="22"/>
      <c r="E620" s="22"/>
      <c r="F620" s="87" t="s">
        <v>685</v>
      </c>
      <c r="G620" s="80">
        <f>SUM(H19)</f>
        <v>105698.82999999996</v>
      </c>
      <c r="H620" s="80">
        <f>SUM(H52)</f>
        <v>105698.83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200411.39</v>
      </c>
      <c r="H622" s="80">
        <f>SUM(J52)</f>
        <v>200411.39</v>
      </c>
      <c r="I622" s="87" t="s">
        <v>878</v>
      </c>
      <c r="J622" s="80">
        <f>G622-H622</f>
        <v>0</v>
      </c>
      <c r="K622" s="80"/>
      <c r="L622" s="80"/>
      <c r="M622" s="8"/>
    </row>
    <row r="623" spans="1:14" s="3" customFormat="1" ht="12.2" customHeight="1" x14ac:dyDescent="0.15">
      <c r="A623" s="74"/>
      <c r="B623" s="22"/>
      <c r="C623" s="22"/>
      <c r="D623" s="22"/>
      <c r="E623" s="22"/>
      <c r="F623" s="87" t="s">
        <v>864</v>
      </c>
      <c r="G623" s="80">
        <f>F51</f>
        <v>4887719.91</v>
      </c>
      <c r="H623" s="80">
        <f>F477</f>
        <v>4887719.9099999964</v>
      </c>
      <c r="I623" s="87" t="s">
        <v>101</v>
      </c>
      <c r="J623" s="80">
        <f t="shared" ref="J623:J656" si="53">G623-H623</f>
        <v>0</v>
      </c>
      <c r="K623" s="80"/>
      <c r="L623" s="80"/>
      <c r="M623" s="8"/>
    </row>
    <row r="624" spans="1:14" s="3" customFormat="1" ht="12.2" customHeight="1" x14ac:dyDescent="0.15">
      <c r="A624" s="74"/>
      <c r="B624" s="22"/>
      <c r="C624" s="85"/>
      <c r="D624" s="85"/>
      <c r="E624" s="85"/>
      <c r="F624" s="85" t="s">
        <v>865</v>
      </c>
      <c r="G624" s="80">
        <f>G51</f>
        <v>1101787.3600000001</v>
      </c>
      <c r="H624" s="80">
        <f>G477</f>
        <v>1101787.3599999999</v>
      </c>
      <c r="I624" s="87" t="s">
        <v>102</v>
      </c>
      <c r="J624" s="80">
        <f t="shared" si="53"/>
        <v>0</v>
      </c>
      <c r="K624" s="80"/>
      <c r="L624" s="80"/>
      <c r="M624" s="8"/>
    </row>
    <row r="625" spans="1:13" s="3" customFormat="1" ht="12.2" customHeight="1" x14ac:dyDescent="0.15">
      <c r="A625" s="74"/>
      <c r="B625" s="22"/>
      <c r="C625" s="22"/>
      <c r="D625" s="22"/>
      <c r="E625" s="22"/>
      <c r="F625" s="86" t="s">
        <v>866</v>
      </c>
      <c r="G625" s="80">
        <f>H51</f>
        <v>105698.83</v>
      </c>
      <c r="H625" s="80">
        <f>H477</f>
        <v>105698.83000000007</v>
      </c>
      <c r="I625" s="87" t="s">
        <v>103</v>
      </c>
      <c r="J625" s="80">
        <f t="shared" si="53"/>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868</v>
      </c>
      <c r="G627" s="80">
        <f>J51</f>
        <v>200411.39</v>
      </c>
      <c r="H627" s="80">
        <f>J477</f>
        <v>200411.38999999998</v>
      </c>
      <c r="I627" s="87" t="s">
        <v>105</v>
      </c>
      <c r="J627" s="80">
        <f t="shared" si="53"/>
        <v>0</v>
      </c>
      <c r="K627" s="67"/>
      <c r="L627" s="69"/>
      <c r="M627" s="8"/>
    </row>
    <row r="628" spans="1:13" s="3" customFormat="1" ht="12.2" customHeight="1" x14ac:dyDescent="0.15">
      <c r="A628" s="21"/>
      <c r="B628" s="22"/>
      <c r="C628" s="22"/>
      <c r="D628" s="22"/>
      <c r="E628" s="22"/>
      <c r="F628" s="86" t="s">
        <v>658</v>
      </c>
      <c r="G628" s="80">
        <f>F194</f>
        <v>89455369.370000005</v>
      </c>
      <c r="H628" s="80">
        <f>SUM(F469)</f>
        <v>89455369.370000005</v>
      </c>
      <c r="I628" s="87" t="s">
        <v>106</v>
      </c>
      <c r="J628" s="80">
        <f>G628-H628</f>
        <v>0</v>
      </c>
      <c r="K628" s="67"/>
      <c r="L628" s="69"/>
      <c r="M628" s="8"/>
    </row>
    <row r="629" spans="1:13" s="3" customFormat="1" ht="12.2" customHeight="1" x14ac:dyDescent="0.15">
      <c r="A629" s="21"/>
      <c r="B629" s="22"/>
      <c r="C629" s="22"/>
      <c r="D629" s="22"/>
      <c r="E629" s="22"/>
      <c r="F629" s="86" t="s">
        <v>659</v>
      </c>
      <c r="G629" s="80">
        <f>G194</f>
        <v>1802634.6999999997</v>
      </c>
      <c r="H629" s="80">
        <f>SUM(G469)</f>
        <v>1802634.7</v>
      </c>
      <c r="I629" s="87" t="s">
        <v>107</v>
      </c>
      <c r="J629" s="80">
        <f>G629-H629</f>
        <v>0</v>
      </c>
      <c r="K629" s="67"/>
      <c r="L629" s="69"/>
      <c r="M629" s="8"/>
    </row>
    <row r="630" spans="1:13" s="3" customFormat="1" ht="12.2" customHeight="1" x14ac:dyDescent="0.15">
      <c r="A630" s="21"/>
      <c r="B630" s="22"/>
      <c r="C630" s="22"/>
      <c r="D630" s="22"/>
      <c r="E630" s="22"/>
      <c r="F630" s="86" t="s">
        <v>660</v>
      </c>
      <c r="G630" s="80">
        <f>H194</f>
        <v>4458269.8100000005</v>
      </c>
      <c r="H630" s="80">
        <f>SUM(H469)</f>
        <v>4458269.8099999996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2514.34</v>
      </c>
      <c r="H632" s="80">
        <f>SUM(J469)</f>
        <v>2514.34</v>
      </c>
      <c r="I632" s="87" t="s">
        <v>110</v>
      </c>
      <c r="J632" s="80">
        <f>G632-H632</f>
        <v>0</v>
      </c>
      <c r="K632" s="67"/>
      <c r="L632" s="69"/>
      <c r="M632" s="8"/>
    </row>
    <row r="633" spans="1:13" s="3" customFormat="1" ht="12.2" customHeight="1" x14ac:dyDescent="0.15">
      <c r="A633" s="21"/>
      <c r="B633" s="22"/>
      <c r="C633" s="22"/>
      <c r="D633" s="22"/>
      <c r="E633" s="22"/>
      <c r="F633" s="86" t="s">
        <v>394</v>
      </c>
      <c r="G633" s="80">
        <f>SUM(L272)</f>
        <v>92049065.540000007</v>
      </c>
      <c r="H633" s="80">
        <f>SUM(F473)</f>
        <v>92049065.540000007</v>
      </c>
      <c r="I633" s="87" t="s">
        <v>111</v>
      </c>
      <c r="J633" s="80">
        <f t="shared" si="53"/>
        <v>0</v>
      </c>
      <c r="K633" s="67"/>
      <c r="L633" s="69"/>
      <c r="M633" s="8"/>
    </row>
    <row r="634" spans="1:13" s="3" customFormat="1" ht="12.2" customHeight="1" x14ac:dyDescent="0.15">
      <c r="A634" s="21"/>
      <c r="B634" s="22"/>
      <c r="C634" s="22"/>
      <c r="D634" s="22"/>
      <c r="E634" s="22"/>
      <c r="F634" s="86" t="s">
        <v>395</v>
      </c>
      <c r="G634" s="80">
        <f>SUM(L353)</f>
        <v>4393260.21</v>
      </c>
      <c r="H634" s="80">
        <f>SUM(H473)</f>
        <v>4393260.21</v>
      </c>
      <c r="I634" s="87" t="s">
        <v>112</v>
      </c>
      <c r="J634" s="80">
        <f>G634-H634</f>
        <v>0</v>
      </c>
      <c r="K634" s="67"/>
      <c r="L634" s="69"/>
      <c r="M634" s="8"/>
    </row>
    <row r="635" spans="1:13" s="124" customFormat="1" ht="12.2" customHeight="1" x14ac:dyDescent="0.15">
      <c r="A635" s="21"/>
      <c r="B635" s="22"/>
      <c r="C635" s="22"/>
      <c r="D635" s="22"/>
      <c r="E635" s="22"/>
      <c r="F635" s="99" t="s">
        <v>247</v>
      </c>
      <c r="G635" s="80">
        <f>I363</f>
        <v>649071.64</v>
      </c>
      <c r="H635" s="80">
        <f>I370</f>
        <v>649071.64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1724861.21</v>
      </c>
      <c r="H636" s="80">
        <f>SUM(G473)</f>
        <v>1724861.21</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2514.34</v>
      </c>
      <c r="H638" s="108">
        <f>SUM(J469)</f>
        <v>2514.34</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200411.39</v>
      </c>
      <c r="H640" s="80">
        <f>SUM(F462)</f>
        <v>200411.39</v>
      </c>
      <c r="I640" s="87" t="s">
        <v>840</v>
      </c>
      <c r="J640" s="80">
        <f t="shared" si="53"/>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200411.39</v>
      </c>
      <c r="H643" s="80">
        <f>SUM(I462)</f>
        <v>200411.39</v>
      </c>
      <c r="I643" s="87" t="s">
        <v>843</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2514.34</v>
      </c>
      <c r="H645" s="80">
        <f>H409</f>
        <v>2514.34</v>
      </c>
      <c r="I645" s="87" t="s">
        <v>480</v>
      </c>
      <c r="J645" s="80">
        <f t="shared" si="53"/>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3"/>
        <v>0</v>
      </c>
      <c r="K646" s="67"/>
      <c r="L646" s="69"/>
      <c r="M646" s="8"/>
    </row>
    <row r="647" spans="1:13" s="3" customFormat="1" ht="12.2" customHeight="1" x14ac:dyDescent="0.15">
      <c r="A647" s="21"/>
      <c r="B647" s="22"/>
      <c r="C647" s="22"/>
      <c r="D647" s="22"/>
      <c r="E647" s="22"/>
      <c r="F647" s="86" t="s">
        <v>662</v>
      </c>
      <c r="G647" s="80">
        <f>J194</f>
        <v>2514.34</v>
      </c>
      <c r="H647" s="80">
        <f>L409</f>
        <v>2514.34</v>
      </c>
      <c r="I647" s="87" t="s">
        <v>477</v>
      </c>
      <c r="J647" s="80">
        <f t="shared" si="53"/>
        <v>0</v>
      </c>
      <c r="K647" s="67"/>
      <c r="L647" s="69"/>
      <c r="M647" s="8"/>
    </row>
    <row r="648" spans="1:13" s="3" customFormat="1" ht="12.2" customHeight="1" x14ac:dyDescent="0.15">
      <c r="A648" s="21"/>
      <c r="B648" s="22"/>
      <c r="C648" s="22"/>
      <c r="D648" s="22"/>
      <c r="E648" s="22"/>
      <c r="F648" s="86" t="s">
        <v>51</v>
      </c>
      <c r="G648" s="80">
        <f>K599</f>
        <v>4168701.0300000003</v>
      </c>
      <c r="H648" s="80">
        <f>L209+L227+L245</f>
        <v>4168701.03</v>
      </c>
      <c r="I648" s="87" t="s">
        <v>396</v>
      </c>
      <c r="J648" s="80">
        <f t="shared" si="53"/>
        <v>0</v>
      </c>
      <c r="K648" s="67"/>
      <c r="L648" s="69"/>
      <c r="M648" s="8"/>
    </row>
    <row r="649" spans="1:13" s="3" customFormat="1" ht="12.2" customHeight="1" x14ac:dyDescent="0.15">
      <c r="A649" s="21"/>
      <c r="B649" s="22"/>
      <c r="C649" s="22"/>
      <c r="D649" s="22"/>
      <c r="E649" s="22"/>
      <c r="F649" s="86" t="s">
        <v>52</v>
      </c>
      <c r="G649" s="80">
        <f>K606</f>
        <v>114251.98000000001</v>
      </c>
      <c r="H649" s="80">
        <f>(J258+J339)-(J256+J337)</f>
        <v>114251.98</v>
      </c>
      <c r="I649" s="87" t="s">
        <v>699</v>
      </c>
      <c r="J649" s="80">
        <f t="shared" si="53"/>
        <v>0</v>
      </c>
      <c r="K649" s="67"/>
      <c r="L649" s="69"/>
      <c r="M649" s="8"/>
    </row>
    <row r="650" spans="1:13" s="3" customFormat="1" ht="12.2" customHeight="1" x14ac:dyDescent="0.15">
      <c r="A650" s="21"/>
      <c r="B650" s="22"/>
      <c r="C650" s="22"/>
      <c r="D650" s="22"/>
      <c r="E650" s="22"/>
      <c r="F650" s="86" t="s">
        <v>387</v>
      </c>
      <c r="G650" s="80">
        <f>L209</f>
        <v>2061305.46</v>
      </c>
      <c r="H650" s="80">
        <f>H599</f>
        <v>2061305.46</v>
      </c>
      <c r="I650" s="87" t="s">
        <v>388</v>
      </c>
      <c r="J650" s="80">
        <f t="shared" si="53"/>
        <v>0</v>
      </c>
      <c r="K650" s="67"/>
      <c r="L650" s="69"/>
      <c r="M650" s="8"/>
    </row>
    <row r="651" spans="1:13" s="3" customFormat="1" ht="12.2" customHeight="1" x14ac:dyDescent="0.15">
      <c r="A651" s="21"/>
      <c r="B651" s="22"/>
      <c r="C651" s="22"/>
      <c r="D651" s="22"/>
      <c r="E651" s="22"/>
      <c r="F651" s="86" t="s">
        <v>392</v>
      </c>
      <c r="G651" s="80">
        <f>L227</f>
        <v>1148744.73</v>
      </c>
      <c r="H651" s="80">
        <f>I599</f>
        <v>1148744.73</v>
      </c>
      <c r="I651" s="87" t="s">
        <v>389</v>
      </c>
      <c r="J651" s="80">
        <f t="shared" si="53"/>
        <v>0</v>
      </c>
      <c r="K651" s="67"/>
      <c r="L651" s="69"/>
      <c r="M651" s="8"/>
    </row>
    <row r="652" spans="1:13" s="3" customFormat="1" ht="12.2" customHeight="1" x14ac:dyDescent="0.15">
      <c r="A652" s="21"/>
      <c r="B652" s="22"/>
      <c r="C652" s="22"/>
      <c r="D652" s="22"/>
      <c r="E652" s="22"/>
      <c r="F652" s="86" t="s">
        <v>393</v>
      </c>
      <c r="G652" s="80">
        <f>L245</f>
        <v>958650.84</v>
      </c>
      <c r="H652" s="80">
        <f>J599</f>
        <v>958650.84</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42525765.940000005</v>
      </c>
      <c r="G661" s="13">
        <f>(L230+L310+L360)</f>
        <v>22437633.419999998</v>
      </c>
      <c r="H661" s="13">
        <f>(L248+L329+L361)</f>
        <v>30993641.170000002</v>
      </c>
      <c r="I661" s="13">
        <f>SUM(F661:H661)</f>
        <v>95957040.530000001</v>
      </c>
      <c r="J661" s="13"/>
      <c r="K661" s="13"/>
      <c r="L661" s="13"/>
      <c r="M661" s="9"/>
    </row>
    <row r="662" spans="1:13" s="3" customFormat="1" ht="12.2" customHeight="1" x14ac:dyDescent="0.2">
      <c r="A662" s="1" t="s">
        <v>127</v>
      </c>
      <c r="F662" s="13">
        <f>(L359/IF(SUM(L359:L361)=0,1,SUM(L359:L361))*(SUM(G97:G110)))</f>
        <v>563079.25416712812</v>
      </c>
      <c r="G662" s="13">
        <f>(L360/IF(SUM(L359:L361)=0,1,SUM(L359:L361))*(SUM(G97:G110)))</f>
        <v>285965.63583287189</v>
      </c>
      <c r="H662" s="13">
        <f>(L361/IF(SUM(L359:L361)=0,1,SUM(L359:L361))*(SUM(G97:G110)))</f>
        <v>0</v>
      </c>
      <c r="I662" s="13">
        <f>SUM(F662:H662)</f>
        <v>849044.89</v>
      </c>
      <c r="J662"/>
      <c r="K662" s="13"/>
      <c r="L662" s="13"/>
      <c r="M662" s="8"/>
    </row>
    <row r="663" spans="1:13" s="3" customFormat="1" ht="12.2" customHeight="1" x14ac:dyDescent="0.2">
      <c r="A663" s="1" t="s">
        <v>128</v>
      </c>
      <c r="F663" s="13">
        <f>(L209+L288)-(J209+J288)</f>
        <v>2103320.84</v>
      </c>
      <c r="G663" s="13">
        <f>(L227+L307)-(J227+J307)</f>
        <v>1171012.3699999999</v>
      </c>
      <c r="H663" s="13">
        <f>(L245+L326)-(J245+J326)</f>
        <v>958650.84</v>
      </c>
      <c r="I663" s="13">
        <f>SUM(F663:H663)</f>
        <v>4232984.05</v>
      </c>
      <c r="J663"/>
      <c r="K663" s="13"/>
      <c r="L663" s="13"/>
      <c r="M663" s="9"/>
    </row>
    <row r="664" spans="1:13" s="3" customFormat="1" ht="12.2" customHeight="1" x14ac:dyDescent="0.15">
      <c r="A664" s="142" t="s">
        <v>129</v>
      </c>
      <c r="B664" s="124"/>
      <c r="C664" s="124"/>
      <c r="D664" s="124"/>
      <c r="E664" s="124"/>
      <c r="F664" s="143">
        <f>SUM(F576:F588)+SUM(H603:H605)+SUM(L612)</f>
        <v>1550446.96</v>
      </c>
      <c r="G664" s="143">
        <f>SUM(G576:G588)+SUM(I603:I605)+L613</f>
        <v>845827.65999999992</v>
      </c>
      <c r="H664" s="143">
        <f>SUM(H576:H588)+SUM(J603:J605)+L614</f>
        <v>28580656.380000003</v>
      </c>
      <c r="I664" s="13">
        <f>SUM(F664:H664)</f>
        <v>30976931.000000004</v>
      </c>
      <c r="J664" s="13"/>
      <c r="K664" s="13"/>
      <c r="L664" s="13"/>
      <c r="M664" s="9"/>
    </row>
    <row r="665" spans="1:13" s="3" customFormat="1" ht="12.2" customHeight="1" x14ac:dyDescent="0.15">
      <c r="A665" s="1" t="s">
        <v>130</v>
      </c>
      <c r="F665" s="13">
        <f>F661-SUM(F662:F664)</f>
        <v>38308918.885832876</v>
      </c>
      <c r="G665" s="13">
        <f>G661-SUM(G662:G664)</f>
        <v>20134827.754167125</v>
      </c>
      <c r="H665" s="13">
        <f>H661-SUM(H662:H664)</f>
        <v>1454333.9499999993</v>
      </c>
      <c r="I665" s="13">
        <f>I661-SUM(I662:I664)</f>
        <v>59898080.589999996</v>
      </c>
      <c r="J665" s="13"/>
      <c r="K665" s="13"/>
      <c r="L665" s="13"/>
      <c r="M665" s="8"/>
    </row>
    <row r="666" spans="1:13" s="3" customFormat="1" ht="12.2" customHeight="1" x14ac:dyDescent="0.2">
      <c r="A666" s="1" t="s">
        <v>131</v>
      </c>
      <c r="F666" s="183">
        <v>1987.91</v>
      </c>
      <c r="G666" s="184">
        <v>1039.97</v>
      </c>
      <c r="H666" s="184"/>
      <c r="I666" s="13">
        <f>SUM(F666:H666)</f>
        <v>3027.88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19270.95</v>
      </c>
      <c r="G668" s="13">
        <f>ROUND(G665/G666,2)</f>
        <v>19360.97</v>
      </c>
      <c r="H668" s="13" t="e">
        <f>ROUND(H665/H666,2)</f>
        <v>#DIV/0!</v>
      </c>
      <c r="I668" s="13">
        <f>ROUND(I665/I666,2)</f>
        <v>19782.18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f t="shared" si="54"/>
        <v>-1454333.9499999993</v>
      </c>
      <c r="I670" s="13">
        <f>SUM(F670:H670)</f>
        <v>-1454333.9499999993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19270.95</v>
      </c>
      <c r="G673" s="13">
        <f>ROUND((G665+G670)/(G666+G671),2)</f>
        <v>19360.97</v>
      </c>
      <c r="H673" s="13" t="e">
        <f>ROUND((H665+H670)/(H666+H671),2)</f>
        <v>#DIV/0!</v>
      </c>
      <c r="I673" s="13">
        <f>ROUND((I665+I670)/(I666+I671),2)</f>
        <v>19301.87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9" sqref="H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158610.09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313">
        <v>158066.59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543.5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Derry Cooperative</v>
      </c>
      <c r="C5" s="318"/>
      <c r="D5" s="318"/>
      <c r="E5" s="318"/>
      <c r="F5" s="318"/>
    </row>
    <row r="8" spans="1:9" ht="18" x14ac:dyDescent="0.25">
      <c r="A8" s="240" t="s">
        <v>1560</v>
      </c>
      <c r="F8" s="247" t="s">
        <v>1578</v>
      </c>
    </row>
    <row r="9" spans="1:9" ht="15" x14ac:dyDescent="0.2">
      <c r="A9" s="238" t="s">
        <v>1561</v>
      </c>
      <c r="B9" s="241">
        <f>'DOE25'!G97</f>
        <v>828428.19</v>
      </c>
      <c r="F9" s="238" t="s">
        <v>1574</v>
      </c>
    </row>
    <row r="10" spans="1:9" ht="15" x14ac:dyDescent="0.2">
      <c r="A10" s="238" t="s">
        <v>1562</v>
      </c>
      <c r="B10" s="241">
        <f>'DOE25'!G112-'DOE25'!G97</f>
        <v>20616.699999999953</v>
      </c>
      <c r="F10" s="238" t="s">
        <v>1575</v>
      </c>
    </row>
    <row r="11" spans="1:9" ht="15" x14ac:dyDescent="0.2">
      <c r="A11" s="238" t="s">
        <v>1563</v>
      </c>
      <c r="B11" s="241">
        <f>'DOE25'!G140</f>
        <v>104718.83</v>
      </c>
      <c r="F11" s="238" t="s">
        <v>1576</v>
      </c>
    </row>
    <row r="12" spans="1:9" ht="15" x14ac:dyDescent="0.2">
      <c r="A12" s="238" t="s">
        <v>1564</v>
      </c>
      <c r="B12" s="241">
        <f>'DOE25'!G170</f>
        <v>848870.98</v>
      </c>
      <c r="F12" s="238" t="s">
        <v>1577</v>
      </c>
    </row>
    <row r="13" spans="1:9" ht="15" x14ac:dyDescent="0.2">
      <c r="A13" s="238" t="s">
        <v>1565</v>
      </c>
      <c r="B13" s="241">
        <f>'DOE25'!G193-'DOE25'!G180</f>
        <v>0</v>
      </c>
      <c r="F13" s="238" t="s">
        <v>1587</v>
      </c>
    </row>
    <row r="14" spans="1:9" ht="18" x14ac:dyDescent="0.25">
      <c r="A14" s="240" t="s">
        <v>732</v>
      </c>
      <c r="B14" s="242">
        <f>SUM(B9:B13)</f>
        <v>1802634.6999999997</v>
      </c>
    </row>
    <row r="16" spans="1:9" ht="18" x14ac:dyDescent="0.25">
      <c r="A16" s="240" t="s">
        <v>786</v>
      </c>
      <c r="F16" s="247" t="s">
        <v>1579</v>
      </c>
    </row>
    <row r="17" spans="1:6" ht="15" x14ac:dyDescent="0.2">
      <c r="A17" s="238" t="s">
        <v>1566</v>
      </c>
      <c r="B17" s="241">
        <f>'DOE25'!L363-'DOE25'!L362</f>
        <v>1724861.21</v>
      </c>
      <c r="F17" s="238" t="s">
        <v>1580</v>
      </c>
    </row>
    <row r="18" spans="1:6" ht="15" x14ac:dyDescent="0.2">
      <c r="A18" s="238" t="s">
        <v>1567</v>
      </c>
      <c r="B18" s="251"/>
      <c r="F18" s="247" t="s">
        <v>1604</v>
      </c>
    </row>
    <row r="19" spans="1:6" ht="18" x14ac:dyDescent="0.25">
      <c r="A19" s="240" t="s">
        <v>725</v>
      </c>
      <c r="B19" s="242">
        <f>SUM(B17:B18)</f>
        <v>1724861.21</v>
      </c>
    </row>
    <row r="21" spans="1:6" ht="18.75" thickBot="1" x14ac:dyDescent="0.3">
      <c r="A21" s="240" t="s">
        <v>1568</v>
      </c>
    </row>
    <row r="22" spans="1:6" ht="18.75" thickTop="1" x14ac:dyDescent="0.25">
      <c r="A22" s="240" t="s">
        <v>1569</v>
      </c>
      <c r="B22" s="246">
        <f>B14-B19</f>
        <v>77773.489999999758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1024013.87</v>
      </c>
      <c r="F31" s="238" t="s">
        <v>1584</v>
      </c>
    </row>
    <row r="33" spans="1:6" ht="15" x14ac:dyDescent="0.2">
      <c r="A33" s="238" t="s">
        <v>1798</v>
      </c>
      <c r="B33" s="241">
        <f>'DOE25'!G477</f>
        <v>1101787.3599999999</v>
      </c>
      <c r="F33" s="238" t="s">
        <v>1585</v>
      </c>
    </row>
    <row r="36" spans="1:6" ht="15" x14ac:dyDescent="0.2">
      <c r="A36" s="238" t="s">
        <v>1571</v>
      </c>
      <c r="B36" s="252">
        <v>153048.14000000001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37" sqref="F3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Derry Cooperative</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14211029.92</v>
      </c>
      <c r="C9" s="167">
        <f>'DOE25'!G198+'DOE25'!G216+'DOE25'!G234+'DOE25'!G277+'DOE25'!G296+'DOE25'!G315</f>
        <v>8450991.7400000002</v>
      </c>
    </row>
    <row r="10" spans="1:3" x14ac:dyDescent="0.2">
      <c r="A10" t="s">
        <v>775</v>
      </c>
      <c r="B10" s="177">
        <f>13329866.9+394216.99</f>
        <v>13724083.890000001</v>
      </c>
      <c r="C10" s="177">
        <f>7002050.13+1140553.34+172146.95</f>
        <v>8314750.4199999999</v>
      </c>
    </row>
    <row r="11" spans="1:3" x14ac:dyDescent="0.2">
      <c r="A11" t="s">
        <v>776</v>
      </c>
      <c r="B11" s="177">
        <f>408362.15+74263.88</f>
        <v>482626.03</v>
      </c>
      <c r="C11" s="177">
        <f>94372.76+35274.85+6263.23</f>
        <v>135910.84</v>
      </c>
    </row>
    <row r="12" spans="1:3" x14ac:dyDescent="0.2">
      <c r="A12" t="s">
        <v>777</v>
      </c>
      <c r="B12" s="177">
        <v>4320</v>
      </c>
      <c r="C12" s="177">
        <v>330.48</v>
      </c>
    </row>
    <row r="13" spans="1:3" x14ac:dyDescent="0.2">
      <c r="A13" t="str">
        <f>IF(B9=B13,IF(C9=C13,"Check Total OK","Check Total Error"),"Check Total Error")</f>
        <v>Check Total OK</v>
      </c>
      <c r="B13" s="169">
        <f>SUM(B10:B12)</f>
        <v>14211029.92</v>
      </c>
      <c r="C13" s="169">
        <f>SUM(C10:C12)</f>
        <v>8450991.7400000002</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7996077.21</v>
      </c>
      <c r="C18" s="167">
        <f>'DOE25'!G199+'DOE25'!G217+'DOE25'!G235+'DOE25'!G278+'DOE25'!G297+'DOE25'!G316</f>
        <v>3529471.7699999996</v>
      </c>
    </row>
    <row r="19" spans="1:3" x14ac:dyDescent="0.2">
      <c r="A19" t="s">
        <v>775</v>
      </c>
      <c r="B19" s="177">
        <v>4935429.71</v>
      </c>
      <c r="C19" s="177">
        <v>2740173.15</v>
      </c>
    </row>
    <row r="20" spans="1:3" x14ac:dyDescent="0.2">
      <c r="A20" t="s">
        <v>776</v>
      </c>
      <c r="B20" s="177">
        <v>2341881.52</v>
      </c>
      <c r="C20" s="177">
        <f>578956.79+181933.32</f>
        <v>760890.1100000001</v>
      </c>
    </row>
    <row r="21" spans="1:3" x14ac:dyDescent="0.2">
      <c r="A21" t="s">
        <v>777</v>
      </c>
      <c r="B21" s="177">
        <v>718765.98</v>
      </c>
      <c r="C21" s="177">
        <v>28408.51</v>
      </c>
    </row>
    <row r="22" spans="1:3" x14ac:dyDescent="0.2">
      <c r="A22" t="str">
        <f>IF(B18=B22,IF(C18=C22,"Check Total OK","Check Total Error"),"Check Total Error")</f>
        <v>Check Total OK</v>
      </c>
      <c r="B22" s="169">
        <f>SUM(B19:B21)</f>
        <v>7996077.2100000009</v>
      </c>
      <c r="C22" s="169">
        <f>SUM(C19:C21)</f>
        <v>3529471.7699999996</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344152.19000000006</v>
      </c>
      <c r="C36" s="173">
        <f>'DOE25'!G201+'DOE25'!G219+'DOE25'!G237+'DOE25'!G280+'DOE25'!G299+'DOE25'!G318</f>
        <v>77484.12000000001</v>
      </c>
    </row>
    <row r="37" spans="1:3" x14ac:dyDescent="0.2">
      <c r="A37" t="s">
        <v>775</v>
      </c>
      <c r="B37" s="177">
        <v>161558.49</v>
      </c>
      <c r="C37" s="177">
        <v>45534.05</v>
      </c>
    </row>
    <row r="38" spans="1:3" x14ac:dyDescent="0.2">
      <c r="A38" t="s">
        <v>776</v>
      </c>
      <c r="B38" s="177">
        <v>0</v>
      </c>
      <c r="C38" s="177">
        <v>0</v>
      </c>
    </row>
    <row r="39" spans="1:3" x14ac:dyDescent="0.2">
      <c r="A39" t="s">
        <v>777</v>
      </c>
      <c r="B39" s="177">
        <v>182593.7</v>
      </c>
      <c r="C39" s="177">
        <v>31950.07</v>
      </c>
    </row>
    <row r="40" spans="1:3" x14ac:dyDescent="0.2">
      <c r="A40" t="str">
        <f>IF(B36=B40,IF(C36=C40,"Check Total OK","Check Total Error"),"Check Total Error")</f>
        <v>Check Total OK</v>
      </c>
      <c r="B40" s="169">
        <f>SUM(B37:B39)</f>
        <v>344152.19</v>
      </c>
      <c r="C40" s="169">
        <f>SUM(C37:C39)</f>
        <v>77484.12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41" sqref="D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Derry Cooperative</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66002494.859999999</v>
      </c>
      <c r="D5" s="19">
        <f>SUM('DOE25'!L198:L201)+SUM('DOE25'!L216:L219)+SUM('DOE25'!L234:L237)-F5-G5-H5</f>
        <v>65969440.039999999</v>
      </c>
      <c r="E5" s="180"/>
      <c r="F5" s="181"/>
      <c r="G5" s="19">
        <f>SUM('DOE25'!J198:J201)+SUM('DOE25'!J216:J219)+SUM('DOE25'!J234:J237)</f>
        <v>24682.82</v>
      </c>
      <c r="H5" s="19">
        <f>SUM('DOE25'!K198:K201)+SUM('DOE25'!K216:K219)+SUM('DOE25'!K234:K237)</f>
        <v>8372</v>
      </c>
      <c r="I5" s="192"/>
    </row>
    <row r="6" spans="1:9" x14ac:dyDescent="0.2">
      <c r="A6" s="31">
        <v>2100</v>
      </c>
      <c r="B6" t="s">
        <v>796</v>
      </c>
      <c r="C6" s="206">
        <f t="shared" si="0"/>
        <v>6773271.7299999995</v>
      </c>
      <c r="D6" s="19">
        <f>'DOE25'!L203+'DOE25'!L221+'DOE25'!L239-F6-G6-H6</f>
        <v>6773271.7299999995</v>
      </c>
      <c r="E6" s="180"/>
      <c r="F6" s="181"/>
      <c r="G6" s="19">
        <f>'DOE25'!J203+'DOE25'!J221+'DOE25'!J239</f>
        <v>0</v>
      </c>
      <c r="H6" s="19">
        <f>'DOE25'!K203+'DOE25'!K221+'DOE25'!K239</f>
        <v>0</v>
      </c>
      <c r="I6" s="192"/>
    </row>
    <row r="7" spans="1:9" x14ac:dyDescent="0.2">
      <c r="A7" s="31">
        <v>2200</v>
      </c>
      <c r="B7" t="s">
        <v>820</v>
      </c>
      <c r="C7" s="206">
        <f t="shared" si="0"/>
        <v>1993398.06</v>
      </c>
      <c r="D7" s="19">
        <f>'DOE25'!L204+'DOE25'!L222+'DOE25'!L240-F7-G7-H7</f>
        <v>1941036.49</v>
      </c>
      <c r="E7" s="180"/>
      <c r="F7" s="181"/>
      <c r="G7" s="19">
        <f>'DOE25'!J204+'DOE25'!J222+'DOE25'!J240</f>
        <v>39176.71</v>
      </c>
      <c r="H7" s="19">
        <f>'DOE25'!K204+'DOE25'!K222+'DOE25'!K240</f>
        <v>13184.86</v>
      </c>
      <c r="I7" s="192"/>
    </row>
    <row r="8" spans="1:9" x14ac:dyDescent="0.2">
      <c r="A8" s="31">
        <v>2300</v>
      </c>
      <c r="B8" t="s">
        <v>797</v>
      </c>
      <c r="C8" s="206">
        <f t="shared" si="0"/>
        <v>315263.14000000013</v>
      </c>
      <c r="D8" s="180"/>
      <c r="E8" s="19">
        <f>'DOE25'!L205+'DOE25'!L223+'DOE25'!L241-F8-G8-H8-D9-D11</f>
        <v>301704.90000000014</v>
      </c>
      <c r="F8" s="181"/>
      <c r="G8" s="19">
        <f>'DOE25'!J205+'DOE25'!J223+'DOE25'!J241</f>
        <v>0</v>
      </c>
      <c r="H8" s="19">
        <f>'DOE25'!K205+'DOE25'!K223+'DOE25'!K241</f>
        <v>13558.24</v>
      </c>
      <c r="I8" s="192"/>
    </row>
    <row r="9" spans="1:9" ht="14.25" x14ac:dyDescent="0.2">
      <c r="A9" s="31">
        <v>2310</v>
      </c>
      <c r="B9" s="71" t="s">
        <v>887</v>
      </c>
      <c r="C9" s="206">
        <f t="shared" si="0"/>
        <v>14676.2</v>
      </c>
      <c r="D9" s="181">
        <v>14676.2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822433.24</v>
      </c>
      <c r="D11" s="181">
        <v>822433.24</v>
      </c>
      <c r="E11" s="180"/>
      <c r="F11" s="180"/>
      <c r="G11" s="180"/>
      <c r="H11" s="180"/>
      <c r="I11" s="192"/>
    </row>
    <row r="12" spans="1:9" x14ac:dyDescent="0.2">
      <c r="A12" s="31">
        <v>2400</v>
      </c>
      <c r="B12" t="s">
        <v>711</v>
      </c>
      <c r="C12" s="206">
        <f t="shared" si="0"/>
        <v>3684379.2</v>
      </c>
      <c r="D12" s="19">
        <f>'DOE25'!L206+'DOE25'!L224+'DOE25'!L242-F12-G12-H12</f>
        <v>3661175.31</v>
      </c>
      <c r="E12" s="180"/>
      <c r="F12" s="181"/>
      <c r="G12" s="19">
        <f>'DOE25'!J206+'DOE25'!J224+'DOE25'!J242</f>
        <v>12288.89</v>
      </c>
      <c r="H12" s="19">
        <f>'DOE25'!K206+'DOE25'!K224+'DOE25'!K242</f>
        <v>10915</v>
      </c>
      <c r="I12" s="192"/>
    </row>
    <row r="13" spans="1:9" x14ac:dyDescent="0.2">
      <c r="A13" s="31">
        <v>2500</v>
      </c>
      <c r="B13" t="s">
        <v>798</v>
      </c>
      <c r="C13" s="206">
        <f t="shared" si="0"/>
        <v>703033.05</v>
      </c>
      <c r="D13" s="180"/>
      <c r="E13" s="19">
        <f>'DOE25'!L207+'DOE25'!L225+'DOE25'!L243-F13-G13-H13</f>
        <v>693978.45000000007</v>
      </c>
      <c r="F13" s="181"/>
      <c r="G13" s="19">
        <f>'DOE25'!J207+'DOE25'!J225+'DOE25'!J243</f>
        <v>0</v>
      </c>
      <c r="H13" s="19">
        <f>'DOE25'!K207+'DOE25'!K225+'DOE25'!K243</f>
        <v>9054.6</v>
      </c>
      <c r="I13" s="192"/>
    </row>
    <row r="14" spans="1:9" x14ac:dyDescent="0.2">
      <c r="A14" s="31">
        <v>2600</v>
      </c>
      <c r="B14" t="s">
        <v>818</v>
      </c>
      <c r="C14" s="206">
        <f t="shared" si="0"/>
        <v>5345168.3</v>
      </c>
      <c r="D14" s="19">
        <f>'DOE25'!L208+'DOE25'!L226+'DOE25'!L244-F14-G14-H14</f>
        <v>5345168.3</v>
      </c>
      <c r="E14" s="180"/>
      <c r="F14" s="181"/>
      <c r="G14" s="19">
        <f>'DOE25'!J208+'DOE25'!J226+'DOE25'!J244</f>
        <v>0</v>
      </c>
      <c r="H14" s="19">
        <f>'DOE25'!K208+'DOE25'!K226+'DOE25'!K244</f>
        <v>0</v>
      </c>
      <c r="I14" s="192"/>
    </row>
    <row r="15" spans="1:9" x14ac:dyDescent="0.2">
      <c r="A15" s="31">
        <v>2700</v>
      </c>
      <c r="B15" t="s">
        <v>799</v>
      </c>
      <c r="C15" s="206">
        <f t="shared" si="0"/>
        <v>4168701.03</v>
      </c>
      <c r="D15" s="19">
        <f>'DOE25'!L209+'DOE25'!L227+'DOE25'!L245-F15-G15-H15</f>
        <v>0</v>
      </c>
      <c r="E15" s="180"/>
      <c r="F15" s="181">
        <v>4168701.03</v>
      </c>
      <c r="G15" s="19">
        <f>'DOE25'!J209+'DOE25'!J227+'DOE25'!J245</f>
        <v>0</v>
      </c>
      <c r="H15" s="19">
        <f>'DOE25'!K209+'DOE25'!K227+'DOE25'!K245</f>
        <v>0</v>
      </c>
      <c r="I15" s="192"/>
    </row>
    <row r="16" spans="1:9" x14ac:dyDescent="0.2">
      <c r="A16" s="31">
        <v>2800</v>
      </c>
      <c r="B16" t="s">
        <v>800</v>
      </c>
      <c r="C16" s="206">
        <f t="shared" si="0"/>
        <v>84004</v>
      </c>
      <c r="D16" s="180"/>
      <c r="E16" s="19">
        <f>'DOE25'!L210+'DOE25'!L228+'DOE25'!L246-F16-G16-H16</f>
        <v>84004</v>
      </c>
      <c r="F16" s="181"/>
      <c r="G16" s="19">
        <f>'DOE25'!J210+'DOE25'!J228+'DOE25'!J246</f>
        <v>0</v>
      </c>
      <c r="H16" s="19">
        <f>'DOE25'!K210+'DOE25'!K228+'DOE25'!K246</f>
        <v>0</v>
      </c>
      <c r="I16" s="192"/>
    </row>
    <row r="17" spans="1:9" x14ac:dyDescent="0.2">
      <c r="A17" s="31">
        <v>1600</v>
      </c>
      <c r="B17" t="s">
        <v>801</v>
      </c>
      <c r="C17" s="206">
        <f t="shared" si="0"/>
        <v>78297.67</v>
      </c>
      <c r="D17" s="19">
        <f>'DOE25'!L252-F17-G17-H17</f>
        <v>78297.67</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2063945.06</v>
      </c>
      <c r="D25" s="180"/>
      <c r="E25" s="180"/>
      <c r="F25" s="191"/>
      <c r="G25" s="180"/>
      <c r="H25" s="180"/>
      <c r="I25" s="190">
        <f>'DOE25'!L261+'DOE25'!L262+'DOE25'!L342+'DOE25'!L343</f>
        <v>2063945.06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1118158.0899999999</v>
      </c>
      <c r="D29" s="212">
        <f>'DOE25'!L359+'DOE25'!L360+'DOE25'!L361-'DOE25'!I368-F29-G29-H29-F39</f>
        <v>1086166.17</v>
      </c>
      <c r="E29" s="180"/>
      <c r="F29" s="180"/>
      <c r="G29" s="19">
        <f>'DOE25'!J359+'DOE25'!J360+'DOE25'!J361</f>
        <v>30838.420000000002</v>
      </c>
      <c r="H29" s="19">
        <f>'DOE25'!K359+'DOE25'!K360+'DOE25'!K361</f>
        <v>1153.5</v>
      </c>
      <c r="I29" s="192"/>
    </row>
    <row r="30" spans="1:9" x14ac:dyDescent="0.2">
      <c r="A30" s="31"/>
      <c r="C30" s="207"/>
      <c r="D30" s="19"/>
      <c r="F30" s="201"/>
      <c r="G30" s="19"/>
      <c r="H30" s="19"/>
      <c r="I30" s="192"/>
    </row>
    <row r="31" spans="1:9" x14ac:dyDescent="0.2">
      <c r="A31" s="31" t="s">
        <v>817</v>
      </c>
      <c r="B31" t="s">
        <v>816</v>
      </c>
      <c r="C31" s="206">
        <f>SUM(D31:I31)</f>
        <v>4393260.21</v>
      </c>
      <c r="D31" s="19">
        <f>'DOE25'!L291+'DOE25'!L310+'DOE25'!L329+'DOE25'!L334+'DOE25'!L335+'DOE25'!L336-F31-G31-H31</f>
        <v>4354900.2300000004</v>
      </c>
      <c r="E31" s="180"/>
      <c r="F31" s="181"/>
      <c r="G31" s="19">
        <f>'DOE25'!J291+'DOE25'!J310+'DOE25'!J329+'DOE25'!J334+'DOE25'!J335+'DOE25'!J336</f>
        <v>38103.56</v>
      </c>
      <c r="H31" s="19">
        <f>'DOE25'!K291+'DOE25'!K310+'DOE25'!K329+'DOE25'!K334+'DOE25'!K335+'DOE25'!K336</f>
        <v>256.42</v>
      </c>
      <c r="I31" s="192"/>
    </row>
    <row r="32" spans="1:9" ht="12" thickBot="1" x14ac:dyDescent="0.25">
      <c r="C32" s="207"/>
      <c r="G32" s="188"/>
      <c r="H32" s="188"/>
      <c r="I32" s="194"/>
    </row>
    <row r="33" spans="1:9" ht="12" thickTop="1" x14ac:dyDescent="0.2">
      <c r="B33" t="s">
        <v>809</v>
      </c>
      <c r="D33" s="182">
        <f t="shared" ref="D33:I33" si="1">SUM(D5:D31)</f>
        <v>90046565.379999995</v>
      </c>
      <c r="E33" s="182">
        <f t="shared" si="1"/>
        <v>1079687.3500000001</v>
      </c>
      <c r="F33" s="182">
        <f t="shared" si="1"/>
        <v>4168701.03</v>
      </c>
      <c r="G33" s="182">
        <f t="shared" si="1"/>
        <v>145090.4</v>
      </c>
      <c r="H33" s="182">
        <f t="shared" si="1"/>
        <v>56494.619999999995</v>
      </c>
      <c r="I33" s="182">
        <f t="shared" si="1"/>
        <v>2063945.06</v>
      </c>
    </row>
    <row r="34" spans="1:9" ht="12" thickBot="1" x14ac:dyDescent="0.25"/>
    <row r="35" spans="1:9" ht="12" thickBot="1" x14ac:dyDescent="0.25">
      <c r="B35" s="188" t="s">
        <v>830</v>
      </c>
      <c r="D35" s="189">
        <f>E33</f>
        <v>1079687.3500000001</v>
      </c>
      <c r="E35" s="185"/>
      <c r="F35" s="295" t="s">
        <v>1608</v>
      </c>
      <c r="G35" s="296"/>
      <c r="H35" s="296"/>
      <c r="I35" s="297"/>
    </row>
    <row r="36" spans="1:9" ht="12" thickTop="1" x14ac:dyDescent="0.2">
      <c r="B36" t="s">
        <v>810</v>
      </c>
      <c r="D36" s="19">
        <f>D33</f>
        <v>90046565.379999995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14">
        <v>5000</v>
      </c>
      <c r="G42" s="304"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9" zoomScale="80" zoomScaleNormal="80" workbookViewId="0">
      <selection activeCell="D30" sqref="D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Derry Cooperative</v>
      </c>
      <c r="B2">
        <f>'DOE25'!B2</f>
        <v>131</v>
      </c>
      <c r="J2" s="224" t="s">
        <v>1808</v>
      </c>
      <c r="K2" s="308">
        <f>SUM('DOE25'!L198:L201)+SUM('DOE25'!L216:L219)+SUM('DOE25'!L234:L237)+SUM('DOE25'!L277:L280)+SUM('DOE25'!L296:L299)+SUM('DOE25'!L315:L318)</f>
        <v>68772113.659999996</v>
      </c>
      <c r="L2" s="308">
        <f>'DOE25'!L203+'DOE25'!L221+'DOE25'!L239+'DOE25'!L282+'DOE25'!L301+'DOE25'!L320</f>
        <v>8199338.3799999999</v>
      </c>
      <c r="M2" s="308">
        <f>'DOE25'!L204+'DOE25'!L222+'DOE25'!L240+'DOE25'!L283+'DOE25'!L302+'DOE25'!L321</f>
        <v>2005408.9100000001</v>
      </c>
      <c r="N2" s="308">
        <f>'DOE25'!L206+'DOE25'!L224+'DOE25'!L242+'DOE25'!L285+'DOE25'!L304+'DOE25'!L323</f>
        <v>3694971.12</v>
      </c>
      <c r="O2" s="308">
        <f>'Salaries-Benefits'!B10+'Salaries-Benefits'!B12+'Salaries-Benefits'!B19+'Salaries-Benefits'!B21+'Salaries-Benefits'!B28+'Salaries-Benefits'!B30+'Salaries-Benefits'!B37+'Salaries-Benefits'!B39</f>
        <v>19726751.77</v>
      </c>
      <c r="P2" s="308">
        <f>'Salaries-Benefits'!B11+'Salaries-Benefits'!B20+'Salaries-Benefits'!B29+'Salaries-Benefits'!B38</f>
        <v>2824507.55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-68772113.659999996</v>
      </c>
      <c r="L3" s="310">
        <f t="shared" ref="L3:P3" si="0">L21+L33+L43-L2</f>
        <v>-8199338.3799999999</v>
      </c>
      <c r="M3" s="310">
        <f t="shared" si="0"/>
        <v>-2005408.9100000001</v>
      </c>
      <c r="N3" s="310">
        <f t="shared" si="0"/>
        <v>-3694971.12</v>
      </c>
      <c r="O3" s="310">
        <f t="shared" si="0"/>
        <v>-19726751.77</v>
      </c>
      <c r="P3" s="310">
        <f t="shared" si="0"/>
        <v>-2824507.55</v>
      </c>
      <c r="Q3" s="309"/>
      <c r="R3" s="305"/>
      <c r="S3" s="215"/>
      <c r="T3" s="215"/>
      <c r="U3" s="216"/>
    </row>
    <row r="4" spans="1:21" ht="55.5" customHeight="1" thickBot="1" x14ac:dyDescent="0.25">
      <c r="A4" s="224" t="s">
        <v>1522</v>
      </c>
      <c r="B4" s="224" t="s">
        <v>1523</v>
      </c>
      <c r="C4" s="224" t="s">
        <v>896</v>
      </c>
      <c r="D4" s="224" t="s">
        <v>786</v>
      </c>
      <c r="E4" s="224" t="s">
        <v>786</v>
      </c>
      <c r="F4" s="228">
        <f>SUM(F5:F20)</f>
        <v>41381852.850000001</v>
      </c>
      <c r="G4" s="229">
        <f>'DOE25'!L212+'DOE25'!L291</f>
        <v>41381852.850000001</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9279498.6600000001</v>
      </c>
      <c r="E5" s="220">
        <v>2132417.89</v>
      </c>
      <c r="F5" s="232">
        <f>D5+E5</f>
        <v>11411916.550000001</v>
      </c>
      <c r="G5" s="223"/>
      <c r="H5" s="223"/>
      <c r="J5" s="223"/>
      <c r="K5" s="223"/>
      <c r="L5" s="223"/>
      <c r="M5" s="223"/>
      <c r="N5" s="223"/>
      <c r="O5" s="223"/>
      <c r="P5" s="223"/>
      <c r="Q5" s="223"/>
    </row>
    <row r="6" spans="1:21" x14ac:dyDescent="0.2">
      <c r="A6" t="str" cm="1">
        <f t="array" ref="A6">IFERROR(INDEX('School Tables'!$A$4:$G$325,'School Tables'!$J4,3),"")</f>
        <v>Derry Early Education Program</v>
      </c>
      <c r="B6" s="230">
        <f>IFERROR(VLOOKUP(A6,'School Tables'!$C$3:$D$365,2,FALSE),"")</f>
        <v>29156</v>
      </c>
      <c r="C6" s="223" t="str">
        <f>IFERROR(INDEX('School Tables'!$B$3:$B$365,MATCH('School Level Expenditures'!B6,'School Tables'!$D$3:$D$365,0)),"")</f>
        <v>Derry Cooperative</v>
      </c>
      <c r="D6" s="220">
        <v>1018925.38</v>
      </c>
      <c r="E6" s="220">
        <v>0</v>
      </c>
      <c r="F6" s="232">
        <f t="shared" ref="F6:F20" si="1">D6+E6</f>
        <v>1018925.38</v>
      </c>
      <c r="G6" s="223"/>
      <c r="H6" s="223"/>
      <c r="J6" t="str">
        <f>A6</f>
        <v>Derry Early Education Program</v>
      </c>
      <c r="K6" s="20"/>
      <c r="L6" s="20"/>
      <c r="M6" s="307"/>
      <c r="N6" s="20"/>
      <c r="O6" s="20"/>
      <c r="P6" s="20"/>
      <c r="Q6" s="20"/>
    </row>
    <row r="7" spans="1:21" x14ac:dyDescent="0.2">
      <c r="A7" t="str" cm="1">
        <f t="array" ref="A7">IFERROR(INDEX('School Tables'!$A$4:$G$325,'School Tables'!$J5,3),"")</f>
        <v>Derry Village School</v>
      </c>
      <c r="B7" s="230">
        <f>IFERROR(VLOOKUP(A7,'School Tables'!$C$3:$D$365,2,FALSE),"")</f>
        <v>20380</v>
      </c>
      <c r="C7" s="223" t="str">
        <f>IFERROR(INDEX('School Tables'!$B$3:$B$365,MATCH('School Level Expenditures'!B7,'School Tables'!$D$3:$D$365,0)),"")</f>
        <v>Derry Cooperative</v>
      </c>
      <c r="D7" s="220">
        <v>5674836.8899999997</v>
      </c>
      <c r="E7" s="220">
        <v>0</v>
      </c>
      <c r="F7" s="232">
        <f t="shared" si="1"/>
        <v>5674836.8899999997</v>
      </c>
      <c r="G7" s="223"/>
      <c r="H7" s="223"/>
      <c r="J7" t="str">
        <f t="shared" ref="J7:J20" si="2">A7</f>
        <v>Derry Village School</v>
      </c>
      <c r="K7" s="20"/>
      <c r="L7" s="20"/>
      <c r="M7" s="307"/>
      <c r="N7" s="20"/>
      <c r="O7" s="20"/>
      <c r="P7" s="20"/>
      <c r="Q7" s="20"/>
    </row>
    <row r="8" spans="1:21" x14ac:dyDescent="0.2">
      <c r="A8" t="str" cm="1">
        <f t="array" ref="A8">IFERROR(INDEX('School Tables'!$A$4:$G$325,'School Tables'!$J6,3),"")</f>
        <v>East Derry Memorial Elementary School</v>
      </c>
      <c r="B8" s="230">
        <f>IFERROR(VLOOKUP(A8,'School Tables'!$C$3:$D$365,2,FALSE),"")</f>
        <v>20370</v>
      </c>
      <c r="C8" s="223" t="str">
        <f>IFERROR(INDEX('School Tables'!$B$3:$B$365,MATCH('School Level Expenditures'!B8,'School Tables'!$D$3:$D$365,0)),"")</f>
        <v>Derry Cooperative</v>
      </c>
      <c r="D8" s="220">
        <v>4829462.63</v>
      </c>
      <c r="E8" s="220">
        <v>0</v>
      </c>
      <c r="F8" s="232">
        <f t="shared" si="1"/>
        <v>4829462.63</v>
      </c>
      <c r="G8" s="223"/>
      <c r="H8" s="223"/>
      <c r="J8" t="str">
        <f t="shared" si="2"/>
        <v>East Derry Memorial Elementary School</v>
      </c>
      <c r="K8" s="20"/>
      <c r="L8" s="20"/>
      <c r="M8" s="307"/>
      <c r="N8" s="20"/>
      <c r="O8" s="20"/>
      <c r="P8" s="20"/>
      <c r="Q8" s="20"/>
    </row>
    <row r="9" spans="1:21" x14ac:dyDescent="0.2">
      <c r="A9" t="str" cm="1">
        <f t="array" ref="A9">IFERROR(INDEX('School Tables'!$A$4:$G$325,'School Tables'!$J7,3),"")</f>
        <v>Ernest P. Barka Elementary School</v>
      </c>
      <c r="B9" s="230">
        <f>IFERROR(VLOOKUP(A9,'School Tables'!$C$3:$D$365,2,FALSE),"")</f>
        <v>28465</v>
      </c>
      <c r="C9" s="223" t="str">
        <f>IFERROR(INDEX('School Tables'!$B$3:$B$365,MATCH('School Level Expenditures'!B9,'School Tables'!$D$3:$D$365,0)),"")</f>
        <v>Derry Cooperative</v>
      </c>
      <c r="D9" s="220">
        <v>8069885.5300000003</v>
      </c>
      <c r="E9" s="220">
        <v>123158.98</v>
      </c>
      <c r="F9" s="232">
        <f t="shared" si="1"/>
        <v>8193044.5100000007</v>
      </c>
      <c r="G9" s="223"/>
      <c r="H9" s="223"/>
      <c r="J9" t="str">
        <f t="shared" si="2"/>
        <v>Ernest P. Barka Elementary School</v>
      </c>
      <c r="K9" s="20"/>
      <c r="L9" s="20"/>
      <c r="M9" s="307"/>
      <c r="N9" s="20"/>
      <c r="O9" s="20"/>
      <c r="P9" s="20"/>
      <c r="Q9" s="20"/>
    </row>
    <row r="10" spans="1:21" x14ac:dyDescent="0.2">
      <c r="A10" t="str" cm="1">
        <f t="array" ref="A10">IFERROR(INDEX('School Tables'!$A$4:$G$325,'School Tables'!$J8,3),"")</f>
        <v>Grinnell School</v>
      </c>
      <c r="B10" s="230">
        <f>IFERROR(VLOOKUP(A10,'School Tables'!$C$3:$D$365,2,FALSE),"")</f>
        <v>20390</v>
      </c>
      <c r="C10" s="223" t="str">
        <f>IFERROR(INDEX('School Tables'!$B$3:$B$365,MATCH('School Level Expenditures'!B10,'School Tables'!$D$3:$D$365,0)),"")</f>
        <v>Derry Cooperative</v>
      </c>
      <c r="D10" s="220">
        <v>4627544.8</v>
      </c>
      <c r="E10" s="220">
        <v>438563.06</v>
      </c>
      <c r="F10" s="232">
        <f t="shared" si="1"/>
        <v>5066107.8599999994</v>
      </c>
      <c r="G10" s="223"/>
      <c r="H10" s="223"/>
      <c r="J10" t="str">
        <f t="shared" si="2"/>
        <v>Grinnell School</v>
      </c>
      <c r="K10" s="20"/>
      <c r="L10" s="20"/>
      <c r="M10" s="20"/>
      <c r="N10" s="20"/>
      <c r="O10" s="20"/>
      <c r="P10" s="20"/>
      <c r="Q10" s="20"/>
    </row>
    <row r="11" spans="1:21" x14ac:dyDescent="0.2">
      <c r="A11" t="str" cm="1">
        <f t="array" ref="A11">IFERROR(INDEX('School Tables'!$A$4:$G$325,'School Tables'!$J9,3),"")</f>
        <v>South Range Elementary School</v>
      </c>
      <c r="B11" s="230">
        <f>IFERROR(VLOOKUP(A11,'School Tables'!$C$3:$D$365,2,FALSE),"")</f>
        <v>20405</v>
      </c>
      <c r="C11" s="223" t="str">
        <f>IFERROR(INDEX('School Tables'!$B$3:$B$365,MATCH('School Level Expenditures'!B11,'School Tables'!$D$3:$D$365,0)),"")</f>
        <v>Derry Cooperative</v>
      </c>
      <c r="D11" s="220">
        <v>5107764.33</v>
      </c>
      <c r="E11" s="220">
        <v>79794.7</v>
      </c>
      <c r="F11" s="232">
        <f t="shared" si="1"/>
        <v>5187559.03</v>
      </c>
      <c r="G11" s="223"/>
      <c r="H11" s="223"/>
      <c r="J11" t="str">
        <f t="shared" si="2"/>
        <v>South Range Elementary School</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38607918.219999999</v>
      </c>
      <c r="E21" s="262">
        <f>SUM(E5:E20)</f>
        <v>2773934.6300000004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21856685.299999997</v>
      </c>
      <c r="G24" s="229">
        <f>'DOE25'!L230+'DOE25'!L310</f>
        <v>21856685.299999997</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5308282.58</v>
      </c>
      <c r="E25" s="220">
        <v>1268323.8</v>
      </c>
      <c r="F25" s="232">
        <f>D25+E25</f>
        <v>6576606.3799999999</v>
      </c>
      <c r="G25" s="223"/>
      <c r="H25" s="223"/>
      <c r="J25" s="223"/>
      <c r="K25" s="223"/>
      <c r="L25" s="224"/>
      <c r="M25" s="223"/>
      <c r="N25" s="223"/>
      <c r="O25" s="223"/>
      <c r="P25" s="223"/>
      <c r="Q25" s="223"/>
    </row>
    <row r="26" spans="1:17" x14ac:dyDescent="0.2">
      <c r="A26" t="str" cm="1">
        <f t="array" ref="A26">IFERROR(INDEX('School Tables'!$L$4:$R$75,'School Tables'!$U4,3),"")</f>
        <v>Gilbert H. Hood Middle School</v>
      </c>
      <c r="B26" s="230">
        <f>IFERROR(VLOOKUP(A26,'School Tables'!$N$4:$O$75,2,FALSE),"")</f>
        <v>20420</v>
      </c>
      <c r="C26" s="223" t="str">
        <f>IFERROR(INDEX('School Tables'!$M$4:$M$75,MATCH('School Level Expenditures'!A26,'School Tables'!$N$4:$N$75,0)),"")</f>
        <v>Derry Cooperative</v>
      </c>
      <c r="D26" s="220">
        <v>8126200.2000000002</v>
      </c>
      <c r="E26" s="220">
        <v>3364.12</v>
      </c>
      <c r="F26" s="232">
        <f t="shared" ref="F26:F32" si="4">D26+E26</f>
        <v>8129564.3200000003</v>
      </c>
      <c r="G26" s="223"/>
      <c r="H26" s="223"/>
      <c r="J26" t="str">
        <f t="shared" ref="J26:J32" si="5">A26</f>
        <v>Gilbert H. Hood Middle School</v>
      </c>
      <c r="K26" s="20"/>
      <c r="L26" s="20"/>
      <c r="M26" s="307"/>
      <c r="N26" s="20"/>
      <c r="O26" s="20"/>
      <c r="P26" s="20"/>
      <c r="Q26" s="20"/>
    </row>
    <row r="27" spans="1:17" x14ac:dyDescent="0.2">
      <c r="A27" t="str" cm="1">
        <f t="array" ref="A27">IFERROR(INDEX('School Tables'!$L$4:$R$75,'School Tables'!$U5,3),"")</f>
        <v>West Running Brook Middle School</v>
      </c>
      <c r="B27" s="230">
        <f>IFERROR(VLOOKUP(A27,'School Tables'!$N$4:$O$75,2,FALSE),"")</f>
        <v>27065</v>
      </c>
      <c r="C27" s="223" t="str">
        <f>IFERROR(INDEX('School Tables'!$M$4:$M$75,MATCH('School Level Expenditures'!A27,'School Tables'!$N$4:$N$75,0)),"")</f>
        <v>Derry Cooperative</v>
      </c>
      <c r="D27" s="220">
        <v>7150514.5999999996</v>
      </c>
      <c r="E27" s="220">
        <v>0</v>
      </c>
      <c r="F27" s="232">
        <f t="shared" si="4"/>
        <v>7150514.5999999996</v>
      </c>
      <c r="G27" s="223"/>
      <c r="H27" s="223"/>
      <c r="J27" t="str">
        <f t="shared" si="5"/>
        <v>West Running Brook Middle School</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20584997.380000003</v>
      </c>
      <c r="E33" s="262">
        <f>SUM(E25:E32)</f>
        <v>1271687.9200000002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30993641.170000002</v>
      </c>
      <c r="G36" s="229">
        <f>'DOE25'!L248+'DOE25'!L329</f>
        <v>30993641.170000002</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30713907.210000001</v>
      </c>
      <c r="E37" s="220">
        <v>279733.96000000002</v>
      </c>
      <c r="F37" s="232">
        <f t="shared" ref="F37:F42" si="7">D37+E37</f>
        <v>30993641.170000002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30713907.210000001</v>
      </c>
      <c r="E43" s="263">
        <f>SUM(E37:E42)</f>
        <v>279733.96000000002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48" sqref="G4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Derry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5849354.5099999998</v>
      </c>
      <c r="D8" s="73">
        <f>'DOE25'!G9</f>
        <v>925</v>
      </c>
      <c r="E8" s="73">
        <f>'DOE25'!H9</f>
        <v>0</v>
      </c>
      <c r="F8" s="73">
        <f>'DOE25'!I9</f>
        <v>0</v>
      </c>
      <c r="G8" s="73">
        <f>'DOE25'!J9</f>
        <v>0</v>
      </c>
      <c r="H8" s="13">
        <f>SUM(C8:G8)</f>
        <v>5850279.5099999998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-338591.95000000019</v>
      </c>
      <c r="D11" s="73">
        <f>'DOE25'!G12</f>
        <v>966675.33</v>
      </c>
      <c r="E11" s="73">
        <f>'DOE25'!H12</f>
        <v>-628083.38</v>
      </c>
      <c r="F11" s="73">
        <f>'DOE25'!I12</f>
        <v>0</v>
      </c>
      <c r="G11" s="73">
        <f>'DOE25'!J12</f>
        <v>0</v>
      </c>
      <c r="H11" s="13">
        <f t="shared" si="0"/>
        <v>-2.3283064365386963E-10</v>
      </c>
      <c r="I11" s="90"/>
    </row>
    <row r="12" spans="1:9" x14ac:dyDescent="0.2">
      <c r="A12" s="1" t="s">
        <v>143</v>
      </c>
      <c r="B12" s="6">
        <v>140</v>
      </c>
      <c r="C12" s="73">
        <f>'DOE25'!F13</f>
        <v>24586.560000000001</v>
      </c>
      <c r="D12" s="73">
        <f>'DOE25'!G13</f>
        <v>137768.68999999997</v>
      </c>
      <c r="E12" s="73">
        <f>'DOE25'!H13</f>
        <v>715351.21</v>
      </c>
      <c r="F12" s="73">
        <f>'DOE25'!I13</f>
        <v>0</v>
      </c>
      <c r="G12" s="73">
        <f>'DOE25'!J13</f>
        <v>200411.39</v>
      </c>
      <c r="H12" s="13">
        <f t="shared" si="0"/>
        <v>1078117.8500000001</v>
      </c>
      <c r="I12" s="90"/>
    </row>
    <row r="13" spans="1:9" x14ac:dyDescent="0.2">
      <c r="A13" s="1" t="s">
        <v>144</v>
      </c>
      <c r="B13" s="6">
        <v>150</v>
      </c>
      <c r="C13" s="73">
        <f>'DOE25'!F14</f>
        <v>40265</v>
      </c>
      <c r="D13" s="73">
        <f>'DOE25'!G14</f>
        <v>0</v>
      </c>
      <c r="E13" s="73">
        <f>'DOE25'!H14</f>
        <v>18431</v>
      </c>
      <c r="F13" s="73">
        <f>'DOE25'!I14</f>
        <v>0</v>
      </c>
      <c r="G13" s="73">
        <f>'DOE25'!J14</f>
        <v>0</v>
      </c>
      <c r="H13" s="13">
        <f t="shared" si="0"/>
        <v>58696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24993.49</v>
      </c>
      <c r="E15" s="73">
        <f>'DOE25'!H16</f>
        <v>0</v>
      </c>
      <c r="F15" s="73">
        <f>'DOE25'!I16</f>
        <v>0</v>
      </c>
      <c r="G15" s="23" t="s">
        <v>288</v>
      </c>
      <c r="H15" s="13">
        <f t="shared" si="0"/>
        <v>24993.49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5575614.1199999992</v>
      </c>
      <c r="D18" s="38">
        <f>SUM(D8:D17)</f>
        <v>1130362.51</v>
      </c>
      <c r="E18" s="38">
        <f>SUM(E8:E17)</f>
        <v>105698.82999999996</v>
      </c>
      <c r="F18" s="38">
        <f>SUM(F8:F17)</f>
        <v>0</v>
      </c>
      <c r="G18" s="38">
        <f>SUM(G8:G17)</f>
        <v>200411.39</v>
      </c>
      <c r="H18" s="38">
        <f t="shared" si="0"/>
        <v>7012086.8499999987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563851.79</v>
      </c>
      <c r="D23" s="73">
        <f>'DOE25'!G24</f>
        <v>1367.79</v>
      </c>
      <c r="E23" s="73">
        <f>'DOE25'!H24</f>
        <v>0</v>
      </c>
      <c r="F23" s="73">
        <f>'DOE25'!I24</f>
        <v>0</v>
      </c>
      <c r="G23" s="73">
        <f>'DOE25'!J24</f>
        <v>0</v>
      </c>
      <c r="H23" s="13">
        <f t="shared" si="1"/>
        <v>565219.58000000007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110833.4</v>
      </c>
      <c r="D27" s="73">
        <f>'DOE25'!G28</f>
        <v>0</v>
      </c>
      <c r="E27" s="73">
        <f>'DOE25'!H28</f>
        <v>0</v>
      </c>
      <c r="F27" s="73">
        <f>'DOE25'!I28</f>
        <v>0</v>
      </c>
      <c r="G27" s="23" t="s">
        <v>288</v>
      </c>
      <c r="H27" s="13">
        <f t="shared" si="1"/>
        <v>110833.4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14460</v>
      </c>
      <c r="D29" s="73">
        <f>'DOE25'!G30</f>
        <v>27207.360000000001</v>
      </c>
      <c r="E29" s="73">
        <f>'DOE25'!H30</f>
        <v>0</v>
      </c>
      <c r="F29" s="73">
        <f>'DOE25'!I30</f>
        <v>0</v>
      </c>
      <c r="G29" s="23" t="s">
        <v>288</v>
      </c>
      <c r="H29" s="13">
        <f t="shared" si="1"/>
        <v>41667.360000000001</v>
      </c>
      <c r="I29" s="90"/>
    </row>
    <row r="30" spans="1:9" ht="12" thickBot="1" x14ac:dyDescent="0.25">
      <c r="A30" s="1" t="s">
        <v>159</v>
      </c>
      <c r="B30" s="56">
        <v>490</v>
      </c>
      <c r="C30" s="73">
        <f>'DOE25'!F31</f>
        <v>-1250.98</v>
      </c>
      <c r="D30" s="73">
        <f>'DOE25'!G31</f>
        <v>0</v>
      </c>
      <c r="E30" s="73">
        <f>'DOE25'!H31</f>
        <v>0</v>
      </c>
      <c r="F30" s="73">
        <f>'DOE25'!I31</f>
        <v>0</v>
      </c>
      <c r="G30" s="73">
        <f>'DOE25'!J31</f>
        <v>0</v>
      </c>
      <c r="H30" s="13">
        <f t="shared" si="1"/>
        <v>-1250.98</v>
      </c>
      <c r="I30" s="90"/>
    </row>
    <row r="31" spans="1:9" ht="12" thickTop="1" x14ac:dyDescent="0.2">
      <c r="A31" s="35" t="s">
        <v>160</v>
      </c>
      <c r="B31" s="2"/>
      <c r="C31" s="38">
        <f>SUM(C21:C30)</f>
        <v>687894.21000000008</v>
      </c>
      <c r="D31" s="38">
        <f>SUM(D21:D30)</f>
        <v>28575.15</v>
      </c>
      <c r="E31" s="38">
        <f>SUM(E21:E30)</f>
        <v>0</v>
      </c>
      <c r="F31" s="38">
        <f>SUM(F21:F30)</f>
        <v>0</v>
      </c>
      <c r="G31" s="38">
        <f>SUM(G21:G30)</f>
        <v>0</v>
      </c>
      <c r="H31" s="38">
        <f t="shared" si="1"/>
        <v>716469.3600000001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24993.49</v>
      </c>
      <c r="E34" s="73">
        <f>'DOE25'!H35</f>
        <v>0</v>
      </c>
      <c r="F34" s="73">
        <f>'DOE25'!I35</f>
        <v>0</v>
      </c>
      <c r="G34" s="23" t="s">
        <v>288</v>
      </c>
      <c r="H34" s="13">
        <f t="shared" ref="H34:H51" si="2">SUM(C34:G34)</f>
        <v>24993.49</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1076793.8700000001</v>
      </c>
      <c r="E39" s="23" t="s">
        <v>288</v>
      </c>
      <c r="F39" s="23" t="s">
        <v>288</v>
      </c>
      <c r="G39" s="23" t="s">
        <v>288</v>
      </c>
      <c r="H39" s="13">
        <f t="shared" si="2"/>
        <v>1076793.8700000001</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1800000</v>
      </c>
      <c r="D43" s="73">
        <f>'DOE25'!G44</f>
        <v>0</v>
      </c>
      <c r="E43" s="73">
        <f>'DOE25'!H44</f>
        <v>0</v>
      </c>
      <c r="F43" s="73">
        <f>'DOE25'!I44</f>
        <v>0</v>
      </c>
      <c r="G43" s="23" t="s">
        <v>288</v>
      </c>
      <c r="H43" s="13">
        <f t="shared" si="2"/>
        <v>1800000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800000</v>
      </c>
      <c r="D45" s="23" t="s">
        <v>288</v>
      </c>
      <c r="E45" s="23" t="s">
        <v>288</v>
      </c>
      <c r="F45" s="23" t="s">
        <v>288</v>
      </c>
      <c r="G45" s="23" t="s">
        <v>288</v>
      </c>
      <c r="H45" s="13">
        <f t="shared" si="2"/>
        <v>800000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105698.83</v>
      </c>
      <c r="F47" s="73">
        <f>'DOE25'!I48</f>
        <v>0</v>
      </c>
      <c r="G47" s="73">
        <f>'DOE25'!J48</f>
        <v>200411.39</v>
      </c>
      <c r="H47" s="13">
        <f t="shared" si="2"/>
        <v>306110.22000000003</v>
      </c>
      <c r="I47" s="90"/>
    </row>
    <row r="48" spans="1:9" x14ac:dyDescent="0.2">
      <c r="A48" s="1" t="s">
        <v>881</v>
      </c>
      <c r="B48" s="6">
        <v>753</v>
      </c>
      <c r="C48" s="73">
        <f>'DOE25'!F49</f>
        <v>101127.55</v>
      </c>
      <c r="D48" s="73">
        <f>'DOE25'!G49</f>
        <v>0</v>
      </c>
      <c r="E48" s="73">
        <f>'DOE25'!H49</f>
        <v>0</v>
      </c>
      <c r="F48" s="73">
        <f>'DOE25'!I49</f>
        <v>0</v>
      </c>
      <c r="G48" s="73">
        <f>'DOE25'!J49</f>
        <v>0</v>
      </c>
      <c r="H48" s="13">
        <f t="shared" si="2"/>
        <v>101127.55</v>
      </c>
      <c r="I48" s="90"/>
    </row>
    <row r="49" spans="1:9" ht="12" thickBot="1" x14ac:dyDescent="0.25">
      <c r="A49" s="28" t="s">
        <v>882</v>
      </c>
      <c r="B49" s="56">
        <v>770</v>
      </c>
      <c r="C49" s="73">
        <f>'DOE25'!F50</f>
        <v>2186592.36</v>
      </c>
      <c r="D49" s="23" t="s">
        <v>288</v>
      </c>
      <c r="E49" s="23" t="s">
        <v>288</v>
      </c>
      <c r="F49" s="23" t="s">
        <v>288</v>
      </c>
      <c r="G49" s="23" t="s">
        <v>288</v>
      </c>
      <c r="H49" s="13">
        <f t="shared" si="2"/>
        <v>2186592.36</v>
      </c>
      <c r="I49" s="90"/>
    </row>
    <row r="50" spans="1:9" ht="12.75" thickTop="1" thickBot="1" x14ac:dyDescent="0.25">
      <c r="A50" s="35" t="s">
        <v>883</v>
      </c>
      <c r="B50" s="44"/>
      <c r="C50" s="38">
        <f>SUM(C34:C49)</f>
        <v>4887719.91</v>
      </c>
      <c r="D50" s="38">
        <f>SUM(D34:D49)</f>
        <v>1101787.3600000001</v>
      </c>
      <c r="E50" s="38">
        <f>SUM(E34:E49)</f>
        <v>105698.83</v>
      </c>
      <c r="F50" s="38">
        <f>SUM(F34:F49)</f>
        <v>0</v>
      </c>
      <c r="G50" s="38">
        <f>SUM(G34:G49)</f>
        <v>200411.39</v>
      </c>
      <c r="H50" s="38">
        <f t="shared" si="2"/>
        <v>6295617.4900000002</v>
      </c>
      <c r="I50" s="90"/>
    </row>
    <row r="51" spans="1:9" ht="12" thickTop="1" x14ac:dyDescent="0.2">
      <c r="A51" s="35" t="s">
        <v>884</v>
      </c>
      <c r="B51" s="2"/>
      <c r="C51" s="38">
        <f>C50+C31</f>
        <v>5575614.1200000001</v>
      </c>
      <c r="D51" s="38">
        <f>D50+D31</f>
        <v>1130362.51</v>
      </c>
      <c r="E51" s="38">
        <f>E50+E31</f>
        <v>105698.83</v>
      </c>
      <c r="F51" s="38">
        <f>F50+F31</f>
        <v>0</v>
      </c>
      <c r="G51" s="38">
        <f>G50+G31</f>
        <v>200411.39</v>
      </c>
      <c r="H51" s="38">
        <f t="shared" si="2"/>
        <v>7012086.8499999996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55628738</v>
      </c>
      <c r="D56" s="73">
        <f>'DOE25'!G60</f>
        <v>0</v>
      </c>
      <c r="E56" s="73">
        <f>'DOE25'!H60</f>
        <v>0</v>
      </c>
      <c r="F56" s="73">
        <f>'DOE25'!I60</f>
        <v>0</v>
      </c>
      <c r="G56" s="73">
        <f>'DOE25'!J60</f>
        <v>0</v>
      </c>
      <c r="H56" s="13">
        <f t="shared" ref="H56:H63" si="3">SUM(C56:G56)</f>
        <v>55628738</v>
      </c>
      <c r="I56"/>
    </row>
    <row r="57" spans="1:9" x14ac:dyDescent="0.2">
      <c r="A57" s="1" t="s">
        <v>164</v>
      </c>
      <c r="B57" s="6" t="s">
        <v>165</v>
      </c>
      <c r="C57" s="73">
        <f>'DOE25'!F79</f>
        <v>187388.79999999999</v>
      </c>
      <c r="D57" s="23" t="s">
        <v>288</v>
      </c>
      <c r="E57" s="73">
        <f>'DOE25'!H79</f>
        <v>0</v>
      </c>
      <c r="F57" s="23" t="s">
        <v>288</v>
      </c>
      <c r="G57" s="23" t="s">
        <v>288</v>
      </c>
      <c r="H57" s="13">
        <f t="shared" si="3"/>
        <v>187388.79999999999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135401.87</v>
      </c>
      <c r="D59" s="73">
        <f>'DOE25'!G96</f>
        <v>0</v>
      </c>
      <c r="E59" s="73">
        <f>'DOE25'!H96</f>
        <v>0</v>
      </c>
      <c r="F59" s="73">
        <f>'DOE25'!I96</f>
        <v>0</v>
      </c>
      <c r="G59" s="73">
        <f>'DOE25'!J96</f>
        <v>2514.34</v>
      </c>
      <c r="H59" s="13">
        <f t="shared" si="3"/>
        <v>137916.21</v>
      </c>
      <c r="I59"/>
    </row>
    <row r="60" spans="1:9" x14ac:dyDescent="0.2">
      <c r="A60" s="1" t="s">
        <v>170</v>
      </c>
      <c r="B60" s="22" t="s">
        <v>171</v>
      </c>
      <c r="C60" s="23" t="s">
        <v>288</v>
      </c>
      <c r="D60" s="73">
        <f>'DOE25'!G97</f>
        <v>828428.19</v>
      </c>
      <c r="E60" s="23" t="s">
        <v>288</v>
      </c>
      <c r="F60" s="23" t="s">
        <v>288</v>
      </c>
      <c r="G60" s="23" t="s">
        <v>288</v>
      </c>
      <c r="H60" s="13">
        <f t="shared" si="3"/>
        <v>828428.19</v>
      </c>
      <c r="I60"/>
    </row>
    <row r="61" spans="1:9" ht="12" thickBot="1" x14ac:dyDescent="0.25">
      <c r="A61" s="1" t="s">
        <v>172</v>
      </c>
      <c r="B61" s="22" t="s">
        <v>173</v>
      </c>
      <c r="C61" s="73">
        <f>SUM('DOE25'!F98:F110)</f>
        <v>721404.12</v>
      </c>
      <c r="D61" s="73">
        <f>SUM('DOE25'!G98:G110)</f>
        <v>20616.7</v>
      </c>
      <c r="E61" s="73">
        <f>SUM('DOE25'!H98:H110)</f>
        <v>103172.01</v>
      </c>
      <c r="F61" s="73">
        <f>SUM('DOE25'!I98:I110)</f>
        <v>0</v>
      </c>
      <c r="G61" s="73">
        <f>SUM('DOE25'!J98:J110)</f>
        <v>0</v>
      </c>
      <c r="H61" s="13">
        <f t="shared" si="3"/>
        <v>845192.83</v>
      </c>
      <c r="I61"/>
    </row>
    <row r="62" spans="1:9" ht="12.75" thickTop="1" thickBot="1" x14ac:dyDescent="0.25">
      <c r="A62" s="28" t="s">
        <v>174</v>
      </c>
      <c r="B62" s="6"/>
      <c r="C62" s="93">
        <f>SUM(C57:C61)</f>
        <v>1044194.79</v>
      </c>
      <c r="D62" s="93">
        <f>SUM(D57:D61)</f>
        <v>849044.8899999999</v>
      </c>
      <c r="E62" s="93">
        <f>SUM(E57:E61)</f>
        <v>103172.01</v>
      </c>
      <c r="F62" s="93">
        <f>SUM(F57:F61)</f>
        <v>0</v>
      </c>
      <c r="G62" s="93">
        <f>SUM(G57:G61)</f>
        <v>2514.34</v>
      </c>
      <c r="H62" s="13">
        <f t="shared" si="3"/>
        <v>1998926.03</v>
      </c>
      <c r="I62"/>
    </row>
    <row r="63" spans="1:9" ht="12" thickTop="1" x14ac:dyDescent="0.2">
      <c r="A63" s="28" t="s">
        <v>175</v>
      </c>
      <c r="B63" s="6"/>
      <c r="C63" s="21">
        <f>C56+C62</f>
        <v>56672932.789999999</v>
      </c>
      <c r="D63" s="21">
        <f>D56+D62</f>
        <v>849044.8899999999</v>
      </c>
      <c r="E63" s="21">
        <f>E56+E62</f>
        <v>103172.01</v>
      </c>
      <c r="F63" s="21">
        <f>F56+F62</f>
        <v>0</v>
      </c>
      <c r="G63" s="21">
        <f>G56+G62</f>
        <v>2514.34</v>
      </c>
      <c r="H63" s="13">
        <f t="shared" si="3"/>
        <v>57627664.030000001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25968269.25</v>
      </c>
      <c r="D66" s="23" t="s">
        <v>288</v>
      </c>
      <c r="E66" s="23" t="s">
        <v>288</v>
      </c>
      <c r="F66" s="23" t="s">
        <v>288</v>
      </c>
      <c r="G66" s="23" t="s">
        <v>288</v>
      </c>
      <c r="H66" s="13">
        <f t="shared" ref="H66:H81" si="4">SUM(C66:G66)</f>
        <v>25968269.25</v>
      </c>
      <c r="I66"/>
    </row>
    <row r="67" spans="1:9" x14ac:dyDescent="0.2">
      <c r="A67" s="1" t="s">
        <v>770</v>
      </c>
      <c r="B67" s="6">
        <v>3112</v>
      </c>
      <c r="C67" s="73">
        <f>'DOE25'!F118</f>
        <v>4786918</v>
      </c>
      <c r="D67" s="23"/>
      <c r="E67" s="23"/>
      <c r="F67" s="23"/>
      <c r="G67" s="23"/>
      <c r="H67" s="13">
        <f t="shared" si="4"/>
        <v>4786918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119974.32</v>
      </c>
      <c r="D69" s="73">
        <f>'DOE25'!G120</f>
        <v>0</v>
      </c>
      <c r="E69" s="73">
        <f>'DOE25'!H120</f>
        <v>0</v>
      </c>
      <c r="F69" s="73">
        <f>'DOE25'!I120</f>
        <v>0</v>
      </c>
      <c r="G69" s="73">
        <f>'DOE25'!J120</f>
        <v>0</v>
      </c>
      <c r="H69" s="13">
        <f t="shared" si="4"/>
        <v>119974.32</v>
      </c>
      <c r="I69"/>
    </row>
    <row r="70" spans="1:9" ht="12" thickTop="1" x14ac:dyDescent="0.2">
      <c r="A70" s="28" t="s">
        <v>252</v>
      </c>
      <c r="B70" s="2"/>
      <c r="C70" s="97">
        <f>SUM(C66:C69)</f>
        <v>30875161.57</v>
      </c>
      <c r="D70" s="97">
        <f>D69</f>
        <v>0</v>
      </c>
      <c r="E70" s="97">
        <f>E69</f>
        <v>0</v>
      </c>
      <c r="F70" s="97">
        <f>F69</f>
        <v>0</v>
      </c>
      <c r="G70" s="97">
        <f>G69</f>
        <v>0</v>
      </c>
      <c r="H70" s="13">
        <f t="shared" si="4"/>
        <v>30875161.57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462659.09</v>
      </c>
      <c r="D72" s="23" t="s">
        <v>288</v>
      </c>
      <c r="E72" s="23" t="s">
        <v>288</v>
      </c>
      <c r="F72" s="73">
        <f>'DOE25'!I123</f>
        <v>0</v>
      </c>
      <c r="G72" s="23" t="s">
        <v>288</v>
      </c>
      <c r="H72" s="13">
        <f t="shared" si="4"/>
        <v>462659.09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1027110.94</v>
      </c>
      <c r="D75" s="23" t="s">
        <v>288</v>
      </c>
      <c r="E75" s="23" t="s">
        <v>288</v>
      </c>
      <c r="F75" s="23" t="s">
        <v>288</v>
      </c>
      <c r="G75" s="23" t="s">
        <v>288</v>
      </c>
      <c r="H75" s="13">
        <f t="shared" si="4"/>
        <v>1027110.94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104718.83</v>
      </c>
      <c r="E77" s="73">
        <f>SUM('DOE25'!H131:H135)</f>
        <v>0</v>
      </c>
      <c r="F77" s="73">
        <f>SUM('DOE25'!I131:I135)</f>
        <v>0</v>
      </c>
      <c r="G77" s="73">
        <f>SUM('DOE25'!J131:J135)</f>
        <v>0</v>
      </c>
      <c r="H77" s="13">
        <f t="shared" si="4"/>
        <v>104718.83</v>
      </c>
      <c r="I77"/>
    </row>
    <row r="78" spans="1:9" ht="12.75" thickTop="1" thickBot="1" x14ac:dyDescent="0.25">
      <c r="A78" s="28" t="s">
        <v>259</v>
      </c>
      <c r="B78" s="6"/>
      <c r="C78" s="93">
        <f>SUM(C72:C77)</f>
        <v>1489770.03</v>
      </c>
      <c r="D78" s="93">
        <f>SUM(D72:D77)</f>
        <v>104718.83</v>
      </c>
      <c r="E78" s="93">
        <f>SUM(E72:E77)</f>
        <v>0</v>
      </c>
      <c r="F78" s="93">
        <f>SUM(F72:F77)</f>
        <v>0</v>
      </c>
      <c r="G78" s="93">
        <f>SUM(G72:G77)</f>
        <v>0</v>
      </c>
      <c r="H78" s="13">
        <f t="shared" si="4"/>
        <v>1594488.86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32364931.600000001</v>
      </c>
      <c r="D81" s="93">
        <f>SUM(D79:D80)+D78+D70</f>
        <v>104718.83</v>
      </c>
      <c r="E81" s="93">
        <f>SUM(E79:E80)+E78+E70</f>
        <v>0</v>
      </c>
      <c r="F81" s="93">
        <f>SUM(F79:F80)+F78+F70</f>
        <v>0</v>
      </c>
      <c r="G81" s="93">
        <f>SUM(G79:G80)+G78+G70</f>
        <v>0</v>
      </c>
      <c r="H81" s="93">
        <f t="shared" si="4"/>
        <v>32469650.43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417504.98</v>
      </c>
      <c r="D88" s="253">
        <f>SUM('DOE25'!G153:G162)</f>
        <v>848870.98</v>
      </c>
      <c r="E88" s="253">
        <f>SUM('DOE25'!H153:H162)</f>
        <v>4355097.8000000007</v>
      </c>
      <c r="F88" s="253">
        <f>SUM('DOE25'!I153:I162)</f>
        <v>0</v>
      </c>
      <c r="G88" s="23" t="s">
        <v>288</v>
      </c>
      <c r="H88" s="13">
        <f t="shared" si="5"/>
        <v>5621473.7600000007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417504.98</v>
      </c>
      <c r="D91" s="94">
        <f>SUM(D85:D90)</f>
        <v>848870.98</v>
      </c>
      <c r="E91" s="94">
        <f>SUM(E85:E90)</f>
        <v>4355097.8000000007</v>
      </c>
      <c r="F91" s="94">
        <f>SUM(F85:F90)</f>
        <v>0</v>
      </c>
      <c r="G91" s="23" t="s">
        <v>288</v>
      </c>
      <c r="H91" s="13">
        <f t="shared" si="5"/>
        <v>5621473.7600000007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89455369.370000005</v>
      </c>
      <c r="D104" s="68">
        <f>D63+D81+D91+D103</f>
        <v>1802634.6999999997</v>
      </c>
      <c r="E104" s="68">
        <f>E63+E81+E91+E103</f>
        <v>4458269.8100000005</v>
      </c>
      <c r="F104" s="68">
        <f>F63+F81+F91+F103</f>
        <v>0</v>
      </c>
      <c r="G104" s="68">
        <f>G63+G81+G103</f>
        <v>2514.34</v>
      </c>
      <c r="H104" s="68">
        <f t="shared" si="5"/>
        <v>95718788.220000014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43870239.510000005</v>
      </c>
      <c r="D109" s="23" t="s">
        <v>288</v>
      </c>
      <c r="E109" s="73">
        <f>('DOE25'!L277)+('DOE25'!L296)+('DOE25'!L315)</f>
        <v>2067774.5299999998</v>
      </c>
      <c r="F109" s="23" t="s">
        <v>288</v>
      </c>
      <c r="G109" s="23" t="s">
        <v>288</v>
      </c>
      <c r="H109" s="13">
        <f t="shared" ref="H109:H115" si="6">SUM(C109:G109)</f>
        <v>45938014.040000007</v>
      </c>
    </row>
    <row r="110" spans="1:8" x14ac:dyDescent="0.2">
      <c r="A110" t="s">
        <v>198</v>
      </c>
      <c r="B110" s="31" t="s">
        <v>199</v>
      </c>
      <c r="C110" s="73">
        <f>('DOE25'!L199)+('DOE25'!L217)+('DOE25'!L235)</f>
        <v>21702231.579999998</v>
      </c>
      <c r="D110" s="23" t="s">
        <v>288</v>
      </c>
      <c r="E110" s="73">
        <f>('DOE25'!L278)+('DOE25'!L297)+('DOE25'!L316)</f>
        <v>673006.70000000007</v>
      </c>
      <c r="F110" s="23" t="s">
        <v>288</v>
      </c>
      <c r="G110" s="23" t="s">
        <v>288</v>
      </c>
      <c r="H110" s="13">
        <f t="shared" si="6"/>
        <v>22375238.279999997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430023.77</v>
      </c>
      <c r="D112" s="23" t="s">
        <v>288</v>
      </c>
      <c r="E112" s="73">
        <f>+('DOE25'!L280)+('DOE25'!L299)+('DOE25'!L318)</f>
        <v>28837.57</v>
      </c>
      <c r="F112" s="23" t="s">
        <v>288</v>
      </c>
      <c r="G112" s="23" t="s">
        <v>288</v>
      </c>
      <c r="H112" s="13">
        <f t="shared" si="6"/>
        <v>458861.34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78297.67</v>
      </c>
      <c r="D114" s="23" t="s">
        <v>288</v>
      </c>
      <c r="E114" s="73">
        <f>+ SUM('DOE25'!L334:L336)</f>
        <v>67903.7</v>
      </c>
      <c r="F114" s="23" t="s">
        <v>288</v>
      </c>
      <c r="G114" s="23" t="s">
        <v>288</v>
      </c>
      <c r="H114" s="13">
        <f t="shared" si="6"/>
        <v>146201.37</v>
      </c>
    </row>
    <row r="115" spans="1:8" ht="12.75" thickTop="1" thickBot="1" x14ac:dyDescent="0.25">
      <c r="A115" s="32" t="s">
        <v>205</v>
      </c>
      <c r="C115" s="68">
        <f>SUM(C109:C114)</f>
        <v>66080792.530000009</v>
      </c>
      <c r="D115" s="68">
        <f>SUM(D109:D114)</f>
        <v>0</v>
      </c>
      <c r="E115" s="68">
        <f>SUM(E109:E114)</f>
        <v>2837522.5</v>
      </c>
      <c r="F115" s="68">
        <f>SUM(F109:F114)</f>
        <v>0</v>
      </c>
      <c r="G115" s="68">
        <f>SUM(G109:G114)</f>
        <v>0</v>
      </c>
      <c r="H115" s="68">
        <f t="shared" si="6"/>
        <v>68918315.030000001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6773271.7299999995</v>
      </c>
      <c r="D118" s="23" t="s">
        <v>288</v>
      </c>
      <c r="E118" s="73">
        <f>+('DOE25'!L282)+('DOE25'!L301)+('DOE25'!L320)</f>
        <v>1426066.65</v>
      </c>
      <c r="F118" s="23" t="s">
        <v>288</v>
      </c>
      <c r="G118" s="23" t="s">
        <v>288</v>
      </c>
      <c r="H118" s="13">
        <f t="shared" ref="H118:H145" si="7">SUM(C118:G118)</f>
        <v>8199338.379999999</v>
      </c>
    </row>
    <row r="119" spans="1:8" x14ac:dyDescent="0.2">
      <c r="A119" t="s">
        <v>208</v>
      </c>
      <c r="B119" s="31" t="s">
        <v>209</v>
      </c>
      <c r="C119" s="73">
        <f>('DOE25'!L204)+('DOE25'!L222)+('DOE25'!L240)</f>
        <v>1993398.06</v>
      </c>
      <c r="D119" s="23" t="s">
        <v>288</v>
      </c>
      <c r="E119" s="73">
        <f>+('DOE25'!L283)+('DOE25'!L302)+('DOE25'!L321)</f>
        <v>12010.849999999999</v>
      </c>
      <c r="F119" s="23" t="s">
        <v>288</v>
      </c>
      <c r="G119" s="23" t="s">
        <v>288</v>
      </c>
      <c r="H119" s="13">
        <f t="shared" si="7"/>
        <v>2005408.9100000001</v>
      </c>
    </row>
    <row r="120" spans="1:8" x14ac:dyDescent="0.2">
      <c r="A120" t="s">
        <v>210</v>
      </c>
      <c r="B120" s="31" t="s">
        <v>211</v>
      </c>
      <c r="C120" s="73">
        <f>('DOE25'!L205)+('DOE25'!L223)+('DOE25'!L241)</f>
        <v>1152372.58</v>
      </c>
      <c r="D120" s="23" t="s">
        <v>288</v>
      </c>
      <c r="E120" s="73">
        <f>+('DOE25'!L284)+('DOE25'!L303)+('DOE25'!L322)</f>
        <v>0</v>
      </c>
      <c r="F120" s="23" t="s">
        <v>288</v>
      </c>
      <c r="G120" s="23" t="s">
        <v>288</v>
      </c>
      <c r="H120" s="13">
        <f t="shared" si="7"/>
        <v>1152372.58</v>
      </c>
    </row>
    <row r="121" spans="1:8" x14ac:dyDescent="0.2">
      <c r="A121" t="s">
        <v>212</v>
      </c>
      <c r="B121" s="31" t="s">
        <v>213</v>
      </c>
      <c r="C121" s="73">
        <f>('DOE25'!L206)+('DOE25'!L224)+('DOE25'!L242)</f>
        <v>3684379.2</v>
      </c>
      <c r="D121" s="23" t="s">
        <v>288</v>
      </c>
      <c r="E121" s="73">
        <f>+('DOE25'!L285)+('DOE25'!L304)+('DOE25'!L323)</f>
        <v>10591.92</v>
      </c>
      <c r="F121" s="23" t="s">
        <v>288</v>
      </c>
      <c r="G121" s="23" t="s">
        <v>288</v>
      </c>
      <c r="H121" s="13">
        <f t="shared" si="7"/>
        <v>3694971.12</v>
      </c>
    </row>
    <row r="122" spans="1:8" x14ac:dyDescent="0.2">
      <c r="A122" t="s">
        <v>214</v>
      </c>
      <c r="B122" s="31" t="s">
        <v>215</v>
      </c>
      <c r="C122" s="73">
        <f>('DOE25'!L207)+('DOE25'!L225)+('DOE25'!L243)</f>
        <v>703033.05</v>
      </c>
      <c r="D122" s="23" t="s">
        <v>288</v>
      </c>
      <c r="E122" s="73">
        <f>+('DOE25'!L286)+('DOE25'!L305)+('DOE25'!L324)</f>
        <v>16549.28</v>
      </c>
      <c r="F122" s="23" t="s">
        <v>288</v>
      </c>
      <c r="G122" s="23" t="s">
        <v>288</v>
      </c>
      <c r="H122" s="13">
        <f t="shared" si="7"/>
        <v>719582.33000000007</v>
      </c>
    </row>
    <row r="123" spans="1:8" x14ac:dyDescent="0.2">
      <c r="A123" t="s">
        <v>216</v>
      </c>
      <c r="B123" s="31" t="s">
        <v>217</v>
      </c>
      <c r="C123" s="73">
        <f>('DOE25'!L208)+('DOE25'!L226)+('DOE25'!L244)</f>
        <v>5345168.3</v>
      </c>
      <c r="D123" s="23" t="s">
        <v>288</v>
      </c>
      <c r="E123" s="73">
        <f>+('DOE25'!L287)+('DOE25'!L306)+('DOE25'!L325)</f>
        <v>26235.989999999998</v>
      </c>
      <c r="F123" s="23" t="s">
        <v>288</v>
      </c>
      <c r="G123" s="23" t="s">
        <v>288</v>
      </c>
      <c r="H123" s="13">
        <f t="shared" si="7"/>
        <v>5371404.29</v>
      </c>
    </row>
    <row r="124" spans="1:8" x14ac:dyDescent="0.2">
      <c r="A124" t="s">
        <v>218</v>
      </c>
      <c r="B124" s="31" t="s">
        <v>219</v>
      </c>
      <c r="C124" s="73">
        <f>('DOE25'!L209)+('DOE25'!L227)+('DOE25'!L245+'DOE25'!L255)</f>
        <v>4168701.03</v>
      </c>
      <c r="D124" s="23" t="s">
        <v>288</v>
      </c>
      <c r="E124" s="73">
        <f>+('DOE25'!L288)+('DOE25'!L307)+('DOE25'!L326)</f>
        <v>64283.02</v>
      </c>
      <c r="F124" s="23" t="s">
        <v>288</v>
      </c>
      <c r="G124" s="23" t="s">
        <v>288</v>
      </c>
      <c r="H124" s="13">
        <f t="shared" si="7"/>
        <v>4232984.05</v>
      </c>
    </row>
    <row r="125" spans="1:8" x14ac:dyDescent="0.2">
      <c r="A125" t="s">
        <v>220</v>
      </c>
      <c r="B125" s="31" t="s">
        <v>221</v>
      </c>
      <c r="C125" s="73">
        <f>('DOE25'!L210)+('DOE25'!L228)+('DOE25'!L246)</f>
        <v>84004</v>
      </c>
      <c r="D125" s="23" t="s">
        <v>288</v>
      </c>
      <c r="E125" s="73">
        <f>+('DOE25'!L289)+('DOE25'!L308)+('DOE25'!L327)</f>
        <v>0</v>
      </c>
      <c r="F125" s="23" t="s">
        <v>288</v>
      </c>
      <c r="G125" s="23" t="s">
        <v>288</v>
      </c>
      <c r="H125" s="13">
        <f t="shared" si="7"/>
        <v>84004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1724861.21</v>
      </c>
      <c r="E127" s="23" t="s">
        <v>288</v>
      </c>
      <c r="F127" s="23" t="s">
        <v>288</v>
      </c>
      <c r="G127" s="23" t="s">
        <v>288</v>
      </c>
      <c r="H127" s="13">
        <f t="shared" si="7"/>
        <v>1724861.21</v>
      </c>
    </row>
    <row r="128" spans="1:8" ht="12.75" thickTop="1" thickBot="1" x14ac:dyDescent="0.25">
      <c r="A128" s="32" t="s">
        <v>226</v>
      </c>
      <c r="C128" s="68">
        <f>SUM(C118:C127)</f>
        <v>23904327.950000003</v>
      </c>
      <c r="D128" s="68">
        <f>SUM(D118:D127)</f>
        <v>1724861.21</v>
      </c>
      <c r="E128" s="68">
        <f>SUM(E118:E127)</f>
        <v>1555737.71</v>
      </c>
      <c r="F128" s="68">
        <f>SUM(F118:F127)</f>
        <v>0</v>
      </c>
      <c r="G128" s="68">
        <f>SUM(G118:G127)</f>
        <v>0</v>
      </c>
      <c r="H128" s="68">
        <f t="shared" si="7"/>
        <v>27184926.870000005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1787715.12</v>
      </c>
      <c r="D131" s="23" t="s">
        <v>288</v>
      </c>
      <c r="E131" s="92">
        <f>'DOE25'!L342</f>
        <v>0</v>
      </c>
      <c r="F131" s="23" t="s">
        <v>288</v>
      </c>
      <c r="G131" s="23" t="s">
        <v>288</v>
      </c>
      <c r="H131" s="13">
        <f t="shared" si="7"/>
        <v>1787715.12</v>
      </c>
    </row>
    <row r="132" spans="1:8" x14ac:dyDescent="0.2">
      <c r="A132" t="s">
        <v>230</v>
      </c>
      <c r="B132" s="31">
        <v>5120</v>
      </c>
      <c r="C132" s="73">
        <f>'DOE25'!L262</f>
        <v>276229.94</v>
      </c>
      <c r="D132" s="23" t="s">
        <v>288</v>
      </c>
      <c r="E132" s="92">
        <f>'DOE25'!L343</f>
        <v>0</v>
      </c>
      <c r="F132" s="23" t="s">
        <v>288</v>
      </c>
      <c r="G132" s="23" t="s">
        <v>288</v>
      </c>
      <c r="H132" s="13">
        <f t="shared" si="7"/>
        <v>276229.94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2514.34</v>
      </c>
      <c r="D138" s="23" t="s">
        <v>288</v>
      </c>
      <c r="E138" s="23" t="s">
        <v>288</v>
      </c>
      <c r="F138" s="23" t="s">
        <v>288</v>
      </c>
      <c r="G138" s="23" t="s">
        <v>288</v>
      </c>
      <c r="H138" s="13">
        <f t="shared" si="7"/>
        <v>2514.34</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-2514.34</v>
      </c>
      <c r="D141" s="23" t="s">
        <v>288</v>
      </c>
      <c r="E141" s="23" t="s">
        <v>288</v>
      </c>
      <c r="F141" s="23" t="s">
        <v>288</v>
      </c>
      <c r="G141" s="23" t="s">
        <v>288</v>
      </c>
      <c r="H141" s="13">
        <f t="shared" si="7"/>
        <v>-2514.34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2063945.06</v>
      </c>
      <c r="D144" s="98">
        <f>SUM(D130:D143)</f>
        <v>0</v>
      </c>
      <c r="E144" s="98">
        <f>SUM(E130:E143)</f>
        <v>0</v>
      </c>
      <c r="F144" s="98">
        <f>SUM(F130:F143)</f>
        <v>0</v>
      </c>
      <c r="G144" s="98">
        <f>SUM(G130:G143)</f>
        <v>0</v>
      </c>
      <c r="H144" s="98">
        <f t="shared" si="7"/>
        <v>2063945.06</v>
      </c>
    </row>
    <row r="145" spans="1:9" ht="12.75" thickTop="1" thickBot="1" x14ac:dyDescent="0.25">
      <c r="A145" s="32" t="s">
        <v>244</v>
      </c>
      <c r="C145" s="68">
        <f>(C115+C128+C144)</f>
        <v>92049065.540000021</v>
      </c>
      <c r="D145" s="68">
        <f>(D115+D128+D144)</f>
        <v>1724861.21</v>
      </c>
      <c r="E145" s="68">
        <f>(E115+E128+E144)</f>
        <v>4393260.21</v>
      </c>
      <c r="F145" s="68">
        <f>(F115+F128+F144)</f>
        <v>0</v>
      </c>
      <c r="G145" s="68">
        <f>(G115+G128+G144)</f>
        <v>0</v>
      </c>
      <c r="H145" s="68">
        <f t="shared" si="7"/>
        <v>98167186.960000008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Derry Cooperative</v>
      </c>
    </row>
    <row r="3" spans="1:4" x14ac:dyDescent="0.2">
      <c r="B3" s="137" t="s">
        <v>1799</v>
      </c>
    </row>
    <row r="4" spans="1:4" x14ac:dyDescent="0.2">
      <c r="B4" t="s">
        <v>61</v>
      </c>
      <c r="C4" s="129">
        <f>IF('DOE25'!F666+'DOE25'!F671=0,0,ROUND('DOE25'!F673,0))</f>
        <v>19271</v>
      </c>
    </row>
    <row r="5" spans="1:4" x14ac:dyDescent="0.2">
      <c r="B5" t="s">
        <v>700</v>
      </c>
      <c r="C5" s="129">
        <f>IF('DOE25'!G666+'DOE25'!G671=0,0,ROUND('DOE25'!G673,0))</f>
        <v>19361</v>
      </c>
    </row>
    <row r="6" spans="1:4" x14ac:dyDescent="0.2">
      <c r="B6" t="s">
        <v>62</v>
      </c>
      <c r="C6" s="129">
        <f>IF('DOE25'!H666+'DOE25'!H671=0,0,ROUND('DOE25'!H673,0))</f>
        <v>0</v>
      </c>
    </row>
    <row r="7" spans="1:4" x14ac:dyDescent="0.2">
      <c r="B7" t="s">
        <v>701</v>
      </c>
      <c r="C7" s="129">
        <f>IF('DOE25'!I666+'DOE25'!I671=0,0,ROUND('DOE25'!I673,0))</f>
        <v>19302</v>
      </c>
    </row>
    <row r="9" spans="1:4" x14ac:dyDescent="0.2">
      <c r="A9" s="136" t="s">
        <v>94</v>
      </c>
      <c r="B9" s="137" t="s">
        <v>1800</v>
      </c>
      <c r="C9" s="131" t="s">
        <v>720</v>
      </c>
      <c r="D9" s="131" t="s">
        <v>721</v>
      </c>
    </row>
    <row r="10" spans="1:4" x14ac:dyDescent="0.2">
      <c r="A10">
        <v>1100</v>
      </c>
      <c r="B10" t="s">
        <v>702</v>
      </c>
      <c r="C10" s="129">
        <f>ROUND('DOE25'!L198+'DOE25'!L216+'DOE25'!L234+'DOE25'!L277+'DOE25'!L296+'DOE25'!L315,0)</f>
        <v>45938014</v>
      </c>
      <c r="D10" s="132">
        <f>ROUND((C10/$C$28)*100,1)</f>
        <v>48.1</v>
      </c>
    </row>
    <row r="11" spans="1:4" x14ac:dyDescent="0.2">
      <c r="A11">
        <v>1200</v>
      </c>
      <c r="B11" t="s">
        <v>703</v>
      </c>
      <c r="C11" s="129">
        <f>ROUND('DOE25'!L199+'DOE25'!L217+'DOE25'!L235+'DOE25'!L278+'DOE25'!L297+'DOE25'!L316,0)</f>
        <v>22375238</v>
      </c>
      <c r="D11" s="132">
        <f>ROUND((C11/$C$28)*100,1)</f>
        <v>23.4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458861</v>
      </c>
      <c r="D13" s="132">
        <f>ROUND((C13/$C$28)*100,1)</f>
        <v>0.5</v>
      </c>
    </row>
    <row r="14" spans="1:4" x14ac:dyDescent="0.2">
      <c r="D14" s="132"/>
    </row>
    <row r="15" spans="1:4" x14ac:dyDescent="0.2">
      <c r="A15">
        <v>2100</v>
      </c>
      <c r="B15" t="s">
        <v>706</v>
      </c>
      <c r="C15" s="129">
        <f>ROUND('DOE25'!L203+'DOE25'!L221+'DOE25'!L239+'DOE25'!L282+'DOE25'!L301+'DOE25'!L320,0)</f>
        <v>8199338</v>
      </c>
      <c r="D15" s="132">
        <f t="shared" ref="D15:D27" si="0">ROUND((C15/$C$28)*100,1)</f>
        <v>8.6</v>
      </c>
    </row>
    <row r="16" spans="1:4" x14ac:dyDescent="0.2">
      <c r="A16">
        <v>2200</v>
      </c>
      <c r="B16" t="s">
        <v>707</v>
      </c>
      <c r="C16" s="129">
        <f>ROUND('DOE25'!L204+'DOE25'!L222+'DOE25'!L240+'DOE25'!L283+'DOE25'!L302+'DOE25'!L321,0)</f>
        <v>2005409</v>
      </c>
      <c r="D16" s="132">
        <f t="shared" si="0"/>
        <v>2.1</v>
      </c>
    </row>
    <row r="17" spans="1:4" x14ac:dyDescent="0.2">
      <c r="A17" s="133" t="s">
        <v>723</v>
      </c>
      <c r="B17" t="s">
        <v>738</v>
      </c>
      <c r="C17" s="129">
        <f>ROUND('DOE25'!L205+'DOE25'!L210+'DOE25'!L223+'DOE25'!L228+'DOE25'!L241+'DOE25'!L246+'DOE25'!L284+'DOE25'!L289+'DOE25'!L303+'DOE25'!L308+'DOE25'!L322+'DOE25'!L327,0)</f>
        <v>1236377</v>
      </c>
      <c r="D17" s="132">
        <f t="shared" si="0"/>
        <v>1.3</v>
      </c>
    </row>
    <row r="18" spans="1:4" x14ac:dyDescent="0.2">
      <c r="A18">
        <v>2400</v>
      </c>
      <c r="B18" t="s">
        <v>711</v>
      </c>
      <c r="C18" s="129">
        <f>ROUND('DOE25'!L206+'DOE25'!L224+'DOE25'!L242+'DOE25'!L285+'DOE25'!L304+'DOE25'!L323,0)</f>
        <v>3694971</v>
      </c>
      <c r="D18" s="132">
        <f t="shared" si="0"/>
        <v>3.9</v>
      </c>
    </row>
    <row r="19" spans="1:4" x14ac:dyDescent="0.2">
      <c r="A19">
        <v>2500</v>
      </c>
      <c r="B19" t="s">
        <v>708</v>
      </c>
      <c r="C19" s="129">
        <f>ROUND('DOE25'!L207+'DOE25'!L225+'DOE25'!L243+'DOE25'!L286+'DOE25'!L305+'DOE25'!L324,0)</f>
        <v>719582</v>
      </c>
      <c r="D19" s="132">
        <f t="shared" si="0"/>
        <v>0.8</v>
      </c>
    </row>
    <row r="20" spans="1:4" x14ac:dyDescent="0.2">
      <c r="A20">
        <v>2600</v>
      </c>
      <c r="B20" t="s">
        <v>709</v>
      </c>
      <c r="C20" s="129">
        <f>ROUND('DOE25'!L208+'DOE25'!L226+'DOE25'!L244+'DOE25'!L287+'DOE25'!L306+'DOE25'!L325,0)</f>
        <v>5371404</v>
      </c>
      <c r="D20" s="132">
        <f t="shared" si="0"/>
        <v>5.6</v>
      </c>
    </row>
    <row r="21" spans="1:4" x14ac:dyDescent="0.2">
      <c r="A21">
        <v>2700</v>
      </c>
      <c r="B21" t="s">
        <v>710</v>
      </c>
      <c r="C21" s="129">
        <f>ROUND('DOE25'!L209+'DOE25'!L227+'DOE25'!L245+'DOE25'!L288+'DOE25'!L307+'DOE25'!L326,0)</f>
        <v>4232984</v>
      </c>
      <c r="D21" s="132">
        <f t="shared" si="0"/>
        <v>4.4000000000000004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146201</v>
      </c>
      <c r="D24" s="132">
        <f t="shared" si="0"/>
        <v>0.2</v>
      </c>
    </row>
    <row r="25" spans="1:4" x14ac:dyDescent="0.2">
      <c r="A25">
        <v>5120</v>
      </c>
      <c r="B25" t="s">
        <v>716</v>
      </c>
      <c r="C25" s="129">
        <f>ROUND('DOE25'!L262+'DOE25'!L343,0)</f>
        <v>276230</v>
      </c>
      <c r="D25" s="132">
        <f t="shared" si="0"/>
        <v>0.3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875816.1100000001</v>
      </c>
      <c r="D27" s="132">
        <f t="shared" si="0"/>
        <v>0.9</v>
      </c>
    </row>
    <row r="28" spans="1:4" x14ac:dyDescent="0.2">
      <c r="B28" s="136" t="s">
        <v>719</v>
      </c>
      <c r="C28" s="130">
        <f>SUM(C10:C27)</f>
        <v>95530425.109999999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95530425.109999999</v>
      </c>
    </row>
    <row r="31" spans="1:4" x14ac:dyDescent="0.2">
      <c r="B31" s="32"/>
      <c r="C31" s="130"/>
    </row>
    <row r="32" spans="1:4" x14ac:dyDescent="0.2">
      <c r="A32">
        <v>5100</v>
      </c>
      <c r="B32" s="32" t="s">
        <v>726</v>
      </c>
      <c r="C32" s="130">
        <f>ROUND('DOE25'!L261+'DOE25'!L342,0)</f>
        <v>1787715</v>
      </c>
    </row>
    <row r="34" spans="1:4" x14ac:dyDescent="0.2">
      <c r="A34" s="136" t="s">
        <v>94</v>
      </c>
      <c r="B34" s="137" t="s">
        <v>1801</v>
      </c>
      <c r="C34" s="131" t="s">
        <v>720</v>
      </c>
      <c r="D34" s="131" t="s">
        <v>721</v>
      </c>
    </row>
    <row r="35" spans="1:4" x14ac:dyDescent="0.2">
      <c r="A35">
        <v>1100</v>
      </c>
      <c r="B35" s="71" t="s">
        <v>727</v>
      </c>
      <c r="C35" s="129">
        <f>ROUND('DOE25'!F60+'DOE25'!G60+'DOE25'!H60+'DOE25'!I60+'DOE25'!J60,0)</f>
        <v>55628738</v>
      </c>
      <c r="D35" s="132">
        <f t="shared" ref="D35:D40" si="1">ROUND((C35/$C$41)*100,1)</f>
        <v>58.6</v>
      </c>
    </row>
    <row r="36" spans="1:4" x14ac:dyDescent="0.2">
      <c r="B36" s="71" t="s">
        <v>739</v>
      </c>
      <c r="C36" s="129">
        <f>SUM('DOE25'!F112:J112)-SUM('DOE25'!G97:G110)+('DOE25'!F175+'DOE25'!F176+'DOE25'!I175+'DOE25'!I176)-C35</f>
        <v>1149881.1400000006</v>
      </c>
      <c r="D36" s="132">
        <f t="shared" si="1"/>
        <v>1.2</v>
      </c>
    </row>
    <row r="37" spans="1:4" x14ac:dyDescent="0.2">
      <c r="A37" s="133" t="s">
        <v>834</v>
      </c>
      <c r="B37" s="71" t="s">
        <v>728</v>
      </c>
      <c r="C37" s="129">
        <f>ROUND('DOE25'!F117+'DOE25'!F118,0)</f>
        <v>30755187</v>
      </c>
      <c r="D37" s="132">
        <f t="shared" si="1"/>
        <v>32.4</v>
      </c>
    </row>
    <row r="38" spans="1:4" x14ac:dyDescent="0.2">
      <c r="A38" s="133" t="s">
        <v>734</v>
      </c>
      <c r="B38" s="71" t="s">
        <v>729</v>
      </c>
      <c r="C38" s="129">
        <f>ROUND(SUM('DOE25'!F140:J140)-SUM('DOE25'!F117:F119),0)</f>
        <v>1714463</v>
      </c>
      <c r="D38" s="132">
        <f t="shared" si="1"/>
        <v>1.8</v>
      </c>
    </row>
    <row r="39" spans="1:4" x14ac:dyDescent="0.2">
      <c r="A39">
        <v>4000</v>
      </c>
      <c r="B39" s="71" t="s">
        <v>730</v>
      </c>
      <c r="C39" s="129">
        <f>ROUND('DOE25'!F170+'DOE25'!G170+'DOE25'!H170+'DOE25'!I170,0)</f>
        <v>5621474</v>
      </c>
      <c r="D39" s="132">
        <f t="shared" si="1"/>
        <v>5.9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94869743.140000001</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8" sqref="C18:M1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Derry Cooperative</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t="s">
        <v>1812</v>
      </c>
      <c r="D4" s="328"/>
      <c r="E4" s="328"/>
      <c r="F4" s="328"/>
      <c r="G4" s="328"/>
      <c r="H4" s="328"/>
      <c r="I4" s="328"/>
      <c r="J4" s="328"/>
      <c r="K4" s="328"/>
      <c r="L4" s="328"/>
      <c r="M4" s="329"/>
    </row>
    <row r="5" spans="1:13" x14ac:dyDescent="0.2">
      <c r="A5" s="159"/>
      <c r="B5" s="150"/>
      <c r="C5" s="328" t="s">
        <v>1813</v>
      </c>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61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16</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62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f>IFERROR(SMALL($T$4:$T$75,ROWS($T$4:T5)),"")</f>
        <v>68</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71</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81</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108</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274</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f>IF('School Level Expenditures'!$B$2='School Tables'!L19,'School Tables'!S19,"")</f>
        <v>16</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f>IF('School Level Expenditures'!$B$2=A64,'School Tables'!H64,"")</f>
        <v>61</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f>IF('School Level Expenditures'!$B$2=A65,'School Tables'!H65,"")</f>
        <v>62</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f>IF('School Level Expenditures'!$B$2='School Tables'!L71,'School Tables'!S71,"")</f>
        <v>68</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f>IF('School Level Expenditures'!$B$2=A74,'School Tables'!H74,"")</f>
        <v>71</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f>IF('School Level Expenditures'!$B$2=A84,'School Tables'!H84,"")</f>
        <v>81</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f>IF('School Level Expenditures'!$B$2=A111,'School Tables'!H111,"")</f>
        <v>108</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f>IF('School Level Expenditures'!$B$2=A277,'School Tables'!H277,"")</f>
        <v>274</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2023-08-28T13:17:01Z</cp:lastPrinted>
  <dcterms:created xsi:type="dcterms:W3CDTF">1997-12-04T19:04:30Z</dcterms:created>
  <dcterms:modified xsi:type="dcterms:W3CDTF">2023-12-28T16:28:46Z</dcterms:modified>
</cp:coreProperties>
</file>