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8C0DD9D2-484D-464C-A399-E125AE7E1353}"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20" i="1" l="1"/>
  <c r="F117" i="1" l="1"/>
  <c r="D11" i="13"/>
  <c r="H157" i="1"/>
  <c r="H138" i="2" l="1"/>
  <c r="H139" i="2"/>
  <c r="H140" i="2"/>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H136" i="2"/>
  <c r="H97" i="2"/>
  <c r="H98" i="2"/>
  <c r="H99" i="2"/>
  <c r="H100" i="2"/>
  <c r="H101" i="2"/>
  <c r="H102" i="2"/>
  <c r="H94" i="2"/>
  <c r="H93" i="2"/>
  <c r="H90" i="2"/>
  <c r="H73" i="2"/>
  <c r="H74" i="2"/>
  <c r="H79" i="2"/>
  <c r="H80" i="2"/>
  <c r="H59" i="2"/>
  <c r="H49" i="2"/>
  <c r="H43" i="2"/>
  <c r="H44" i="2"/>
  <c r="H45" i="2"/>
  <c r="H42" i="2"/>
  <c r="H40" i="2"/>
  <c r="H38" i="2"/>
  <c r="H36" i="2"/>
  <c r="H35" i="2"/>
  <c r="H34" i="2"/>
  <c r="H22" i="2"/>
  <c r="H23" i="2"/>
  <c r="H24" i="2"/>
  <c r="H25" i="2"/>
  <c r="H26" i="2"/>
  <c r="H27" i="2"/>
  <c r="H28" i="2"/>
  <c r="H30" i="2"/>
  <c r="H21" i="2"/>
  <c r="H9" i="2"/>
  <c r="H10" i="2"/>
  <c r="H11" i="2"/>
  <c r="H12" i="2"/>
  <c r="H13" i="2"/>
  <c r="H14" i="2"/>
  <c r="H15" i="2"/>
  <c r="H8"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D39" i="2"/>
  <c r="H39" i="2" s="1"/>
  <c r="G656" i="1"/>
  <c r="F48" i="2"/>
  <c r="E48" i="2"/>
  <c r="D48" i="2"/>
  <c r="C48" i="2"/>
  <c r="F47" i="2"/>
  <c r="E47" i="2"/>
  <c r="H47" i="2" s="1"/>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J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E125" i="2" s="1"/>
  <c r="L315" i="1"/>
  <c r="L316" i="1"/>
  <c r="L317" i="1"/>
  <c r="L318" i="1"/>
  <c r="L320" i="1"/>
  <c r="L321" i="1"/>
  <c r="L322" i="1"/>
  <c r="E120" i="2" s="1"/>
  <c r="L323" i="1"/>
  <c r="L324" i="1"/>
  <c r="L325" i="1"/>
  <c r="L326" i="1"/>
  <c r="E124" i="2" s="1"/>
  <c r="L327" i="1"/>
  <c r="L334" i="1"/>
  <c r="L335" i="1"/>
  <c r="L336" i="1"/>
  <c r="L261" i="1"/>
  <c r="C131" i="2" s="1"/>
  <c r="L262" i="1"/>
  <c r="C132" i="2" s="1"/>
  <c r="H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C58" i="2" s="1"/>
  <c r="H58" i="2" s="1"/>
  <c r="F111" i="1"/>
  <c r="G111" i="1"/>
  <c r="H79" i="1"/>
  <c r="H94" i="1"/>
  <c r="H111" i="1"/>
  <c r="I111" i="1"/>
  <c r="I112" i="1" s="1"/>
  <c r="J111" i="1"/>
  <c r="J112" i="1" s="1"/>
  <c r="F121" i="1"/>
  <c r="F136" i="1"/>
  <c r="G121" i="1"/>
  <c r="G136" i="1"/>
  <c r="H121" i="1"/>
  <c r="H136" i="1"/>
  <c r="H140" i="1" s="1"/>
  <c r="I121" i="1"/>
  <c r="I136" i="1"/>
  <c r="J121" i="1"/>
  <c r="J136" i="1"/>
  <c r="J140" i="1" s="1"/>
  <c r="F147" i="1"/>
  <c r="C85" i="2" s="1"/>
  <c r="F170" i="1"/>
  <c r="G147" i="1"/>
  <c r="D85" i="2" s="1"/>
  <c r="H147" i="1"/>
  <c r="H170" i="1" s="1"/>
  <c r="I147" i="1"/>
  <c r="L251" i="1"/>
  <c r="C113" i="2" s="1"/>
  <c r="L333" i="1"/>
  <c r="E113" i="2" s="1"/>
  <c r="L255" i="1"/>
  <c r="L269" i="1"/>
  <c r="L270" i="1"/>
  <c r="C143" i="2" s="1"/>
  <c r="L350" i="1"/>
  <c r="E142" i="2" s="1"/>
  <c r="H142" i="2" s="1"/>
  <c r="L351" i="1"/>
  <c r="E143" i="2" s="1"/>
  <c r="H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H16" i="2" s="1"/>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H72" i="2" s="1"/>
  <c r="F72" i="2"/>
  <c r="C73" i="2"/>
  <c r="F73" i="2"/>
  <c r="C74" i="2"/>
  <c r="C75" i="2"/>
  <c r="H75" i="2" s="1"/>
  <c r="C76" i="2"/>
  <c r="H76" i="2" s="1"/>
  <c r="E76" i="2"/>
  <c r="F76" i="2"/>
  <c r="C77" i="2"/>
  <c r="D77" i="2"/>
  <c r="E77" i="2"/>
  <c r="F77" i="2"/>
  <c r="G77" i="2"/>
  <c r="G78" i="2" s="1"/>
  <c r="C79" i="2"/>
  <c r="D79" i="2"/>
  <c r="E79" i="2"/>
  <c r="C80" i="2"/>
  <c r="E80" i="2"/>
  <c r="F85" i="2"/>
  <c r="C87" i="2"/>
  <c r="E87" i="2"/>
  <c r="H87" i="2" s="1"/>
  <c r="F87" i="2"/>
  <c r="C89" i="2"/>
  <c r="D89" i="2"/>
  <c r="E89" i="2"/>
  <c r="H89" i="2" s="1"/>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2" i="2"/>
  <c r="D115" i="2"/>
  <c r="F115" i="2"/>
  <c r="G115" i="2"/>
  <c r="F128" i="2"/>
  <c r="G128" i="2"/>
  <c r="D134" i="2"/>
  <c r="D144" i="2" s="1"/>
  <c r="F134" i="2"/>
  <c r="K420" i="1"/>
  <c r="K428" i="1"/>
  <c r="K434" i="1"/>
  <c r="L264" i="1"/>
  <c r="C135" i="2" s="1"/>
  <c r="H135" i="2" s="1"/>
  <c r="L265" i="1"/>
  <c r="C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46" i="1"/>
  <c r="G651" i="1"/>
  <c r="H653" i="1"/>
  <c r="G654" i="1"/>
  <c r="H654" i="1"/>
  <c r="H655" i="1"/>
  <c r="H656" i="1"/>
  <c r="I170" i="1"/>
  <c r="H134" i="2" l="1"/>
  <c r="H131" i="2"/>
  <c r="H17" i="2"/>
  <c r="H29" i="2"/>
  <c r="H48" i="2"/>
  <c r="G477" i="1"/>
  <c r="H624" i="1" s="1"/>
  <c r="J624" i="1" s="1"/>
  <c r="G662" i="1"/>
  <c r="D29" i="13"/>
  <c r="C29" i="13" s="1"/>
  <c r="H113" i="2"/>
  <c r="E112" i="2"/>
  <c r="C13" i="10"/>
  <c r="E121" i="2"/>
  <c r="E111" i="2"/>
  <c r="H112" i="2"/>
  <c r="H120" i="2"/>
  <c r="A40" i="12"/>
  <c r="C32" i="10"/>
  <c r="D18" i="13"/>
  <c r="C18" i="13" s="1"/>
  <c r="D15" i="13"/>
  <c r="C15" i="13" s="1"/>
  <c r="C121" i="2"/>
  <c r="N2" i="14"/>
  <c r="N3" i="14" s="1"/>
  <c r="C125" i="2"/>
  <c r="H125" i="2" s="1"/>
  <c r="M2" i="14"/>
  <c r="M3" i="14" s="1"/>
  <c r="C12" i="10"/>
  <c r="C110" i="2"/>
  <c r="D6" i="13"/>
  <c r="C6" i="13" s="1"/>
  <c r="L2" i="14"/>
  <c r="L3" i="14" s="1"/>
  <c r="E13" i="13"/>
  <c r="C13" i="13" s="1"/>
  <c r="C119" i="2"/>
  <c r="K2" i="14"/>
  <c r="K3" i="14" s="1"/>
  <c r="H96" i="2"/>
  <c r="H477" i="1"/>
  <c r="H625" i="1" s="1"/>
  <c r="J625" i="1" s="1"/>
  <c r="H61" i="2"/>
  <c r="H85" i="2"/>
  <c r="D78" i="2"/>
  <c r="D81" i="2" s="1"/>
  <c r="H77" i="2"/>
  <c r="E119" i="2"/>
  <c r="H409" i="1"/>
  <c r="H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C111" i="2"/>
  <c r="H111" i="2" s="1"/>
  <c r="H662" i="1"/>
  <c r="C15" i="10"/>
  <c r="A13" i="12"/>
  <c r="D12" i="13"/>
  <c r="C12" i="13" s="1"/>
  <c r="D5" i="13"/>
  <c r="C5"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H103" i="2" s="1"/>
  <c r="I140" i="1"/>
  <c r="A22" i="12"/>
  <c r="J653" i="1"/>
  <c r="G572" i="1"/>
  <c r="I435" i="1"/>
  <c r="G435" i="1"/>
  <c r="I664" i="1"/>
  <c r="H623" i="1" l="1"/>
  <c r="J623" i="1" s="1"/>
  <c r="H114" i="2"/>
  <c r="H18" i="2"/>
  <c r="D51" i="2"/>
  <c r="H51" i="2" s="1"/>
  <c r="H31" i="2"/>
  <c r="H50" i="2"/>
  <c r="B33" i="16"/>
  <c r="D128" i="2"/>
  <c r="D145" i="2" s="1"/>
  <c r="H127" i="2"/>
  <c r="H123" i="2"/>
  <c r="H121" i="2"/>
  <c r="G24" i="14"/>
  <c r="H24" i="14" s="1"/>
  <c r="I24" i="14" s="1"/>
  <c r="E128" i="2"/>
  <c r="H122" i="2"/>
  <c r="H118" i="2"/>
  <c r="H119" i="2"/>
  <c r="H62" i="2"/>
  <c r="H57" i="2"/>
  <c r="H78" i="2"/>
  <c r="H91" i="2"/>
  <c r="I662" i="1"/>
  <c r="F194" i="1"/>
  <c r="G628" i="1" s="1"/>
  <c r="J628" i="1" s="1"/>
  <c r="C81" i="2"/>
  <c r="H81" i="2" s="1"/>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H128" i="2"/>
  <c r="C104" i="2"/>
  <c r="H104" i="2" s="1"/>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C145" i="2" l="1"/>
  <c r="H145" i="2" s="1"/>
  <c r="I670" i="1"/>
  <c r="I673" i="1" s="1"/>
  <c r="C7" i="10" s="1"/>
  <c r="F673" i="1"/>
  <c r="C4" i="10" s="1"/>
  <c r="I668" i="1"/>
  <c r="D28" i="10"/>
  <c r="D37" i="10"/>
  <c r="D36" i="10"/>
  <c r="D35" i="10"/>
  <c r="D40" i="10"/>
  <c r="D39" i="10"/>
  <c r="D41" i="10" l="1"/>
  <c r="F33" i="13" l="1"/>
  <c r="E8" i="13"/>
  <c r="E33" i="13" s="1"/>
  <c r="D35" i="13" s="1"/>
  <c r="C8" i="1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<sst xmlns="http://schemas.openxmlformats.org/spreadsheetml/2006/main" count="6559" uniqueCount="1814">
  <si>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</si>
  <si>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</si>
  <si>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</si>
  <si>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</si>
  <si>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</si>
  <si>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</si>
  <si>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</si>
  <si>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</si>
  <si>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</si>
  <si>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</si>
  <si>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</si>
  <si>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</si>
  <si>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</si>
  <si>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</si>
  <si>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</si>
  <si>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</si>
  <si>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</si>
  <si>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</si>
  <si>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</si>
  <si>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</si>
  <si>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</si>
  <si>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</si>
  <si>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</si>
  <si>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</si>
  <si>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</si>
  <si>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</si>
  <si>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</si>
  <si>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</si>
  <si>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</si>
  <si>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</si>
  <si>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</si>
  <si>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</si>
  <si>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</si>
  <si>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</si>
  <si>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</si>
  <si>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</si>
  <si>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</si>
  <si>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</si>
  <si>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</si>
  <si>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</si>
  <si>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</si>
  <si>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</si>
  <si>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</si>
  <si>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</si>
  <si>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</si>
  <si>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</si>
  <si>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</si>
  <si>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</si>
  <si>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</si>
  <si>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</si>
  <si>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</si>
  <si>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</si>
  <si>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</si>
  <si>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</si>
  <si>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</si>
  <si>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</si>
  <si>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</si>
  <si>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</si>
  <si>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</si>
  <si>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</si>
  <si>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</si>
  <si>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</si>
  <si>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</si>
  <si>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</si>
  <si>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</si>
  <si>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</si>
  <si>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</si>
  <si>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</si>
  <si>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</si>
  <si>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</si>
  <si>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</si>
  <si>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</si>
  <si>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</si>
  <si>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</si>
  <si>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</si>
  <si>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</si>
  <si>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</si>
  <si>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</si>
  <si>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</si>
  <si>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</si>
  <si>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</si>
  <si>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</si>
  <si>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</si>
  <si>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</si>
  <si>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</si>
  <si>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</si>
  <si>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</si>
  <si>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</si>
  <si>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</si>
  <si>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</si>
  <si>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</si>
  <si>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</si>
  <si>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</si>
  <si>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</si>
  <si>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</si>
  <si>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</si>
  <si>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</si>
  <si>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</si>
  <si>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</si>
  <si>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</si>
  <si>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</si>
  <si>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</si>
  <si>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</si>
  <si>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</si>
  <si>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</si>
  <si>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</si>
  <si>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</si>
  <si>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</si>
  <si>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</si>
  <si>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</si>
  <si>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</si>
  <si>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</si>
  <si>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</si>
  <si>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</si>
  <si>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</si>
  <si>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</si>
  <si>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</si>
  <si>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</si>
  <si>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</si>
  <si>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</si>
  <si>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</si>
  <si>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</si>
  <si>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</si>
  <si>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</si>
  <si>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</si>
  <si>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</si>
  <si>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</si>
  <si>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</si>
  <si>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</si>
  <si>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</si>
  <si>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</si>
  <si>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</si>
  <si>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</si>
  <si>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</si>
  <si>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</si>
  <si>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</si>
  <si>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</si>
  <si>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</si>
  <si>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</si>
  <si>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</si>
  <si>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</si>
  <si>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</si>
  <si>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</si>
  <si>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</si>
  <si>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</si>
  <si>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</si>
  <si>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</si>
  <si>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</si>
  <si>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</si>
  <si>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</si>
  <si>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</si>
  <si>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</si>
  <si>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</si>
  <si>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</si>
  <si>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</si>
  <si>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</si>
  <si>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</si>
  <si>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</si>
  <si>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</si>
  <si>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</si>
  <si>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</si>
  <si>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</si>
  <si>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</si>
  <si>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</si>
  <si>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</si>
  <si>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</si>
  <si>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</si>
  <si>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</si>
  <si>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</si>
  <si>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</si>
  <si>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</si>
  <si>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</si>
  <si>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</si>
  <si>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</si>
  <si>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</si>
  <si>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</si>
  <si>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</si>
  <si>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</si>
  <si>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</si>
  <si>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</si>
  <si>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</si>
  <si>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</si>
  <si>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</si>
  <si>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</si>
  <si>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</si>
  <si>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</si>
  <si>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</si>
  <si>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</si>
  <si>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</si>
  <si>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</si>
  <si>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</si>
  <si>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</si>
  <si>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</si>
  <si>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</si>
  <si>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</si>
  <si>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</si>
  <si>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</si>
  <si>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</si>
  <si>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</si>
  <si>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</si>
  <si>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</si>
  <si>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</si>
  <si>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</si>
  <si>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</si>
  <si>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</si>
  <si>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</si>
  <si>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</si>
  <si>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</si>
  <si>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</si>
  <si>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</si>
  <si>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</si>
  <si>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</si>
  <si>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</si>
  <si>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</si>
  <si>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</si>
  <si>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</si>
  <si>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</si>
  <si>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</si>
  <si>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</si>
  <si>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</si>
  <si>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</si>
  <si>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</si>
  <si>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</si>
  <si>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</si>
  <si>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</si>
  <si>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</si>
  <si>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</si>
  <si>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</si>
  <si>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</si>
  <si>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</si>
  <si>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</si>
  <si>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</si>
  <si>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</si>
  <si>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</si>
  <si>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</si>
  <si>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</si>
  <si>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</si>
  <si>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</si>
  <si>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</si>
  <si>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</si>
  <si>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</si>
  <si>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</si>
  <si>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</si>
  <si>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</si>
  <si>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</si>
  <si>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</si>
  <si>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</si>
  <si>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</si>
  <si>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</si>
  <si>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</si>
  <si>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</si>
  <si>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</si>
  <si>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</si>
  <si>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</si>
  <si>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</si>
  <si>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</si>
  <si>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</si>
  <si>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</si>
  <si>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</si>
  <si>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</si>
  <si>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</si>
  <si>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</si>
  <si>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</si>
  <si>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</si>
  <si>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</si>
  <si>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</si>
  <si>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</si>
  <si>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</si>
  <si>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</si>
  <si>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</si>
  <si>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</si>
  <si>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</si>
  <si>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</si>
  <si>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</si>
  <si>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</si>
  <si>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</si>
  <si>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</si>
  <si>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</si>
  <si>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</si>
  <si>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</si>
  <si>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</si>
  <si>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</si>
  <si>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</si>
  <si>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</si>
  <si>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</si>
  <si>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</si>
  <si>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</si>
  <si>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</si>
  <si>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</si>
  <si>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</si>
  <si>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</si>
  <si>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</si>
  <si>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</si>
  <si>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</si>
  <si>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</si>
  <si>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</si>
  <si>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</si>
  <si>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</si>
  <si>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</si>
  <si>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</si>
  <si>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</si>
  <si>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</si>
  <si>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</si>
  <si>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</si>
  <si>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</si>
  <si>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</si>
  <si>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</si>
  <si>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</si>
  <si>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</si>
  <si>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</si>
  <si>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</si>
  <si>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</si>
  <si>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</si>
  <si>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</si>
  <si>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</si>
  <si>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</si>
  <si>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</si>
  <si>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</si>
  <si>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</si>
  <si>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</si>
  <si>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</si>
  <si>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</si>
  <si>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</si>
  <si>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</si>
  <si>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</si>
  <si>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</si>
  <si>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</si>
  <si>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</si>
  <si>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</si>
  <si>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</si>
  <si>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</si>
  <si>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</si>
  <si>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</si>
  <si>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</si>
  <si>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</si>
  <si>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</si>
  <si>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</si>
  <si>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</si>
  <si>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</si>
  <si>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</si>
  <si>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</si>
  <si>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</si>
  <si>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</si>
  <si>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</si>
  <si>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</si>
  <si>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</si>
  <si>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</si>
  <si>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</si>
  <si>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</si>
  <si>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</si>
  <si>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</si>
  <si>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</si>
  <si>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</si>
  <si>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</si>
  <si>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</si>
  <si>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</si>
  <si>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</si>
  <si>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</si>
  <si>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</si>
  <si>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</si>
  <si>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</si>
  <si>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</si>
  <si>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</si>
  <si>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</si>
  <si>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</si>
  <si>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</si>
  <si>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</si>
  <si>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</si>
  <si>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</si>
  <si>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</si>
  <si>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</si>
  <si>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</si>
  <si>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</si>
  <si>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</si>
  <si>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</si>
  <si>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</si>
  <si>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</si>
  <si>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</si>
  <si>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</si>
  <si>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</si>
  <si>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</si>
  <si>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</si>
  <si>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</si>
  <si>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</si>
  <si>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</si>
  <si>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</si>
  <si>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</si>
  <si>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</si>
  <si>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</si>
  <si>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</si>
  <si>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</si>
  <si>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</si>
  <si>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</si>
  <si>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</si>
  <si>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</si>
  <si>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</si>
  <si>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</si>
  <si>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</si>
  <si>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</si>
  <si>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</si>
  <si>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</si>
  <si>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</si>
  <si>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</si>
  <si>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</si>
  <si>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</si>
  <si>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</si>
  <si>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</si>
  <si>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</si>
  <si>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</si>
  <si>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</si>
  <si>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</si>
  <si>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</si>
  <si>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</si>
  <si>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</si>
  <si>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</si>
  <si>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</si>
  <si>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</si>
  <si>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</si>
  <si>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</si>
  <si>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</si>
  <si>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</si>
  <si>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</si>
  <si>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</si>
  <si>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</si>
  <si>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</si>
  <si>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</si>
  <si>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</si>
  <si>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</si>
  <si>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</si>
  <si>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</si>
  <si>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</si>
  <si>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</si>
  <si>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</si>
  <si>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</si>
  <si>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</si>
  <si>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</si>
  <si>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</si>
  <si>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</si>
  <si>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</si>
  <si>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</si>
  <si>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</si>
  <si>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</si>
  <si>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</si>
  <si>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</si>
  <si>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</si>
  <si>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</si>
  <si>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</si>
  <si>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</si>
  <si>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</si>
  <si>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</si>
  <si>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</si>
  <si>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</si>
  <si>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</si>
  <si>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</si>
  <si>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</si>
  <si>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</si>
  <si>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</si>
  <si>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</si>
  <si>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</si>
  <si>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</si>
  <si>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</si>
  <si>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</si>
  <si>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</si>
  <si>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</si>
  <si>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</si>
  <si>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</si>
  <si>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</si>
  <si>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</si>
  <si>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</si>
  <si>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</si>
  <si>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</si>
  <si>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</si>
  <si>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</si>
  <si>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</si>
  <si>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</si>
  <si>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</si>
  <si>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</si>
  <si>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</si>
  <si>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</si>
  <si>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</si>
  <si>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</si>
  <si>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</si>
  <si>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</si>
  <si>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</si>
  <si>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</si>
  <si>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</si>
  <si>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</si>
  <si>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</si>
  <si>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</si>
  <si>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</si>
  <si>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</si>
  <si>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</si>
  <si>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</si>
  <si>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</si>
  <si>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</si>
  <si>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</si>
  <si>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</si>
  <si>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</si>
  <si>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</si>
  <si>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</si>
  <si>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</si>
  <si>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</si>
  <si>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</si>
  <si>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</si>
  <si>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</si>
  <si>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</si>
  <si>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</si>
  <si>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</si>
  <si>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</si>
  <si>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</si>
  <si>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</si>
  <si>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</si>
  <si>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</si>
  <si>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</si>
  <si>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</si>
  <si>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</si>
  <si>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</si>
  <si>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</si>
  <si>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</si>
  <si>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</si>
  <si>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</si>
  <si>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</si>
  <si>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</si>
  <si>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</si>
  <si>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</si>
  <si>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</si>
  <si>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</si>
  <si>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</si>
  <si>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</si>
  <si>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</si>
  <si>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</si>
  <si>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</si>
  <si>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</si>
  <si>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</si>
  <si>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</si>
  <si>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</si>
  <si>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</si>
  <si>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</si>
  <si>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</si>
  <si>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</si>
  <si>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</si>
  <si>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</si>
  <si>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</si>
  <si>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</si>
  <si>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</si>
  <si>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</si>
  <si>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</si>
  <si>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</si>
  <si>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</si>
  <si>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</si>
  <si>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</si>
  <si>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</si>
  <si>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</si>
  <si>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</si>
  <si>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</si>
  <si>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</si>
  <si>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</si>
  <si>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</si>
  <si>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</si>
  <si>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</si>
  <si>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</si>
  <si>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</si>
  <si>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</si>
  <si>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</si>
  <si>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</si>
  <si>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</si>
  <si>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</si>
  <si>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</si>
  <si>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</si>
  <si>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</si>
  <si>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</si>
  <si>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</si>
  <si>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</si>
  <si>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</si>
  <si>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</si>
  <si>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</si>
  <si>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</si>
  <si>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</si>
  <si>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</si>
  <si>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</si>
  <si>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</si>
  <si>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</si>
  <si>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</si>
  <si>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</si>
  <si>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</si>
  <si>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</si>
  <si>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</si>
  <si>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</si>
  <si>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</si>
  <si>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</si>
  <si>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</si>
  <si>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</si>
  <si>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</si>
  <si>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</si>
  <si>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</si>
  <si>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</si>
  <si>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</si>
  <si>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</si>
  <si>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</si>
  <si>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</si>
  <si>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</si>
  <si>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</si>
  <si>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</si>
  <si>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</si>
  <si>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</si>
  <si>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</si>
  <si>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</si>
  <si>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</si>
  <si>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</si>
  <si>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</si>
  <si>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</si>
  <si>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</si>
  <si>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</si>
  <si>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</si>
  <si>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</si>
  <si>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</si>
  <si>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</si>
  <si>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</si>
  <si>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</si>
  <si>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</si>
  <si>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</si>
  <si>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</si>
  <si>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</si>
  <si>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</si>
  <si>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</si>
  <si>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</si>
  <si>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</si>
  <si>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</si>
  <si>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</si>
  <si>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</si>
  <si>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</si>
  <si>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</si>
  <si>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</si>
  <si>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</si>
  <si>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</si>
  <si>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</si>
  <si>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</si>
  <si>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</si>
  <si>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</si>
  <si>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</si>
  <si>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</si>
  <si>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</si>
  <si>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</si>
  <si>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</si>
  <si>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</si>
  <si>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</si>
  <si>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</si>
  <si>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</si>
  <si>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</si>
  <si>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</si>
  <si>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</si>
  <si>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</si>
  <si>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</si>
  <si>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</si>
  <si>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</si>
  <si>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</si>
  <si>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</si>
  <si>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</si>
  <si>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</si>
  <si>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</si>
  <si>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</si>
  <si>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</si>
  <si>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</si>
  <si>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</si>
  <si>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</si>
  <si>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</si>
  <si>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</si>
  <si>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</si>
  <si>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</si>
  <si>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</si>
  <si>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</si>
  <si>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</si>
  <si>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</si>
  <si>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</si>
  <si>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</si>
  <si>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</si>
  <si>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</si>
  <si>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</si>
  <si>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</si>
  <si>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</si>
  <si>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</si>
  <si>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</si>
  <si>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</si>
  <si>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</si>
  <si>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</si>
  <si>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</si>
  <si>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</si>
  <si>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</si>
  <si>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</si>
  <si>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</si>
  <si>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</si>
  <si>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</si>
  <si>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</si>
  <si>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</si>
  <si>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</si>
  <si>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</si>
  <si>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</si>
  <si>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</si>
  <si>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</si>
  <si>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</si>
  <si>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</si>
  <si>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</si>
  <si>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</si>
  <si>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</si>
  <si>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</si>
  <si>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</si>
  <si>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</si>
  <si>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</si>
  <si>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</si>
  <si>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</si>
  <si>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</si>
  <si>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</si>
  <si>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</si>
  <si>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</si>
  <si>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</si>
  <si>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</si>
  <si>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</si>
  <si>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</si>
  <si>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</si>
  <si>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</si>
  <si>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</si>
  <si>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</si>
  <si>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</si>
  <si>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</si>
  <si>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</si>
  <si>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</si>
  <si>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</si>
  <si>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</si>
  <si>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</si>
  <si>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</si>
  <si>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</si>
  <si>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</si>
  <si>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</si>
  <si>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</si>
  <si>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</si>
  <si>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</si>
  <si>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</si>
  <si>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</si>
  <si>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</si>
  <si>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</si>
  <si>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</si>
  <si>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</si>
  <si>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</si>
  <si>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</si>
  <si>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</si>
  <si>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</si>
  <si>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</si>
  <si>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</si>
  <si>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</si>
  <si>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</si>
  <si>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</si>
  <si>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</si>
  <si>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</si>
  <si>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</si>
  <si>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</si>
  <si>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</si>
  <si>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</si>
  <si>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</si>
  <si>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</si>
  <si>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</si>
  <si>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</si>
  <si>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</si>
  <si>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</si>
  <si>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</si>
  <si>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</si>
  <si>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</si>
  <si>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</si>
  <si>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</si>
  <si>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</si>
  <si>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</si>
  <si>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</si>
  <si>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</si>
  <si>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</si>
  <si>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</si>
  <si>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</si>
  <si>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</si>
  <si>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</si>
  <si>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</si>
  <si>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</si>
  <si>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</si>
  <si>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</si>
  <si>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</si>
  <si>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</si>
  <si>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</si>
  <si>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</si>
  <si>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</si>
  <si>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</si>
  <si>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</si>
  <si>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</si>
  <si>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</si>
  <si>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</si>
  <si>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</si>
  <si>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</si>
  <si>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</si>
  <si>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</si>
  <si>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</si>
  <si>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</si>
  <si>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</si>
  <si>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</si>
  <si>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</si>
  <si>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</si>
  <si>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</si>
  <si>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</si>
  <si>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</si>
  <si>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</si>
  <si>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</si>
  <si>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</si>
  <si>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</si>
  <si>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</si>
  <si>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</si>
  <si>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</si>
  <si>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</si>
  <si>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</si>
  <si>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</si>
  <si>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</si>
  <si>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</si>
  <si>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</si>
  <si>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</si>
  <si>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</si>
  <si>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</si>
  <si>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</si>
  <si>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</si>
  <si>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</si>
  <si>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</si>
  <si>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</si>
  <si>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</si>
  <si>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</si>
  <si>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</si>
  <si>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</si>
  <si>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</si>
  <si>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</si>
  <si>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</si>
  <si>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</si>
  <si>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</si>
  <si>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</si>
  <si>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</si>
  <si>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</si>
  <si>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</si>
  <si>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</si>
  <si>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</si>
  <si>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</si>
  <si>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</si>
  <si>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</si>
  <si>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</si>
  <si>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</si>
  <si>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</si>
  <si>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</si>
  <si>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</si>
  <si>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</si>
  <si>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</si>
  <si>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</si>
  <si>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</si>
  <si>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</si>
  <si>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</si>
  <si>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</si>
  <si>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</si>
  <si>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</si>
  <si>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</si>
  <si>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</si>
  <si>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</si>
  <si>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</si>
  <si>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</si>
  <si>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</si>
  <si>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</si>
  <si>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</si>
  <si>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</si>
  <si>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</si>
  <si>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</si>
  <si>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</si>
  <si>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</si>
  <si>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</si>
  <si>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</si>
  <si>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</si>
  <si>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</si>
  <si>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</si>
  <si>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</si>
  <si>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</si>
  <si>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</si>
  <si>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</si>
  <si>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</si>
  <si>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</si>
  <si>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</si>
  <si>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</si>
  <si>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</si>
  <si>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</si>
  <si>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</si>
  <si>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</si>
  <si>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</si>
  <si>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</si>
  <si>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</si>
  <si>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</si>
  <si>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</si>
  <si>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</si>
  <si>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</si>
  <si>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</si>
  <si>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</si>
  <si>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</si>
  <si>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</si>
  <si>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</si>
  <si>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</si>
  <si>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</si>
  <si>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</si>
  <si>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</si>
  <si>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</si>
  <si>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</si>
  <si>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</si>
  <si>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</si>
  <si>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</si>
  <si>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</si>
  <si>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</si>
  <si>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</si>
  <si>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</si>
  <si>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</si>
  <si>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</si>
  <si>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</si>
  <si>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</si>
  <si>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</si>
  <si>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</si>
  <si>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</si>
  <si>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</si>
  <si>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</si>
  <si>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</si>
  <si>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</si>
  <si>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</si>
  <si>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</si>
  <si>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</si>
  <si>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</si>
  <si>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</si>
  <si>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</si>
  <si>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</si>
  <si>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</si>
  <si>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</si>
  <si>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</si>
  <si>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</si>
  <si>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</si>
  <si>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</si>
  <si>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</si>
  <si>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</si>
  <si>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</si>
  <si>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</si>
  <si>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</si>
  <si>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</si>
  <si>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</si>
  <si>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</si>
  <si>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</si>
  <si>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</si>
  <si>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</si>
  <si>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</si>
  <si>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</si>
  <si>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</si>
  <si>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</si>
  <si>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</si>
  <si>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</si>
  <si>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</si>
  <si>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</si>
  <si>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</si>
  <si>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</si>
  <si>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</si>
  <si>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</si>
  <si>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</si>
  <si>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</si>
  <si>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</si>
  <si>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</si>
  <si>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</si>
  <si>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</si>
  <si>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</si>
  <si>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</si>
  <si>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</si>
  <si>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</si>
  <si>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</si>
  <si>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</si>
  <si>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</si>
  <si>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</si>
  <si>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</si>
  <si>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</si>
  <si>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</si>
  <si>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</si>
  <si>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</si>
  <si>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</si>
  <si>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</si>
  <si>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</si>
  <si>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</si>
  <si>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</si>
  <si>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</si>
  <si>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</si>
  <si>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</si>
  <si>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</si>
  <si>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</si>
  <si>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</si>
  <si>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</si>
  <si>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</si>
  <si>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</si>
  <si>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</si>
  <si>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</si>
  <si>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</si>
  <si>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</si>
  <si>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</si>
  <si>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</si>
  <si>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</si>
  <si>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</si>
  <si>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</si>
  <si>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</si>
  <si>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</si>
  <si>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</si>
  <si>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</si>
  <si>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</si>
  <si>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</si>
  <si>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</si>
  <si>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</si>
  <si>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</si>
  <si>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</si>
  <si>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</si>
  <si>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</si>
  <si>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</si>
  <si>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</si>
  <si>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</si>
  <si>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</si>
  <si>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</si>
  <si>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</si>
  <si>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</si>
  <si>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</si>
  <si>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</si>
  <si>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</si>
  <si>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</si>
  <si>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</si>
  <si>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</si>
  <si>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</si>
  <si>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</si>
  <si>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</si>
  <si>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</si>
  <si>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</si>
  <si>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</si>
  <si>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</si>
  <si>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</si>
  <si>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</si>
  <si>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</si>
  <si>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</si>
  <si>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</si>
  <si>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</si>
  <si>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</si>
  <si>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</si>
  <si>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</si>
  <si>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</si>
  <si>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</si>
  <si>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</si>
  <si>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</si>
  <si>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</si>
  <si>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</si>
  <si>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</si>
  <si>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</si>
  <si>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</si>
  <si>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</si>
  <si>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</si>
  <si>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</si>
  <si>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</si>
  <si>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</si>
  <si>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</si>
  <si>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</si>
  <si>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</si>
  <si>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</si>
  <si>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</si>
  <si>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</si>
  <si>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</si>
  <si>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</si>
  <si>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</si>
  <si>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</si>
  <si>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</si>
  <si>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</si>
  <si>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</si>
  <si>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</si>
  <si>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</si>
  <si>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</si>
  <si>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</si>
  <si>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</si>
  <si>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</si>
  <si>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</si>
  <si>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</si>
  <si>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</si>
  <si>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</si>
  <si>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</si>
  <si>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</si>
  <si>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</si>
  <si>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</si>
  <si>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</si>
  <si>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</si>
  <si>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</si>
  <si>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</si>
  <si>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</si>
  <si>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</si>
  <si>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</si>
  <si>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</si>
  <si>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</si>
  <si>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</si>
  <si>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</si>
  <si>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</si>
  <si>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</si>
  <si>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</si>
  <si>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</si>
  <si>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</si>
  <si>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</si>
  <si>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</si>
  <si>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</si>
  <si>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</si>
  <si>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</si>
  <si>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</si>
  <si>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</si>
  <si>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</si>
  <si>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</si>
  <si>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</si>
  <si>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</si>
  <si>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</si>
  <si>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</si>
  <si>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</si>
  <si>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</si>
  <si>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</si>
  <si>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</si>
  <si>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</si>
  <si>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</si>
  <si>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</si>
  <si>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</si>
  <si>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</si>
  <si>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</si>
  <si>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</si>
  <si>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</si>
  <si>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</si>
  <si>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</si>
  <si>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</si>
  <si>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</si>
  <si>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</si>
  <si>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</si>
  <si>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</si>
  <si>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</si>
  <si>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</si>
  <si>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</si>
  <si>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</si>
  <si>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</si>
  <si>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</si>
  <si>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</si>
  <si>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</si>
  <si>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</si>
  <si>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</si>
  <si>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</si>
  <si>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</si>
  <si>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</si>
  <si>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</si>
  <si>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</si>
  <si>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</si>
  <si>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</si>
  <si>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</si>
  <si>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</si>
  <si>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</si>
  <si>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</si>
  <si>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</si>
  <si>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</si>
  <si>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</si>
  <si>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</si>
  <si>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</si>
  <si>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</si>
  <si>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</si>
  <si>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</si>
  <si>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</si>
  <si>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</si>
  <si>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</si>
  <si>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</si>
  <si>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</si>
  <si>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</si>
  <si>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</si>
  <si>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</si>
  <si>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</si>
  <si>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</si>
  <si>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</si>
  <si>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</si>
  <si>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</si>
  <si>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</si>
  <si>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</si>
  <si>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</si>
  <si>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</si>
  <si>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</si>
  <si>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</si>
  <si>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</si>
  <si>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</si>
  <si>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</si>
  <si>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</si>
  <si>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</si>
  <si>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</si>
  <si>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</si>
  <si>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</si>
  <si>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</si>
  <si>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</si>
  <si>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</si>
  <si>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</si>
  <si>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</si>
  <si>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</si>
  <si>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</si>
  <si>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</si>
  <si>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</si>
  <si>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</si>
  <si>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</si>
  <si>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</si>
  <si>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</si>
  <si>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</si>
  <si>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</si>
  <si>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</si>
  <si>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</si>
  <si>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</si>
  <si>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</si>
  <si>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</si>
  <si>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</si>
  <si>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</si>
  <si>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</si>
  <si>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</si>
  <si>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</si>
  <si>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</si>
  <si>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</si>
  <si>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</si>
  <si>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</si>
  <si>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</si>
  <si>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</si>
  <si>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</si>
  <si>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</si>
  <si>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</si>
  <si>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</si>
  <si>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</si>
  <si>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</si>
  <si>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</si>
  <si>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</si>
  <si>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</si>
  <si>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</si>
  <si>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</si>
  <si>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</si>
  <si>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</si>
  <si>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</si>
  <si>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</si>
  <si>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</si>
  <si>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</si>
  <si>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</si>
  <si>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</si>
  <si>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</si>
  <si>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</si>
  <si>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</si>
  <si>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</si>
  <si>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</si>
  <si>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</si>
  <si>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</si>
  <si>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</si>
  <si>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</si>
  <si>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</si>
  <si>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</si>
  <si>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</si>
  <si>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</si>
  <si>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</si>
  <si>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</si>
  <si>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</si>
  <si>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</si>
  <si>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</si>
  <si>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</si>
  <si>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</si>
  <si>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</si>
  <si>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</si>
  <si>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</si>
  <si>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</si>
  <si>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</si>
  <si>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</si>
  <si>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</si>
  <si>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</si>
  <si>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</si>
  <si>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</si>
  <si>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</si>
  <si>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</si>
  <si>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</si>
  <si>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</si>
  <si>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</si>
  <si>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</si>
  <si>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</si>
  <si>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</si>
  <si>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</si>
  <si>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</si>
  <si>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</si>
  <si>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</si>
  <si>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</si>
  <si>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</si>
  <si>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</si>
  <si>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</si>
  <si>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</si>
  <si>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</si>
  <si>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</si>
  <si>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</si>
  <si>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</si>
  <si>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</si>
  <si>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</si>
  <si>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</si>
  <si>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</si>
  <si>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</si>
  <si>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</si>
  <si>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</si>
  <si>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</si>
  <si>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</si>
  <si>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</si>
  <si>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</si>
  <si>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</si>
  <si>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</si>
  <si>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</si>
  <si>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</si>
  <si>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</si>
  <si>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</si>
  <si>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</si>
  <si>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</si>
  <si>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</si>
  <si>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</si>
  <si>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</si>
  <si>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</si>
  <si>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</si>
  <si>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</si>
  <si>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</si>
  <si>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</si>
  <si>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</si>
  <si>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</si>
  <si>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</si>
  <si>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</si>
  <si>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</si>
  <si>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</si>
  <si>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</si>
  <si>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</si>
  <si>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</si>
  <si>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</si>
  <si>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</si>
  <si>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</si>
  <si>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</si>
  <si>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</si>
  <si>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</si>
  <si>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</si>
  <si>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</si>
  <si>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</si>
  <si>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</si>
  <si>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</si>
  <si>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</si>
  <si>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</si>
  <si>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</si>
  <si>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</si>
  <si>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</si>
  <si>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</si>
  <si>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</si>
  <si>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</si>
  <si>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</si>
  <si>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</si>
  <si>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</si>
  <si>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</si>
  <si>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</si>
  <si>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</si>
  <si>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</si>
  <si>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</si>
  <si>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</si>
  <si>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</si>
  <si>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</si>
  <si>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</si>
  <si>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</si>
  <si>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</si>
  <si>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</si>
  <si>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</si>
  <si>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</si>
  <si>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</si>
  <si>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</si>
  <si>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</si>
  <si>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</si>
  <si>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</si>
  <si>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</si>
  <si>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</si>
  <si>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</si>
  <si>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</si>
  <si>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</si>
  <si>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</si>
  <si>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</si>
  <si>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</si>
  <si>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</si>
  <si>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</si>
  <si>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</si>
  <si>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</si>
  <si>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</si>
  <si>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</si>
  <si>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</si>
  <si>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</si>
  <si>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</si>
  <si>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</si>
  <si>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</si>
  <si>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</si>
  <si>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</si>
  <si>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</si>
  <si>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</si>
  <si>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</si>
  <si>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</si>
  <si>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</si>
  <si>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</si>
  <si>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</si>
  <si>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</si>
  <si>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</si>
  <si>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</si>
  <si>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</si>
  <si>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</si>
  <si>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</si>
  <si>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</si>
  <si>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</si>
  <si>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</si>
  <si>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</si>
  <si>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</si>
  <si>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</si>
  <si>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</si>
  <si>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</si>
  <si>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</si>
  <si>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</si>
  <si>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</si>
  <si>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</si>
  <si>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</si>
  <si>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</si>
  <si>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</si>
  <si>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</si>
  <si>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</si>
  <si>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</si>
  <si>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</si>
  <si>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</si>
  <si>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</si>
  <si>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</si>
  <si>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</si>
  <si>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</si>
  <si>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</si>
  <si>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</si>
  <si>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</si>
  <si>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</si>
  <si>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</si>
  <si>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</si>
  <si>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</si>
  <si>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</si>
  <si>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</si>
  <si>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</si>
  <si>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</si>
  <si>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</si>
  <si>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</si>
  <si>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</si>
  <si>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</si>
  <si>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</si>
  <si>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</si>
  <si>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</si>
  <si>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</si>
  <si>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</si>
  <si>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</si>
  <si>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</si>
  <si>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</si>
  <si>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</si>
  <si>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</si>
  <si>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</si>
  <si>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</si>
  <si>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</si>
  <si>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</si>
  <si>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</si>
  <si>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</si>
  <si>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</si>
  <si>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</si>
  <si>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</si>
  <si>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</si>
  <si>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</si>
  <si>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</si>
  <si>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</si>
  <si>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</si>
  <si>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</si>
  <si>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</si>
  <si>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</si>
  <si>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</si>
  <si>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</si>
  <si>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</si>
  <si>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</si>
  <si>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</si>
  <si>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</si>
  <si>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</si>
  <si>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</si>
  <si>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</si>
  <si>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</si>
  <si>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</si>
  <si>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</si>
  <si>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</si>
  <si>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</si>
  <si>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</si>
  <si>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</si>
  <si>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</si>
  <si>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</si>
  <si>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</si>
  <si>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</si>
  <si>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</si>
  <si>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</si>
  <si>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</si>
  <si>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</si>
  <si>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</si>
  <si>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</si>
  <si>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</si>
  <si>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</si>
  <si>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</si>
  <si>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</si>
  <si>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</si>
  <si>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</si>
  <si>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</si>
  <si>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</si>
  <si>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</si>
  <si>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</si>
  <si>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</si>
  <si>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</si>
  <si>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</si>
  <si>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</si>
  <si>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</si>
  <si>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</si>
  <si>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</si>
  <si>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</si>
  <si>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</si>
  <si>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</si>
  <si>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</si>
  <si>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</si>
  <si>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</si>
  <si>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</si>
  <si>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</si>
  <si>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</si>
  <si>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</si>
  <si>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</si>
  <si>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</si>
  <si>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</si>
  <si>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</si>
  <si>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</si>
  <si>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</si>
  <si>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</si>
  <si>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</si>
  <si>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</si>
  <si>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</si>
  <si>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</si>
  <si>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</si>
  <si>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</si>
  <si>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</si>
  <si>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</si>
  <si>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</si>
  <si>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</si>
  <si>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</si>
  <si>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</si>
  <si>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</si>
  <si>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</si>
  <si>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</si>
  <si>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</si>
  <si>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</si>
  <si>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</si>
  <si>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</si>
  <si>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</si>
  <si>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</si>
  <si>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</si>
  <si>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</si>
  <si>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</si>
  <si>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</si>
  <si>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</si>
  <si>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</si>
  <si>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</si>
  <si>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</si>
  <si>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</si>
  <si>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</si>
  <si>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</si>
  <si>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</si>
  <si>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</si>
  <si>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</si>
  <si>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</si>
  <si>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</si>
  <si>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</si>
  <si>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</si>
  <si>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</si>
  <si>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</si>
  <si>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</si>
  <si>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</si>
  <si>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</si>
  <si>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</si>
  <si>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</si>
  <si>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</si>
  <si>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</si>
  <si>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</si>
  <si>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</si>
  <si>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</si>
  <si>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</si>
  <si>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</si>
  <si>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</si>
  <si>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</si>
  <si>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</si>
  <si>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</si>
  <si>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</si>
  <si>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</si>
  <si>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</si>
  <si>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</si>
  <si>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</si>
  <si>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</si>
  <si>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</si>
  <si>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</si>
  <si>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</si>
  <si>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</si>
  <si>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</si>
  <si>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</si>
  <si>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</si>
  <si>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</si>
  <si>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</si>
  <si>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</si>
  <si>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</si>
  <si>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</si>
  <si>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</si>
  <si>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</si>
  <si>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</si>
  <si>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</si>
  <si>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</si>
  <si>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</si>
  <si>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</si>
  <si>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</si>
  <si>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</si>
  <si>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</si>
  <si>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</si>
  <si>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</si>
  <si>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</si>
  <si>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</si>
  <si>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</si>
  <si>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</si>
  <si>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</si>
  <si>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</si>
  <si>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</si>
  <si>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</si>
  <si>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</si>
  <si>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</si>
  <si>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</si>
  <si>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</si>
  <si>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</si>
  <si>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</si>
  <si>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</si>
  <si>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</si>
  <si>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</si>
  <si>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</si>
  <si>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</si>
  <si>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</si>
  <si>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</si>
  <si>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</si>
  <si>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</si>
  <si>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</si>
  <si>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</si>
  <si>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</si>
  <si>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</si>
  <si>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</si>
  <si>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</si>
  <si>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</si>
  <si>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</si>
  <si>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</si>
  <si>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</si>
  <si>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</si>
  <si>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</si>
  <si>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</si>
  <si>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</si>
  <si>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</si>
  <si>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</si>
  <si>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</si>
  <si>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</si>
  <si>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</si>
  <si>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</si>
  <si>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</si>
  <si>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</si>
  <si>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</si>
  <si>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</si>
  <si>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</si>
  <si>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</si>
  <si>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</si>
  <si>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</si>
  <si>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</si>
  <si>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</si>
  <si>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</si>
  <si>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</si>
  <si>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</si>
  <si>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</si>
  <si>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</si>
  <si>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</si>
  <si>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</si>
  <si>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</si>
  <si>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</si>
  <si>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</si>
  <si>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</si>
  <si>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</si>
  <si>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</si>
  <si>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</si>
  <si>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</si>
  <si>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</si>
  <si>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</si>
  <si>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</si>
  <si>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</si>
  <si>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</si>
  <si>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</si>
  <si>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</si>
  <si>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</si>
  <si>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</si>
  <si>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</si>
  <si>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</si>
  <si>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</si>
  <si>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</si>
  <si>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</si>
  <si>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</si>
  <si>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</si>
  <si>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</si>
  <si>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</si>
  <si>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</si>
  <si>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</si>
  <si>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</si>
  <si>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</si>
  <si>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</si>
  <si>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</si>
  <si>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</si>
  <si>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</si>
  <si>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</si>
  <si>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</si>
  <si>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</si>
  <si>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</si>
  <si>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</si>
  <si>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</si>
  <si>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</si>
  <si>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</si>
  <si>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</si>
  <si>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</si>
  <si>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</si>
  <si>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</si>
  <si>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</si>
  <si>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</si>
  <si>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</si>
  <si>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</si>
  <si>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</si>
  <si>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</si>
  <si>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</si>
  <si>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</si>
  <si>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</si>
  <si>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</si>
  <si>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</si>
  <si>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</si>
  <si>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</si>
  <si>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</si>
  <si>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</si>
  <si>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</si>
  <si>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</si>
  <si>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</si>
  <si>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</si>
  <si>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</si>
  <si>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</si>
  <si>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</si>
  <si>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</si>
  <si>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</si>
  <si>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</si>
  <si>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</si>
  <si>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</si>
  <si>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</si>
  <si>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</si>
  <si>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</si>
  <si>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</si>
  <si>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</si>
  <si>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</si>
  <si>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</si>
  <si>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</si>
  <si>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</si>
  <si>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</si>
  <si>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</si>
  <si>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</si>
  <si>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</si>
  <si>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</si>
  <si>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</si>
  <si>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</si>
  <si>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</si>
  <si>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</si>
  <si>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</si>
  <si>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</si>
  <si>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</si>
  <si>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</si>
  <si>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</si>
  <si>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</si>
  <si>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</si>
  <si>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</si>
  <si>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</si>
  <si>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</si>
  <si>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</si>
  <si>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</si>
  <si>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</si>
  <si>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</si>
  <si>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</si>
  <si>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</si>
  <si>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</si>
  <si>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</si>
  <si>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</si>
  <si>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</si>
  <si>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</si>
  <si>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</si>
  <si>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</si>
  <si>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</si>
  <si>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</si>
  <si>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</si>
  <si>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</si>
  <si>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</si>
  <si>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</si>
  <si>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</si>
  <si>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</si>
  <si>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</si>
  <si>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</si>
  <si>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</si>
  <si>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</si>
  <si>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</si>
  <si>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</si>
  <si>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</si>
  <si>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</si>
  <si>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</si>
  <si>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</si>
  <si>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</si>
  <si>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</si>
  <si>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</si>
  <si>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</si>
  <si>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</si>
  <si>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</si>
  <si>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</si>
  <si>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</si>
  <si>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F474 Reserved for encumbrances &amp; UFB remaing to City</t>
  </si>
  <si>
    <t>I474 Transfer to City 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</si>
</sst>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6" zoomScale="106" zoomScaleNormal="106"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1000</v>
      </c>
      <c r="B2">
        <f>INDEX('School Tables'!$AH$3:$AH$209,MATCH('DOE25'!A2,'School Tables'!$AJ$3:$AJ$209,0))</f>
        <v>141</v>
      </c>
      <c r="C2">
        <f>INDEX('School Tables'!$AI$3:$AI$209,MATCH('DOE25'!A2,'School Tables'!$AJ$3:$AJ$209,0))</f>
        <v>141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v>1032257.52</v>
      </c>
      <c r="H18" s="102">
        <v>1442086.0699999966</v>
      </c>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0</v>
      </c>
      <c r="G19" s="38">
        <f>SUM(G9:G18)</f>
        <v>1032257.52</v>
      </c>
      <c r="H19" s="38">
        <f>SUM(H9:H18)</f>
        <v>1442086.0699999966</v>
      </c>
      <c r="I19" s="38">
        <f>SUM(I9:I18)</f>
        <v>0</v>
      </c>
      <c r="J19" s="38">
        <f>SUM(J9:J18)</f>
        <v>0</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0</v>
      </c>
      <c r="G32" s="38">
        <f>SUM(G22:G31)</f>
        <v>0</v>
      </c>
      <c r="H32" s="38">
        <f>SUM(H22:H31)</f>
        <v>0</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v>1032257.52</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v>1442086.0699999966</v>
      </c>
      <c r="I48" s="18"/>
      <c r="J48" s="13">
        <f>SUM(I460)</f>
        <v>0</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0</v>
      </c>
      <c r="G51" s="38">
        <f>SUM(G35:G50)</f>
        <v>1032257.52</v>
      </c>
      <c r="H51" s="38">
        <f>SUM(H35:H50)</f>
        <v>1442086.0699999966</v>
      </c>
      <c r="I51" s="38">
        <f>SUM(I35:I50)</f>
        <v>0</v>
      </c>
      <c r="J51" s="38">
        <f>SUM(J35:J50)</f>
        <v>0</v>
      </c>
      <c r="K51" s="42" t="s">
        <v>288</v>
      </c>
      <c r="L51" s="42" t="s">
        <v>288</v>
      </c>
      <c r="N51" s="131"/>
    </row>
    <row r="52" spans="1:14" s="3" customFormat="1" ht="12.2" customHeight="1" thickTop="1" x14ac:dyDescent="0.15">
      <c r="A52" s="35" t="s">
        <v>455</v>
      </c>
      <c r="B52" s="36" t="s">
        <v>289</v>
      </c>
      <c r="C52" s="6">
        <v>37</v>
      </c>
      <c r="D52" s="36" t="s">
        <v>653</v>
      </c>
      <c r="E52" s="36"/>
      <c r="F52" s="38">
        <f>F51+F32</f>
        <v>0</v>
      </c>
      <c r="G52" s="38">
        <f>G51+G32</f>
        <v>1032257.52</v>
      </c>
      <c r="H52" s="38">
        <f>H51+H32</f>
        <v>1442086.0699999966</v>
      </c>
      <c r="I52" s="38">
        <f>I51+I32</f>
        <v>0</v>
      </c>
      <c r="J52" s="38">
        <f>J51+J32</f>
        <v>0</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48960527</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48960527</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0</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v>129694.48</v>
      </c>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5103019.33</v>
      </c>
      <c r="G68" s="23" t="s">
        <v>288</v>
      </c>
      <c r="H68" s="18">
        <v>189911.15</v>
      </c>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352273.77</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171172.84</v>
      </c>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v>55245.78</v>
      </c>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5681711.7199999997</v>
      </c>
      <c r="G79" s="42" t="s">
        <v>288</v>
      </c>
      <c r="H79" s="38">
        <f>SUM(H63:H78)</f>
        <v>319605.63</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132200</v>
      </c>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132200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c r="G96" s="18"/>
      <c r="H96" s="18"/>
      <c r="I96" s="18"/>
      <c r="J96" s="18"/>
      <c r="K96" s="23" t="s">
        <v>288</v>
      </c>
      <c r="L96" s="23" t="s">
        <v>288</v>
      </c>
      <c r="M96" s="8"/>
      <c r="N96" s="165"/>
    </row>
    <row r="97" spans="1:14" s="3" customFormat="1" ht="12.2" customHeight="1" x14ac:dyDescent="0.15">
      <c r="A97" s="1" t="s">
        <v>503</v>
      </c>
      <c r="B97" s="2" t="s">
        <v>315</v>
      </c>
      <c r="C97" s="6">
        <v>12</v>
      </c>
      <c r="D97" s="2" t="s">
        <v>430</v>
      </c>
      <c r="E97" s="6">
        <v>1600</v>
      </c>
      <c r="F97" s="23" t="s">
        <v>288</v>
      </c>
      <c r="G97" s="18">
        <v>858008.69000000018</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v>66683.960000000006</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v>70033.960000000006</v>
      </c>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12131.46</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v>67488</v>
      </c>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123277.66</v>
      </c>
      <c r="G110" s="18"/>
      <c r="H110" s="18">
        <v>3631.1</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123277.66</v>
      </c>
      <c r="G111" s="38">
        <f>SUM(G96:G110)</f>
        <v>858008.69000000018</v>
      </c>
      <c r="H111" s="38">
        <f>SUM(H96:H110)</f>
        <v>219968.48</v>
      </c>
      <c r="I111" s="38">
        <f>SUM(I96:I110)</f>
        <v>0</v>
      </c>
      <c r="J111" s="38">
        <f>SUM(J96:J110)</f>
        <v>0</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54897716.379999995</v>
      </c>
      <c r="G112" s="38">
        <f>G60+G111</f>
        <v>858008.69000000018</v>
      </c>
      <c r="H112" s="38">
        <f>H60+H79+H94+H111</f>
        <v>539574.11</v>
      </c>
      <c r="I112" s="38">
        <f>I60+I111</f>
        <v>0</v>
      </c>
      <c r="J112" s="38">
        <f>J60+J111</f>
        <v>0</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f>12174078.86-2839.99-352159.99</f>
        <v>11819078.879999999</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5076041</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2839.99+352159.99</f>
        <v>354999.98</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17250119.859999999</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389462.17</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1310222.7</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416077.9</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5040.8</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24750.94</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v>45270.29</v>
      </c>
      <c r="G135" s="18"/>
      <c r="H135" s="18">
        <v>34153</v>
      </c>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2166073.86</v>
      </c>
      <c r="G136" s="38">
        <f>SUM(G123:G135)</f>
        <v>24750.94</v>
      </c>
      <c r="H136" s="38">
        <f>SUM(H123:H135)</f>
        <v>34153</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19416193.719999999</v>
      </c>
      <c r="G140" s="38">
        <f>G121+SUM(G136:G137)</f>
        <v>24750.94</v>
      </c>
      <c r="H140" s="38">
        <f>H121+SUM(H136:H139)</f>
        <v>34153</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v>119450.4</v>
      </c>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v>245023.77</v>
      </c>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245023.77</v>
      </c>
      <c r="G147" s="38">
        <f>SUM(G145:G146)</f>
        <v>119450.4</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895824.19000000006</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301387.82000000007</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75464.08</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f>673850.77-3529.75</f>
        <v>670321.02</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703430.65</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1104302.44</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187865.15</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v>120831.74</v>
      </c>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1648703.4899999998</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187865.15</v>
      </c>
      <c r="G163" s="38">
        <f>SUM(G150:G162)</f>
        <v>824262.39</v>
      </c>
      <c r="H163" s="38">
        <f>SUM(H150:H162)</f>
        <v>4696003.04</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v>66299.39</v>
      </c>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432888.92</v>
      </c>
      <c r="G170" s="38">
        <f>G147+G163+SUM(G164:G169)</f>
        <v>943712.79</v>
      </c>
      <c r="H170" s="38">
        <f>H147+H163+SUM(H164:H169)</f>
        <v>4762302.43</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33736.620000000003</v>
      </c>
      <c r="H180" s="18"/>
      <c r="I180" s="18">
        <v>325000</v>
      </c>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33736.620000000003</v>
      </c>
      <c r="H184" s="38">
        <f>SUM(H180:H183)</f>
        <v>0</v>
      </c>
      <c r="I184" s="38">
        <f>SUM(I180:I183)</f>
        <v>325000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33736.620000000003</v>
      </c>
      <c r="H193" s="38">
        <f>+H184+SUM(H189:H192)</f>
        <v>0</v>
      </c>
      <c r="I193" s="38">
        <f>I178+I184+SUM(I189:I192)</f>
        <v>325000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74746799.019999996</v>
      </c>
      <c r="G194" s="38">
        <f>G112+G140+G170+G193</f>
        <v>1860209.0400000003</v>
      </c>
      <c r="H194" s="38">
        <f>H112+H140+H170+H193</f>
        <v>5336029.54</v>
      </c>
      <c r="I194" s="38">
        <f>I112+I140+I170+I193</f>
        <v>325000</v>
      </c>
      <c r="J194" s="38">
        <f>J112+J140+J193</f>
        <v>0</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5984339.869384869</v>
      </c>
      <c r="G198" s="18">
        <v>3678884.9217118528</v>
      </c>
      <c r="H198" s="18">
        <v>358.88</v>
      </c>
      <c r="I198" s="18">
        <v>172247.27408330509</v>
      </c>
      <c r="J198" s="18">
        <v>10959.89</v>
      </c>
      <c r="K198" s="18">
        <v>244.32549491414201</v>
      </c>
      <c r="L198" s="13">
        <f>SUM(F198:K198)</f>
        <v>9847035.1606749408</v>
      </c>
      <c r="M198" s="8"/>
      <c r="N198" s="165"/>
    </row>
    <row r="199" spans="1:14" s="3" customFormat="1" ht="12.2" customHeight="1" x14ac:dyDescent="0.15">
      <c r="A199" s="1" t="s">
        <v>439</v>
      </c>
      <c r="B199" s="2" t="s">
        <v>341</v>
      </c>
      <c r="C199" s="2" t="s">
        <v>291</v>
      </c>
      <c r="D199" s="2" t="s">
        <v>431</v>
      </c>
      <c r="E199" s="6">
        <v>1200</v>
      </c>
      <c r="F199" s="18">
        <v>2706142.4825076093</v>
      </c>
      <c r="G199" s="18">
        <v>918401.69801511499</v>
      </c>
      <c r="H199" s="18">
        <v>1593791.591739729</v>
      </c>
      <c r="I199" s="18">
        <v>18320.850011524213</v>
      </c>
      <c r="J199" s="18">
        <v>2483.3600852578147</v>
      </c>
      <c r="K199" s="18">
        <v>9694.8607293864698</v>
      </c>
      <c r="L199" s="13">
        <f>SUM(F199:K199)</f>
        <v>5248834.8430886213</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6410.0920665949961</v>
      </c>
      <c r="G201" s="18">
        <v>1159.830344792631</v>
      </c>
      <c r="H201" s="18">
        <v>517.50586214163582</v>
      </c>
      <c r="I201" s="18">
        <v>1252.9914662156577</v>
      </c>
      <c r="J201" s="18">
        <v>0</v>
      </c>
      <c r="K201" s="18">
        <v>0</v>
      </c>
      <c r="L201" s="13">
        <f>SUM(F201:K201)</f>
        <v>9340.4197397449207</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1201212.9152081963</v>
      </c>
      <c r="G203" s="18">
        <v>836568.96893208998</v>
      </c>
      <c r="H203" s="18">
        <v>151469.3193422397</v>
      </c>
      <c r="I203" s="18">
        <v>6818.3300000000008</v>
      </c>
      <c r="J203" s="18">
        <v>3577.75</v>
      </c>
      <c r="K203" s="18">
        <v>0</v>
      </c>
      <c r="L203" s="13">
        <f t="shared" ref="L203:L209" si="0">SUM(F203:K203)</f>
        <v>2199647.283482526</v>
      </c>
      <c r="M203" s="8"/>
      <c r="N203" s="165"/>
    </row>
    <row r="204" spans="1:14" s="3" customFormat="1" ht="12.2" customHeight="1" x14ac:dyDescent="0.15">
      <c r="A204" s="1" t="s">
        <v>443</v>
      </c>
      <c r="B204" s="2" t="s">
        <v>341</v>
      </c>
      <c r="C204" s="2" t="s">
        <v>295</v>
      </c>
      <c r="D204" s="2" t="s">
        <v>431</v>
      </c>
      <c r="E204" s="6">
        <v>2200</v>
      </c>
      <c r="F204" s="18">
        <v>287617.05499385111</v>
      </c>
      <c r="G204" s="18">
        <v>202858.52212274881</v>
      </c>
      <c r="H204" s="18">
        <v>12962.437942981836</v>
      </c>
      <c r="I204" s="18">
        <v>85810.25658424545</v>
      </c>
      <c r="J204" s="18">
        <v>458.96</v>
      </c>
      <c r="K204" s="18">
        <v>336.22199043383853</v>
      </c>
      <c r="L204" s="13">
        <f t="shared" si="0"/>
        <v>590043.45363426104</v>
      </c>
      <c r="M204" s="8"/>
      <c r="N204" s="165"/>
    </row>
    <row r="205" spans="1:14" s="3" customFormat="1" ht="12.2" customHeight="1" x14ac:dyDescent="0.15">
      <c r="A205" s="1" t="s">
        <v>444</v>
      </c>
      <c r="B205" s="2" t="s">
        <v>341</v>
      </c>
      <c r="C205" s="2" t="s">
        <v>296</v>
      </c>
      <c r="D205" s="2" t="s">
        <v>431</v>
      </c>
      <c r="E205" s="6">
        <v>2300</v>
      </c>
      <c r="F205" s="18">
        <v>214484.12783518247</v>
      </c>
      <c r="G205" s="18">
        <v>122197.69321656182</v>
      </c>
      <c r="H205" s="18">
        <v>250911.36867554279</v>
      </c>
      <c r="I205" s="18">
        <v>2764.8613194687127</v>
      </c>
      <c r="J205" s="18">
        <v>136.42709085719318</v>
      </c>
      <c r="K205" s="18">
        <v>5276.6183627618639</v>
      </c>
      <c r="L205" s="13">
        <f t="shared" si="0"/>
        <v>595771.09650037484</v>
      </c>
      <c r="M205" s="8"/>
      <c r="N205" s="165"/>
    </row>
    <row r="206" spans="1:14" s="3" customFormat="1" ht="12.2" customHeight="1" x14ac:dyDescent="0.15">
      <c r="A206" s="1" t="s">
        <v>445</v>
      </c>
      <c r="B206" s="2" t="s">
        <v>341</v>
      </c>
      <c r="C206" s="2" t="s">
        <v>297</v>
      </c>
      <c r="D206" s="2" t="s">
        <v>431</v>
      </c>
      <c r="E206" s="6">
        <v>2400</v>
      </c>
      <c r="F206" s="18">
        <v>813157.54999999993</v>
      </c>
      <c r="G206" s="18">
        <v>453707.62000000011</v>
      </c>
      <c r="H206" s="18">
        <v>7339.5918853287731</v>
      </c>
      <c r="I206" s="18">
        <v>1367.56</v>
      </c>
      <c r="J206" s="18">
        <v>199.99</v>
      </c>
      <c r="K206" s="18">
        <v>6589.9</v>
      </c>
      <c r="L206" s="13">
        <f t="shared" si="0"/>
        <v>1282362.2118853286</v>
      </c>
      <c r="M206" s="8"/>
      <c r="N206" s="165"/>
    </row>
    <row r="207" spans="1:14" s="3" customFormat="1" ht="12.2" customHeight="1" x14ac:dyDescent="0.15">
      <c r="A207" s="1" t="s">
        <v>446</v>
      </c>
      <c r="B207" s="2" t="s">
        <v>341</v>
      </c>
      <c r="C207" s="2" t="s">
        <v>298</v>
      </c>
      <c r="D207" s="2" t="s">
        <v>431</v>
      </c>
      <c r="E207" s="6">
        <v>2500</v>
      </c>
      <c r="F207" s="18">
        <v>0</v>
      </c>
      <c r="G207" s="18">
        <v>0</v>
      </c>
      <c r="H207" s="18">
        <v>134.65502532925365</v>
      </c>
      <c r="I207" s="18">
        <v>0</v>
      </c>
      <c r="J207" s="18">
        <v>0</v>
      </c>
      <c r="K207" s="18">
        <v>0</v>
      </c>
      <c r="L207" s="13">
        <f t="shared" si="0"/>
        <v>134.65502532925365</v>
      </c>
      <c r="M207" s="8"/>
      <c r="N207" s="165"/>
    </row>
    <row r="208" spans="1:14" s="3" customFormat="1" ht="12.2" customHeight="1" x14ac:dyDescent="0.15">
      <c r="A208" s="1" t="s">
        <v>447</v>
      </c>
      <c r="B208" s="2" t="s">
        <v>341</v>
      </c>
      <c r="C208" s="2" t="s">
        <v>299</v>
      </c>
      <c r="D208" s="2" t="s">
        <v>431</v>
      </c>
      <c r="E208" s="6">
        <v>2600</v>
      </c>
      <c r="F208" s="18">
        <v>0</v>
      </c>
      <c r="G208" s="18">
        <v>0</v>
      </c>
      <c r="H208" s="18">
        <v>1333628.9630808858</v>
      </c>
      <c r="I208" s="18">
        <v>347985.70200137113</v>
      </c>
      <c r="J208" s="18">
        <v>29939.279999999999</v>
      </c>
      <c r="K208" s="18">
        <v>0</v>
      </c>
      <c r="L208" s="13">
        <f t="shared" si="0"/>
        <v>1711553.945082257</v>
      </c>
      <c r="M208" s="8"/>
      <c r="N208" s="165"/>
    </row>
    <row r="209" spans="1:14" s="3" customFormat="1" ht="12.2" customHeight="1" x14ac:dyDescent="0.15">
      <c r="A209" s="1" t="s">
        <v>448</v>
      </c>
      <c r="B209" s="2" t="s">
        <v>341</v>
      </c>
      <c r="C209" s="2" t="s">
        <v>300</v>
      </c>
      <c r="D209" s="2" t="s">
        <v>431</v>
      </c>
      <c r="E209" s="6">
        <v>2700</v>
      </c>
      <c r="F209" s="18">
        <v>1486.6532039705173</v>
      </c>
      <c r="G209" s="18">
        <v>112.96055230844337</v>
      </c>
      <c r="H209" s="18">
        <v>962310.09566052142</v>
      </c>
      <c r="I209" s="18">
        <v>0</v>
      </c>
      <c r="J209" s="18">
        <v>0</v>
      </c>
      <c r="K209" s="18">
        <v>0</v>
      </c>
      <c r="L209" s="13">
        <f t="shared" si="0"/>
        <v>963909.70941680041</v>
      </c>
      <c r="M209" s="8"/>
      <c r="N209" s="165"/>
    </row>
    <row r="210" spans="1:14" s="3" customFormat="1" ht="12.2" customHeight="1" x14ac:dyDescent="0.15">
      <c r="A210" s="1" t="s">
        <v>449</v>
      </c>
      <c r="B210" s="2" t="s">
        <v>341</v>
      </c>
      <c r="C210" s="2" t="s">
        <v>343</v>
      </c>
      <c r="D210" s="2" t="s">
        <v>431</v>
      </c>
      <c r="E210" s="6">
        <v>2800</v>
      </c>
      <c r="F210" s="18">
        <v>95564.896983271232</v>
      </c>
      <c r="G210" s="18">
        <v>103062.17835419875</v>
      </c>
      <c r="H210" s="18">
        <v>105451.3164280284</v>
      </c>
      <c r="I210" s="18">
        <v>129037.43019492457</v>
      </c>
      <c r="J210" s="18">
        <v>1314.1512499233054</v>
      </c>
      <c r="K210" s="18">
        <v>1866.3143228326085</v>
      </c>
      <c r="L210" s="13">
        <f>SUM(F210:K210)</f>
        <v>436296.28753317887</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11310415.642183546</v>
      </c>
      <c r="G212" s="38">
        <f t="shared" si="1"/>
        <v>6316954.39324967</v>
      </c>
      <c r="H212" s="38">
        <f t="shared" si="1"/>
        <v>4418875.7256427286</v>
      </c>
      <c r="I212" s="38">
        <f t="shared" si="1"/>
        <v>765605.25566105486</v>
      </c>
      <c r="J212" s="38">
        <f t="shared" si="1"/>
        <v>49069.808426038318</v>
      </c>
      <c r="K212" s="38">
        <f t="shared" si="1"/>
        <v>24008.240900328921</v>
      </c>
      <c r="L212" s="38">
        <f t="shared" si="1"/>
        <v>22884929.066063367</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4315163.2525234288</v>
      </c>
      <c r="G216" s="18">
        <v>2553048.3128374633</v>
      </c>
      <c r="H216" s="18">
        <v>10055</v>
      </c>
      <c r="I216" s="18">
        <v>98757.908315357869</v>
      </c>
      <c r="J216" s="18">
        <v>2344.52</v>
      </c>
      <c r="K216" s="18">
        <v>220.35054139779066</v>
      </c>
      <c r="L216" s="13">
        <f>SUM(F216:K216)</f>
        <v>6979589.3442176478</v>
      </c>
      <c r="M216" s="8"/>
      <c r="N216" s="165"/>
    </row>
    <row r="217" spans="1:14" s="3" customFormat="1" ht="12.2" customHeight="1" x14ac:dyDescent="0.15">
      <c r="A217" s="1" t="s">
        <v>439</v>
      </c>
      <c r="B217" s="2" t="s">
        <v>346</v>
      </c>
      <c r="C217" s="2" t="s">
        <v>291</v>
      </c>
      <c r="D217" s="2" t="s">
        <v>431</v>
      </c>
      <c r="E217" s="6">
        <v>1200</v>
      </c>
      <c r="F217" s="18">
        <v>1575016.3974433062</v>
      </c>
      <c r="G217" s="18">
        <v>672787.54308808828</v>
      </c>
      <c r="H217" s="18">
        <v>1958564.7498777953</v>
      </c>
      <c r="I217" s="18">
        <v>17629.182298012878</v>
      </c>
      <c r="J217" s="18">
        <v>2239.6751491878367</v>
      </c>
      <c r="K217" s="18">
        <v>8743.532111731487</v>
      </c>
      <c r="L217" s="13">
        <f>SUM(F217:K217)</f>
        <v>4234981.0799681218</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34856.690983239212</v>
      </c>
      <c r="G219" s="18">
        <v>5773.790235686105</v>
      </c>
      <c r="H219" s="18">
        <v>5041.7245100209948</v>
      </c>
      <c r="I219" s="18">
        <v>2941.2190409296195</v>
      </c>
      <c r="J219" s="18">
        <v>5751.11</v>
      </c>
      <c r="K219" s="18">
        <v>425</v>
      </c>
      <c r="L219" s="13">
        <f>SUM(F219:K219)</f>
        <v>54789.534769875929</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579614.78373805899</v>
      </c>
      <c r="G221" s="18">
        <v>349463.01038414042</v>
      </c>
      <c r="H221" s="18">
        <v>88851.679948834644</v>
      </c>
      <c r="I221" s="18">
        <v>2617.1400000000003</v>
      </c>
      <c r="J221" s="18">
        <v>679.96</v>
      </c>
      <c r="K221" s="18">
        <v>0</v>
      </c>
      <c r="L221" s="13">
        <f t="shared" ref="L221:L227" si="2">SUM(F221:K221)</f>
        <v>1021226.574071034</v>
      </c>
      <c r="M221" s="8"/>
      <c r="N221" s="165"/>
    </row>
    <row r="222" spans="1:14" s="3" customFormat="1" ht="12.2" customHeight="1" x14ac:dyDescent="0.15">
      <c r="A222" s="1" t="s">
        <v>443</v>
      </c>
      <c r="B222" s="2" t="s">
        <v>346</v>
      </c>
      <c r="C222" s="2" t="s">
        <v>295</v>
      </c>
      <c r="D222" s="2" t="s">
        <v>431</v>
      </c>
      <c r="E222" s="6">
        <v>2200</v>
      </c>
      <c r="F222" s="18">
        <v>120261.40395904638</v>
      </c>
      <c r="G222" s="18">
        <v>54101.257365917678</v>
      </c>
      <c r="H222" s="18">
        <v>9831.0694449705625</v>
      </c>
      <c r="I222" s="18">
        <v>65521.500725091573</v>
      </c>
      <c r="J222" s="18">
        <v>0</v>
      </c>
      <c r="K222" s="18">
        <v>303.22949984394302</v>
      </c>
      <c r="L222" s="13">
        <f t="shared" si="2"/>
        <v>250018.46099487011</v>
      </c>
      <c r="M222" s="8"/>
      <c r="N222" s="165"/>
    </row>
    <row r="223" spans="1:14" s="3" customFormat="1" ht="12.2" customHeight="1" x14ac:dyDescent="0.15">
      <c r="A223" s="1" t="s">
        <v>444</v>
      </c>
      <c r="B223" s="2" t="s">
        <v>346</v>
      </c>
      <c r="C223" s="2" t="s">
        <v>296</v>
      </c>
      <c r="D223" s="2" t="s">
        <v>431</v>
      </c>
      <c r="E223" s="6">
        <v>2300</v>
      </c>
      <c r="F223" s="18">
        <v>193437.42128230847</v>
      </c>
      <c r="G223" s="18">
        <v>110206.78733217204</v>
      </c>
      <c r="H223" s="18">
        <v>225353.22515268243</v>
      </c>
      <c r="I223" s="18">
        <v>2493.5534822054992</v>
      </c>
      <c r="J223" s="18">
        <v>123.03989537511039</v>
      </c>
      <c r="K223" s="18">
        <v>4758.8390781432154</v>
      </c>
      <c r="L223" s="13">
        <f t="shared" si="2"/>
        <v>536372.86622288683</v>
      </c>
      <c r="M223" s="8"/>
      <c r="N223" s="165"/>
    </row>
    <row r="224" spans="1:14" s="3" customFormat="1" ht="12.2" customHeight="1" x14ac:dyDescent="0.15">
      <c r="A224" s="1" t="s">
        <v>445</v>
      </c>
      <c r="B224" s="2" t="s">
        <v>346</v>
      </c>
      <c r="C224" s="2" t="s">
        <v>297</v>
      </c>
      <c r="D224" s="2" t="s">
        <v>431</v>
      </c>
      <c r="E224" s="6">
        <v>2400</v>
      </c>
      <c r="F224" s="18">
        <v>467097.64</v>
      </c>
      <c r="G224" s="18">
        <v>250294.62000000002</v>
      </c>
      <c r="H224" s="18">
        <v>4444.2681707450456</v>
      </c>
      <c r="I224" s="18">
        <v>1347.73</v>
      </c>
      <c r="J224" s="18">
        <v>292.44</v>
      </c>
      <c r="K224" s="18">
        <v>2513.9899999999998</v>
      </c>
      <c r="L224" s="13">
        <f t="shared" si="2"/>
        <v>725990.68817074492</v>
      </c>
      <c r="M224" s="8"/>
      <c r="N224" s="165"/>
    </row>
    <row r="225" spans="1:14" s="3" customFormat="1" ht="12.2" customHeight="1" x14ac:dyDescent="0.15">
      <c r="A225" s="1" t="s">
        <v>446</v>
      </c>
      <c r="B225" s="2" t="s">
        <v>346</v>
      </c>
      <c r="C225" s="2" t="s">
        <v>298</v>
      </c>
      <c r="D225" s="2" t="s">
        <v>431</v>
      </c>
      <c r="E225" s="6">
        <v>2500</v>
      </c>
      <c r="F225" s="18">
        <v>0</v>
      </c>
      <c r="G225" s="18">
        <v>0</v>
      </c>
      <c r="H225" s="18">
        <v>121.44171750746273</v>
      </c>
      <c r="I225" s="18">
        <v>0</v>
      </c>
      <c r="J225" s="18">
        <v>0</v>
      </c>
      <c r="K225" s="18">
        <v>0</v>
      </c>
      <c r="L225" s="13">
        <f t="shared" si="2"/>
        <v>121.44171750746273</v>
      </c>
      <c r="M225" s="8"/>
      <c r="N225" s="165"/>
    </row>
    <row r="226" spans="1:14" s="3" customFormat="1" ht="12.2" customHeight="1" x14ac:dyDescent="0.15">
      <c r="A226" s="1" t="s">
        <v>447</v>
      </c>
      <c r="B226" s="2" t="s">
        <v>346</v>
      </c>
      <c r="C226" s="2" t="s">
        <v>299</v>
      </c>
      <c r="D226" s="2" t="s">
        <v>431</v>
      </c>
      <c r="E226" s="6">
        <v>2600</v>
      </c>
      <c r="F226" s="18">
        <v>0</v>
      </c>
      <c r="G226" s="18">
        <v>0</v>
      </c>
      <c r="H226" s="18">
        <v>1365471.992129178</v>
      </c>
      <c r="I226" s="18">
        <v>324500.10575490241</v>
      </c>
      <c r="J226" s="18">
        <v>2209.94</v>
      </c>
      <c r="K226" s="18">
        <v>0</v>
      </c>
      <c r="L226" s="13">
        <f t="shared" si="2"/>
        <v>1692182.0378840803</v>
      </c>
      <c r="M226" s="8"/>
      <c r="N226" s="165"/>
    </row>
    <row r="227" spans="1:14" s="3" customFormat="1" ht="12.2" customHeight="1" x14ac:dyDescent="0.15">
      <c r="A227" s="1" t="s">
        <v>448</v>
      </c>
      <c r="B227" s="2" t="s">
        <v>346</v>
      </c>
      <c r="C227" s="2" t="s">
        <v>300</v>
      </c>
      <c r="D227" s="2" t="s">
        <v>431</v>
      </c>
      <c r="E227" s="6">
        <v>2700</v>
      </c>
      <c r="F227" s="18">
        <v>1340.7722287875838</v>
      </c>
      <c r="G227" s="18">
        <v>101.87606032070384</v>
      </c>
      <c r="H227" s="18">
        <v>983419.80393506435</v>
      </c>
      <c r="I227" s="18">
        <v>0</v>
      </c>
      <c r="J227" s="18">
        <v>0</v>
      </c>
      <c r="K227" s="18">
        <v>0</v>
      </c>
      <c r="L227" s="13">
        <f t="shared" si="2"/>
        <v>984862.45222417265</v>
      </c>
      <c r="M227" s="8"/>
      <c r="N227" s="165"/>
    </row>
    <row r="228" spans="1:14" s="3" customFormat="1" ht="12.2" customHeight="1" x14ac:dyDescent="0.15">
      <c r="A228" s="1" t="s">
        <v>449</v>
      </c>
      <c r="B228" s="2" t="s">
        <v>346</v>
      </c>
      <c r="C228" s="2" t="s">
        <v>343</v>
      </c>
      <c r="D228" s="2" t="s">
        <v>431</v>
      </c>
      <c r="E228" s="6">
        <v>2800</v>
      </c>
      <c r="F228" s="18">
        <v>88087.390293787321</v>
      </c>
      <c r="G228" s="18">
        <v>91967.631815036439</v>
      </c>
      <c r="H228" s="18">
        <v>95103.684018694839</v>
      </c>
      <c r="I228" s="18">
        <v>116375.36072125018</v>
      </c>
      <c r="J228" s="18">
        <v>1185.197392113919</v>
      </c>
      <c r="K228" s="18">
        <v>1683.1783011393497</v>
      </c>
      <c r="L228" s="13">
        <f>SUM(F228:K228)</f>
        <v>394402.44254202204</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7374875.7524519628</v>
      </c>
      <c r="G230" s="38">
        <f>SUM(G216:G229)</f>
        <v>4087744.829118825</v>
      </c>
      <c r="H230" s="38">
        <f>SUM(H216:H229)</f>
        <v>4746258.6389054935</v>
      </c>
      <c r="I230" s="38">
        <f>SUM(I216:I229)</f>
        <v>632183.70033775002</v>
      </c>
      <c r="J230" s="38">
        <f>SUM(J216:J229)</f>
        <v>14825.882436676866</v>
      </c>
      <c r="K230" s="38">
        <f t="shared" si="3"/>
        <v>18648.119532255783</v>
      </c>
      <c r="L230" s="38">
        <f t="shared" si="3"/>
        <v>16874536.922782961</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5082464.4680917021</v>
      </c>
      <c r="G234" s="18">
        <v>3151454.2354506846</v>
      </c>
      <c r="H234" s="18">
        <v>4653.08</v>
      </c>
      <c r="I234" s="18">
        <v>180393.837601337</v>
      </c>
      <c r="J234" s="18">
        <v>864.36</v>
      </c>
      <c r="K234" s="18">
        <v>314.32396368806735</v>
      </c>
      <c r="L234" s="13">
        <f>SUM(F234:K234)</f>
        <v>8420144.3051074129</v>
      </c>
      <c r="M234" s="8"/>
      <c r="N234" s="165"/>
    </row>
    <row r="235" spans="1:14" s="3" customFormat="1" ht="12.2" customHeight="1" x14ac:dyDescent="0.15">
      <c r="A235" s="1" t="s">
        <v>439</v>
      </c>
      <c r="B235" s="2" t="s">
        <v>350</v>
      </c>
      <c r="C235" s="2" t="s">
        <v>291</v>
      </c>
      <c r="D235" s="2" t="s">
        <v>431</v>
      </c>
      <c r="E235" s="6">
        <v>1200</v>
      </c>
      <c r="F235" s="18">
        <v>2292968.8000490847</v>
      </c>
      <c r="G235" s="18">
        <v>1014811.5488967968</v>
      </c>
      <c r="H235" s="18">
        <v>2642634.3783824756</v>
      </c>
      <c r="I235" s="18">
        <v>32031.347690462917</v>
      </c>
      <c r="J235" s="18">
        <v>4735.7847655543492</v>
      </c>
      <c r="K235" s="18">
        <v>12561.407158882044</v>
      </c>
      <c r="L235" s="13">
        <f>SUM(F235:K235)</f>
        <v>5999743.2669432564</v>
      </c>
      <c r="M235" s="8"/>
      <c r="N235" s="165"/>
    </row>
    <row r="236" spans="1:14" s="3" customFormat="1" ht="12.2" customHeight="1" x14ac:dyDescent="0.15">
      <c r="A236" s="1" t="s">
        <v>440</v>
      </c>
      <c r="B236" s="2" t="s">
        <v>350</v>
      </c>
      <c r="C236" s="2" t="s">
        <v>292</v>
      </c>
      <c r="D236" s="2" t="s">
        <v>431</v>
      </c>
      <c r="E236" s="6">
        <v>1300</v>
      </c>
      <c r="F236" s="18">
        <v>1509448.2600000002</v>
      </c>
      <c r="G236" s="18">
        <v>888858.91000000015</v>
      </c>
      <c r="H236" s="18">
        <v>15489.310000000001</v>
      </c>
      <c r="I236" s="18">
        <v>102449.66</v>
      </c>
      <c r="J236" s="18">
        <v>4027.06</v>
      </c>
      <c r="K236" s="18">
        <v>6308.42</v>
      </c>
      <c r="L236" s="13">
        <f>SUM(F236:K236)</f>
        <v>2526581.6200000006</v>
      </c>
      <c r="M236" s="8"/>
      <c r="N236" s="165"/>
    </row>
    <row r="237" spans="1:14" s="3" customFormat="1" ht="12.2" customHeight="1" x14ac:dyDescent="0.15">
      <c r="A237" s="1" t="s">
        <v>441</v>
      </c>
      <c r="B237" s="2" t="s">
        <v>350</v>
      </c>
      <c r="C237" s="2" t="s">
        <v>293</v>
      </c>
      <c r="D237" s="2" t="s">
        <v>431</v>
      </c>
      <c r="E237" s="6">
        <v>1400</v>
      </c>
      <c r="F237" s="18">
        <v>347560.13695016585</v>
      </c>
      <c r="G237" s="18">
        <v>130021.40941952122</v>
      </c>
      <c r="H237" s="18">
        <v>58100.05962783737</v>
      </c>
      <c r="I237" s="18">
        <v>23728.539492854721</v>
      </c>
      <c r="J237" s="18">
        <v>32658.46</v>
      </c>
      <c r="K237" s="18">
        <v>43583</v>
      </c>
      <c r="L237" s="13">
        <f>SUM(F237:K237)</f>
        <v>635651.60549037915</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844842.13105374493</v>
      </c>
      <c r="G239" s="18">
        <v>527548.99068376981</v>
      </c>
      <c r="H239" s="18">
        <v>148286.49070892564</v>
      </c>
      <c r="I239" s="18">
        <v>1957.34</v>
      </c>
      <c r="J239" s="18">
        <v>1070</v>
      </c>
      <c r="K239" s="18">
        <v>0</v>
      </c>
      <c r="L239" s="13">
        <f t="shared" ref="L239:L245" si="4">SUM(F239:K239)</f>
        <v>1523704.9524464405</v>
      </c>
      <c r="M239" s="8"/>
      <c r="N239" s="165"/>
    </row>
    <row r="240" spans="1:14" s="3" customFormat="1" ht="12.2" customHeight="1" x14ac:dyDescent="0.15">
      <c r="A240" s="1" t="s">
        <v>443</v>
      </c>
      <c r="B240" s="2" t="s">
        <v>350</v>
      </c>
      <c r="C240" s="2" t="s">
        <v>295</v>
      </c>
      <c r="D240" s="2" t="s">
        <v>431</v>
      </c>
      <c r="E240" s="6">
        <v>2200</v>
      </c>
      <c r="F240" s="18">
        <v>177038.64104710254</v>
      </c>
      <c r="G240" s="18">
        <v>73101.080511333465</v>
      </c>
      <c r="H240" s="18">
        <v>13384.0926120476</v>
      </c>
      <c r="I240" s="18">
        <v>57951.132690662984</v>
      </c>
      <c r="J240" s="18">
        <v>0</v>
      </c>
      <c r="K240" s="18">
        <v>432.54850972221851</v>
      </c>
      <c r="L240" s="13">
        <f t="shared" si="4"/>
        <v>321907.49537086883</v>
      </c>
      <c r="M240" s="8"/>
      <c r="N240" s="165"/>
    </row>
    <row r="241" spans="1:14" s="3" customFormat="1" ht="12.2" customHeight="1" x14ac:dyDescent="0.15">
      <c r="A241" s="1" t="s">
        <v>444</v>
      </c>
      <c r="B241" s="2" t="s">
        <v>350</v>
      </c>
      <c r="C241" s="2" t="s">
        <v>296</v>
      </c>
      <c r="D241" s="2" t="s">
        <v>431</v>
      </c>
      <c r="E241" s="6">
        <v>2300</v>
      </c>
      <c r="F241" s="18">
        <v>275933.14088250906</v>
      </c>
      <c r="G241" s="18">
        <v>157206.93945126623</v>
      </c>
      <c r="H241" s="18">
        <v>321130.0061717747</v>
      </c>
      <c r="I241" s="18">
        <v>3556.9851983257881</v>
      </c>
      <c r="J241" s="18">
        <v>175.51301376769646</v>
      </c>
      <c r="K241" s="18">
        <v>6788.352559094923</v>
      </c>
      <c r="L241" s="13">
        <f t="shared" si="4"/>
        <v>764790.93727673835</v>
      </c>
      <c r="M241" s="8"/>
      <c r="N241" s="165"/>
    </row>
    <row r="242" spans="1:14" s="3" customFormat="1" ht="12.2" customHeight="1" x14ac:dyDescent="0.15">
      <c r="A242" s="1" t="s">
        <v>445</v>
      </c>
      <c r="B242" s="2" t="s">
        <v>350</v>
      </c>
      <c r="C242" s="2" t="s">
        <v>297</v>
      </c>
      <c r="D242" s="2" t="s">
        <v>431</v>
      </c>
      <c r="E242" s="6">
        <v>2400</v>
      </c>
      <c r="F242" s="18">
        <v>686319.79999999993</v>
      </c>
      <c r="G242" s="18">
        <v>424599.27999999997</v>
      </c>
      <c r="H242" s="18">
        <v>28209.95994392618</v>
      </c>
      <c r="I242" s="18">
        <v>8985.75</v>
      </c>
      <c r="J242" s="18">
        <v>0</v>
      </c>
      <c r="K242" s="18">
        <v>5550</v>
      </c>
      <c r="L242" s="13">
        <f t="shared" si="4"/>
        <v>1153664.789943926</v>
      </c>
      <c r="M242" s="8"/>
      <c r="N242" s="165"/>
    </row>
    <row r="243" spans="1:14" s="3" customFormat="1" ht="12.2" customHeight="1" x14ac:dyDescent="0.15">
      <c r="A243" s="1" t="s">
        <v>446</v>
      </c>
      <c r="B243" s="2" t="s">
        <v>350</v>
      </c>
      <c r="C243" s="2" t="s">
        <v>298</v>
      </c>
      <c r="D243" s="2" t="s">
        <v>431</v>
      </c>
      <c r="E243" s="6">
        <v>2500</v>
      </c>
      <c r="F243" s="18">
        <v>0</v>
      </c>
      <c r="G243" s="18">
        <v>0</v>
      </c>
      <c r="H243" s="18">
        <v>173.23325716328364</v>
      </c>
      <c r="I243" s="18">
        <v>0</v>
      </c>
      <c r="J243" s="18">
        <v>0</v>
      </c>
      <c r="K243" s="18">
        <v>0</v>
      </c>
      <c r="L243" s="13">
        <f t="shared" si="4"/>
        <v>173.23325716328364</v>
      </c>
      <c r="M243" s="8"/>
      <c r="N243" s="165"/>
    </row>
    <row r="244" spans="1:14" s="3" customFormat="1" ht="12.2" customHeight="1" x14ac:dyDescent="0.15">
      <c r="A244" s="1" t="s">
        <v>447</v>
      </c>
      <c r="B244" s="2" t="s">
        <v>350</v>
      </c>
      <c r="C244" s="2" t="s">
        <v>299</v>
      </c>
      <c r="D244" s="2" t="s">
        <v>431</v>
      </c>
      <c r="E244" s="6">
        <v>2600</v>
      </c>
      <c r="F244" s="18">
        <v>0</v>
      </c>
      <c r="G244" s="18">
        <v>0</v>
      </c>
      <c r="H244" s="18">
        <v>1772151.3147899366</v>
      </c>
      <c r="I244" s="18">
        <v>597603.73224372638</v>
      </c>
      <c r="J244" s="18">
        <v>6119.5</v>
      </c>
      <c r="K244" s="18">
        <v>0</v>
      </c>
      <c r="L244" s="13">
        <f t="shared" si="4"/>
        <v>2375874.5470336629</v>
      </c>
      <c r="M244" s="8"/>
      <c r="N244" s="165"/>
    </row>
    <row r="245" spans="1:14" s="3" customFormat="1" ht="12.2" customHeight="1" x14ac:dyDescent="0.15">
      <c r="A245" s="1" t="s">
        <v>448</v>
      </c>
      <c r="B245" s="2" t="s">
        <v>350</v>
      </c>
      <c r="C245" s="2" t="s">
        <v>300</v>
      </c>
      <c r="D245" s="2" t="s">
        <v>431</v>
      </c>
      <c r="E245" s="6">
        <v>2700</v>
      </c>
      <c r="F245" s="18">
        <v>1912.5745672418991</v>
      </c>
      <c r="G245" s="18">
        <v>145.32338737085283</v>
      </c>
      <c r="H245" s="18">
        <v>2107525.1504044142</v>
      </c>
      <c r="I245" s="18">
        <v>0</v>
      </c>
      <c r="J245" s="18">
        <v>0</v>
      </c>
      <c r="K245" s="18">
        <v>0</v>
      </c>
      <c r="L245" s="13">
        <f t="shared" si="4"/>
        <v>2109583.0483590271</v>
      </c>
      <c r="M245" s="8"/>
      <c r="N245" s="165"/>
    </row>
    <row r="246" spans="1:14" s="3" customFormat="1" ht="12.2" customHeight="1" x14ac:dyDescent="0.15">
      <c r="A246" s="1" t="s">
        <v>449</v>
      </c>
      <c r="B246" s="2" t="s">
        <v>350</v>
      </c>
      <c r="C246" s="2" t="s">
        <v>343</v>
      </c>
      <c r="D246" s="2" t="s">
        <v>431</v>
      </c>
      <c r="E246" s="6">
        <v>2800</v>
      </c>
      <c r="F246" s="18">
        <v>125139.86272294143</v>
      </c>
      <c r="G246" s="18">
        <v>132443.68983076484</v>
      </c>
      <c r="H246" s="18">
        <v>135662.77955327681</v>
      </c>
      <c r="I246" s="18">
        <v>166006.23908382529</v>
      </c>
      <c r="J246" s="18">
        <v>1690.6513579627758</v>
      </c>
      <c r="K246" s="18">
        <v>2401.007376028042</v>
      </c>
      <c r="L246" s="13">
        <f>SUM(F246:K246)</f>
        <v>563344.22992479906</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11343627.815364493</v>
      </c>
      <c r="G248" s="38">
        <f t="shared" si="5"/>
        <v>6500191.4076315071</v>
      </c>
      <c r="H248" s="38">
        <f t="shared" si="5"/>
        <v>7247399.8554517776</v>
      </c>
      <c r="I248" s="38">
        <f t="shared" si="5"/>
        <v>1174664.5640011951</v>
      </c>
      <c r="J248" s="38">
        <f t="shared" si="5"/>
        <v>51341.329137284825</v>
      </c>
      <c r="K248" s="38">
        <f t="shared" si="5"/>
        <v>77939.059567415286</v>
      </c>
      <c r="L248" s="38">
        <f t="shared" si="5"/>
        <v>26395164.031153679</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5"/>
    </row>
    <row r="252" spans="1:14" s="3" customFormat="1" ht="12.2" customHeight="1" x14ac:dyDescent="0.15">
      <c r="A252" s="1" t="s">
        <v>353</v>
      </c>
      <c r="B252" s="2" t="s">
        <v>352</v>
      </c>
      <c r="C252" s="2" t="s">
        <v>309</v>
      </c>
      <c r="D252" s="2" t="s">
        <v>431</v>
      </c>
      <c r="E252" s="6">
        <v>1600</v>
      </c>
      <c r="F252" s="18">
        <v>143328.28</v>
      </c>
      <c r="G252" s="18">
        <v>103791.5</v>
      </c>
      <c r="H252" s="18">
        <v>0</v>
      </c>
      <c r="I252" s="18">
        <v>0</v>
      </c>
      <c r="J252" s="18">
        <v>0</v>
      </c>
      <c r="K252" s="18">
        <v>0</v>
      </c>
      <c r="L252" s="13">
        <f t="shared" si="6"/>
        <v>247119.78</v>
      </c>
      <c r="M252" s="8"/>
      <c r="N252" s="1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5"/>
    </row>
    <row r="255" spans="1:14" s="3" customFormat="1" ht="12.2" customHeight="1" x14ac:dyDescent="0.15">
      <c r="A255" s="1" t="s">
        <v>391</v>
      </c>
      <c r="B255" s="2" t="s">
        <v>352</v>
      </c>
      <c r="C255" s="2" t="s">
        <v>324</v>
      </c>
      <c r="D255" s="2" t="s">
        <v>431</v>
      </c>
      <c r="E255" s="6">
        <v>2750</v>
      </c>
      <c r="F255" s="18">
        <v>594.96</v>
      </c>
      <c r="G255" s="18">
        <v>269.84000000000003</v>
      </c>
      <c r="H255" s="18">
        <v>0</v>
      </c>
      <c r="I255" s="18">
        <v>0</v>
      </c>
      <c r="J255" s="18">
        <v>0</v>
      </c>
      <c r="K255" s="18">
        <v>0</v>
      </c>
      <c r="L255" s="13">
        <f t="shared" si="6"/>
        <v>864.80000000000007</v>
      </c>
      <c r="M255" s="8"/>
      <c r="N255" s="1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143923.24</v>
      </c>
      <c r="G257" s="38">
        <f t="shared" si="7"/>
        <v>104061.34</v>
      </c>
      <c r="H257" s="38">
        <f t="shared" si="7"/>
        <v>0</v>
      </c>
      <c r="I257" s="38">
        <f t="shared" si="7"/>
        <v>0</v>
      </c>
      <c r="J257" s="38">
        <f t="shared" si="7"/>
        <v>0</v>
      </c>
      <c r="K257" s="38">
        <f t="shared" si="7"/>
        <v>0</v>
      </c>
      <c r="L257" s="38">
        <f>SUM(F257:K257)</f>
        <v>247984.58</v>
      </c>
      <c r="M257" s="8"/>
      <c r="N257" s="165"/>
    </row>
    <row r="258" spans="1:14" s="3" customFormat="1" ht="12.2" customHeight="1" thickTop="1" x14ac:dyDescent="0.15">
      <c r="A258" s="35" t="s">
        <v>462</v>
      </c>
      <c r="B258" s="37">
        <v>10</v>
      </c>
      <c r="C258" s="37">
        <v>8</v>
      </c>
      <c r="D258" s="36" t="s">
        <v>431</v>
      </c>
      <c r="E258" s="37"/>
      <c r="F258" s="38">
        <f t="shared" ref="F258:L258" si="8">F212+F230+F248+F257</f>
        <v>30172842.449999999</v>
      </c>
      <c r="G258" s="38">
        <f t="shared" si="8"/>
        <v>17008951.970000003</v>
      </c>
      <c r="H258" s="38">
        <f t="shared" si="8"/>
        <v>16412534.219999999</v>
      </c>
      <c r="I258" s="38">
        <f t="shared" si="8"/>
        <v>2572453.52</v>
      </c>
      <c r="J258" s="38">
        <f t="shared" si="8"/>
        <v>115237.02000000002</v>
      </c>
      <c r="K258" s="38">
        <f t="shared" si="8"/>
        <v>120595.41999999998</v>
      </c>
      <c r="L258" s="38">
        <f t="shared" si="8"/>
        <v>66402614.600000009</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3344745.53</v>
      </c>
      <c r="L261" s="13">
        <f>SUM(F261:K261)</f>
        <v>3344745.53</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3017575.57</v>
      </c>
      <c r="L262" s="13">
        <f>SUM(F262:K262)</f>
        <v>3017575.57</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33736.620000000003</v>
      </c>
      <c r="L264" s="13">
        <f>SUM(F264:K264)</f>
        <v>33736.620000000003</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325000</v>
      </c>
      <c r="L266" s="13">
        <f t="shared" si="9"/>
        <v>325000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6721057.7199999997</v>
      </c>
      <c r="L271" s="38">
        <f t="shared" si="9"/>
        <v>6721057.7199999997</v>
      </c>
      <c r="M271" s="8"/>
      <c r="N271" s="165"/>
    </row>
    <row r="272" spans="1:14" s="33" customFormat="1" ht="12.2" customHeight="1" thickTop="1" x14ac:dyDescent="0.2">
      <c r="A272" s="40" t="s">
        <v>464</v>
      </c>
      <c r="B272" s="37">
        <v>10</v>
      </c>
      <c r="C272" s="37">
        <v>18</v>
      </c>
      <c r="D272" s="36" t="s">
        <v>431</v>
      </c>
      <c r="E272" s="37"/>
      <c r="F272" s="39">
        <f t="shared" ref="F272:L272" si="11">F258+F271</f>
        <v>30172842.449999999</v>
      </c>
      <c r="G272" s="39">
        <f t="shared" si="11"/>
        <v>17008951.970000003</v>
      </c>
      <c r="H272" s="39">
        <f t="shared" si="11"/>
        <v>16412534.219999999</v>
      </c>
      <c r="I272" s="39">
        <f t="shared" si="11"/>
        <v>2572453.52</v>
      </c>
      <c r="J272" s="39">
        <f t="shared" si="11"/>
        <v>115237.02000000002</v>
      </c>
      <c r="K272" s="39">
        <f t="shared" si="11"/>
        <v>6841653.1399999997</v>
      </c>
      <c r="L272" s="39">
        <f t="shared" si="11"/>
        <v>73123672.320000008</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336329.23978098662</v>
      </c>
      <c r="G277" s="18">
        <v>100889.68815521938</v>
      </c>
      <c r="H277" s="18">
        <v>152366.53431971147</v>
      </c>
      <c r="I277" s="18">
        <v>31328.247745416327</v>
      </c>
      <c r="J277" s="18">
        <v>2526.6831669169806</v>
      </c>
      <c r="K277" s="18">
        <v>0</v>
      </c>
      <c r="L277" s="13">
        <f>SUM(F277:K277)</f>
        <v>623440.3931682508</v>
      </c>
      <c r="M277" s="8"/>
      <c r="N277" s="165"/>
    </row>
    <row r="278" spans="1:14" s="3" customFormat="1" ht="12.2" customHeight="1" x14ac:dyDescent="0.15">
      <c r="A278" s="1" t="s">
        <v>439</v>
      </c>
      <c r="B278" s="2" t="s">
        <v>357</v>
      </c>
      <c r="C278" s="2" t="s">
        <v>291</v>
      </c>
      <c r="D278" s="2" t="s">
        <v>431</v>
      </c>
      <c r="E278" s="6">
        <v>1200</v>
      </c>
      <c r="F278" s="18">
        <v>207405.79106348191</v>
      </c>
      <c r="G278" s="18">
        <v>123258.84539143636</v>
      </c>
      <c r="H278" s="18">
        <v>8937.1215827649048</v>
      </c>
      <c r="I278" s="18">
        <v>2018.0533144108651</v>
      </c>
      <c r="J278" s="18">
        <v>3162.1929112235675</v>
      </c>
      <c r="K278" s="18">
        <v>0</v>
      </c>
      <c r="L278" s="13">
        <f>SUM(F278:K278)</f>
        <v>344782.00426331762</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1135.1130400172865</v>
      </c>
      <c r="G280" s="18">
        <v>311.81766853490484</v>
      </c>
      <c r="H280" s="18">
        <v>439.36874975657776</v>
      </c>
      <c r="I280" s="18">
        <v>2786.8614582394102</v>
      </c>
      <c r="J280" s="18">
        <v>0</v>
      </c>
      <c r="K280" s="18">
        <v>0</v>
      </c>
      <c r="L280" s="13">
        <f>SUM(F280:K280)</f>
        <v>4673.1609165481796</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18925.54229283765</v>
      </c>
      <c r="G282" s="18">
        <v>1536.6856135174717</v>
      </c>
      <c r="H282" s="18">
        <v>2803.0312973006144</v>
      </c>
      <c r="I282" s="18">
        <v>5499.4456784478607</v>
      </c>
      <c r="J282" s="18">
        <v>0</v>
      </c>
      <c r="K282" s="18">
        <v>0</v>
      </c>
      <c r="L282" s="13">
        <f t="shared" ref="L282:L288" si="12">SUM(F282:K282)</f>
        <v>28764.704882103597</v>
      </c>
      <c r="M282" s="8"/>
      <c r="N282" s="165"/>
    </row>
    <row r="283" spans="1:14" s="3" customFormat="1" ht="12.2" customHeight="1" x14ac:dyDescent="0.15">
      <c r="A283" s="1" t="s">
        <v>443</v>
      </c>
      <c r="B283" s="2" t="s">
        <v>357</v>
      </c>
      <c r="C283" s="2" t="s">
        <v>295</v>
      </c>
      <c r="D283" s="2" t="s">
        <v>431</v>
      </c>
      <c r="E283" s="6">
        <v>2200</v>
      </c>
      <c r="F283" s="18">
        <v>203400.05665024291</v>
      </c>
      <c r="G283" s="18">
        <v>116896.36030888624</v>
      </c>
      <c r="H283" s="18">
        <v>73908.912038051232</v>
      </c>
      <c r="I283" s="18">
        <v>26825.660132955247</v>
      </c>
      <c r="J283" s="18">
        <v>648.40348127182472</v>
      </c>
      <c r="K283" s="18">
        <v>0</v>
      </c>
      <c r="L283" s="13">
        <f t="shared" si="12"/>
        <v>421679.39261140744</v>
      </c>
      <c r="M283" s="8"/>
      <c r="N283" s="165"/>
    </row>
    <row r="284" spans="1:14" s="3" customFormat="1" ht="12.2" customHeight="1" x14ac:dyDescent="0.15">
      <c r="A284" s="1" t="s">
        <v>444</v>
      </c>
      <c r="B284" s="2" t="s">
        <v>357</v>
      </c>
      <c r="C284" s="2" t="s">
        <v>296</v>
      </c>
      <c r="D284" s="2" t="s">
        <v>431</v>
      </c>
      <c r="E284" s="6">
        <v>2300</v>
      </c>
      <c r="F284" s="18">
        <v>5821.884493908442</v>
      </c>
      <c r="G284" s="18">
        <v>3952.8383674035576</v>
      </c>
      <c r="H284" s="18">
        <v>0</v>
      </c>
      <c r="I284" s="18">
        <v>0</v>
      </c>
      <c r="J284" s="18">
        <v>0</v>
      </c>
      <c r="K284" s="18">
        <v>0</v>
      </c>
      <c r="L284" s="13">
        <f t="shared" si="12"/>
        <v>9774.7228613119987</v>
      </c>
      <c r="M284" s="8"/>
      <c r="N284" s="165"/>
    </row>
    <row r="285" spans="1:14" s="3" customFormat="1" ht="12.2" customHeight="1" x14ac:dyDescent="0.15">
      <c r="A285" s="1" t="s">
        <v>445</v>
      </c>
      <c r="B285" s="2" t="s">
        <v>357</v>
      </c>
      <c r="C285" s="2" t="s">
        <v>297</v>
      </c>
      <c r="D285" s="2" t="s">
        <v>431</v>
      </c>
      <c r="E285" s="6">
        <v>2400</v>
      </c>
      <c r="F285" s="18">
        <v>21281.450024035454</v>
      </c>
      <c r="G285" s="18">
        <v>1704.0589848558009</v>
      </c>
      <c r="H285" s="18">
        <v>0</v>
      </c>
      <c r="I285" s="18">
        <v>0</v>
      </c>
      <c r="J285" s="18">
        <v>0</v>
      </c>
      <c r="K285" s="18">
        <v>0</v>
      </c>
      <c r="L285" s="13">
        <f t="shared" si="12"/>
        <v>22985.509008891255</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5"/>
    </row>
    <row r="287" spans="1:14" s="3" customFormat="1" ht="12.2" customHeight="1" x14ac:dyDescent="0.15">
      <c r="A287" s="1" t="s">
        <v>447</v>
      </c>
      <c r="B287" s="2" t="s">
        <v>357</v>
      </c>
      <c r="C287" s="2" t="s">
        <v>299</v>
      </c>
      <c r="D287" s="2" t="s">
        <v>431</v>
      </c>
      <c r="E287" s="6">
        <v>2600</v>
      </c>
      <c r="F287" s="18">
        <v>5707.1205120804143</v>
      </c>
      <c r="G287" s="18">
        <v>1633.4994128521625</v>
      </c>
      <c r="H287" s="18">
        <v>23787.134877435223</v>
      </c>
      <c r="I287" s="18">
        <v>5158.915574916703</v>
      </c>
      <c r="J287" s="18">
        <v>39056.606709117739</v>
      </c>
      <c r="K287" s="18">
        <v>0</v>
      </c>
      <c r="L287" s="13">
        <f t="shared" si="12"/>
        <v>75343.277086402231</v>
      </c>
      <c r="M287" s="8"/>
      <c r="N287" s="165"/>
    </row>
    <row r="288" spans="1:14" s="3" customFormat="1" ht="12.2" customHeight="1" x14ac:dyDescent="0.15">
      <c r="A288" s="1" t="s">
        <v>448</v>
      </c>
      <c r="B288" s="2" t="s">
        <v>357</v>
      </c>
      <c r="C288" s="2" t="s">
        <v>300</v>
      </c>
      <c r="D288" s="2" t="s">
        <v>431</v>
      </c>
      <c r="E288" s="6">
        <v>2700</v>
      </c>
      <c r="F288" s="18">
        <v>0</v>
      </c>
      <c r="G288" s="18">
        <v>0</v>
      </c>
      <c r="H288" s="18">
        <v>715.40324022376194</v>
      </c>
      <c r="I288" s="18">
        <v>42.849485385327448</v>
      </c>
      <c r="J288" s="18">
        <v>0</v>
      </c>
      <c r="K288" s="18">
        <v>0</v>
      </c>
      <c r="L288" s="13">
        <f t="shared" si="12"/>
        <v>758.25272560908934</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800006.19785759063</v>
      </c>
      <c r="G291" s="39">
        <f t="shared" si="13"/>
        <v>350183.79390270583</v>
      </c>
      <c r="H291" s="39">
        <f t="shared" si="13"/>
        <v>262957.50610524381</v>
      </c>
      <c r="I291" s="39">
        <f t="shared" si="13"/>
        <v>73660.033389771736</v>
      </c>
      <c r="J291" s="39">
        <f t="shared" si="13"/>
        <v>45393.886268530114</v>
      </c>
      <c r="K291" s="39">
        <f t="shared" si="13"/>
        <v>0</v>
      </c>
      <c r="L291" s="38">
        <f t="shared" si="13"/>
        <v>1532201.4175238423</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20389.776697486814</v>
      </c>
      <c r="G296" s="18">
        <v>9781.3484333743254</v>
      </c>
      <c r="H296" s="18">
        <v>136126.62434542755</v>
      </c>
      <c r="I296" s="18">
        <v>23009.811530425784</v>
      </c>
      <c r="J296" s="18">
        <v>2278.747062260079</v>
      </c>
      <c r="K296" s="18">
        <v>0</v>
      </c>
      <c r="L296" s="13">
        <f>SUM(F296:K296)</f>
        <v>191586.30806897455</v>
      </c>
      <c r="M296" s="8"/>
      <c r="N296" s="165"/>
    </row>
    <row r="297" spans="1:14" s="3" customFormat="1" ht="12.2" customHeight="1" x14ac:dyDescent="0.15">
      <c r="A297" s="1" t="s">
        <v>439</v>
      </c>
      <c r="B297" s="2" t="s">
        <v>358</v>
      </c>
      <c r="C297" s="2" t="s">
        <v>291</v>
      </c>
      <c r="D297" s="2" t="s">
        <v>431</v>
      </c>
      <c r="E297" s="6">
        <v>1200</v>
      </c>
      <c r="F297" s="18">
        <v>176381.4294735677</v>
      </c>
      <c r="G297" s="18">
        <v>110347.37324049053</v>
      </c>
      <c r="H297" s="18">
        <v>6509.8282076385249</v>
      </c>
      <c r="I297" s="18">
        <v>1820.0275847442933</v>
      </c>
      <c r="J297" s="18">
        <v>2851.8960750994365</v>
      </c>
      <c r="K297" s="18">
        <v>0</v>
      </c>
      <c r="L297" s="13">
        <f>SUM(F297:K297)</f>
        <v>297910.5545815404</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1023.7276834470194</v>
      </c>
      <c r="G299" s="18">
        <v>281.21990340471058</v>
      </c>
      <c r="H299" s="18">
        <v>396.25476627461234</v>
      </c>
      <c r="I299" s="18">
        <v>2450.3178207771907</v>
      </c>
      <c r="J299" s="18">
        <v>0</v>
      </c>
      <c r="K299" s="18">
        <v>0</v>
      </c>
      <c r="L299" s="13">
        <f>SUM(F299:K299)</f>
        <v>4151.5201739035329</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90522.57054214472</v>
      </c>
      <c r="G301" s="18">
        <v>29826.490858446959</v>
      </c>
      <c r="H301" s="18">
        <v>2527.9779506112905</v>
      </c>
      <c r="I301" s="18">
        <v>4715.213065306526</v>
      </c>
      <c r="J301" s="18">
        <v>0</v>
      </c>
      <c r="K301" s="18">
        <v>0</v>
      </c>
      <c r="L301" s="13">
        <f t="shared" ref="L301:L307" si="14">SUM(F301:K301)</f>
        <v>127592.25241650951</v>
      </c>
      <c r="M301" s="8"/>
      <c r="N301" s="165"/>
    </row>
    <row r="302" spans="1:14" s="3" customFormat="1" ht="12.2" customHeight="1" x14ac:dyDescent="0.15">
      <c r="A302" s="1" t="s">
        <v>443</v>
      </c>
      <c r="B302" s="2" t="s">
        <v>358</v>
      </c>
      <c r="C302" s="2" t="s">
        <v>295</v>
      </c>
      <c r="D302" s="2" t="s">
        <v>431</v>
      </c>
      <c r="E302" s="6">
        <v>2200</v>
      </c>
      <c r="F302" s="18">
        <v>146908.43573732272</v>
      </c>
      <c r="G302" s="18">
        <v>90975.84233493307</v>
      </c>
      <c r="H302" s="18">
        <v>105290.88343954991</v>
      </c>
      <c r="I302" s="18">
        <v>92148.163549296674</v>
      </c>
      <c r="J302" s="18">
        <v>584.77752472236523</v>
      </c>
      <c r="K302" s="18">
        <v>0</v>
      </c>
      <c r="L302" s="13">
        <f t="shared" si="14"/>
        <v>435908.10258582479</v>
      </c>
      <c r="M302" s="8"/>
      <c r="N302" s="165"/>
    </row>
    <row r="303" spans="1:14" s="3" customFormat="1" ht="12.2" customHeight="1" x14ac:dyDescent="0.15">
      <c r="A303" s="1" t="s">
        <v>444</v>
      </c>
      <c r="B303" s="2" t="s">
        <v>358</v>
      </c>
      <c r="C303" s="2" t="s">
        <v>296</v>
      </c>
      <c r="D303" s="2" t="s">
        <v>431</v>
      </c>
      <c r="E303" s="6">
        <v>2300</v>
      </c>
      <c r="F303" s="18">
        <v>5250.5998223350934</v>
      </c>
      <c r="G303" s="18">
        <v>3564.9577815095108</v>
      </c>
      <c r="H303" s="18">
        <v>0</v>
      </c>
      <c r="I303" s="18">
        <v>0</v>
      </c>
      <c r="J303" s="18">
        <v>0</v>
      </c>
      <c r="K303" s="18">
        <v>0</v>
      </c>
      <c r="L303" s="13">
        <f t="shared" si="14"/>
        <v>8815.5576038446052</v>
      </c>
      <c r="M303" s="8"/>
      <c r="N303" s="165"/>
    </row>
    <row r="304" spans="1:14" s="3" customFormat="1" ht="12.2" customHeight="1" x14ac:dyDescent="0.15">
      <c r="A304" s="1" t="s">
        <v>445</v>
      </c>
      <c r="B304" s="2" t="s">
        <v>358</v>
      </c>
      <c r="C304" s="2" t="s">
        <v>297</v>
      </c>
      <c r="D304" s="2" t="s">
        <v>431</v>
      </c>
      <c r="E304" s="6">
        <v>2400</v>
      </c>
      <c r="F304" s="18">
        <v>19193.162940994447</v>
      </c>
      <c r="G304" s="18">
        <v>1536.8446097641006</v>
      </c>
      <c r="H304" s="18">
        <v>0</v>
      </c>
      <c r="I304" s="18">
        <v>0</v>
      </c>
      <c r="J304" s="18">
        <v>0</v>
      </c>
      <c r="K304" s="18">
        <v>0</v>
      </c>
      <c r="L304" s="13">
        <f t="shared" si="14"/>
        <v>20730.007550758546</v>
      </c>
      <c r="M304" s="8"/>
      <c r="N304" s="1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5"/>
    </row>
    <row r="306" spans="1:14" s="3" customFormat="1" ht="12.2" customHeight="1" x14ac:dyDescent="0.15">
      <c r="A306" s="1" t="s">
        <v>447</v>
      </c>
      <c r="B306" s="2" t="s">
        <v>358</v>
      </c>
      <c r="C306" s="2" t="s">
        <v>299</v>
      </c>
      <c r="D306" s="2" t="s">
        <v>431</v>
      </c>
      <c r="E306" s="6">
        <v>2600</v>
      </c>
      <c r="F306" s="18">
        <v>5147.0972978128011</v>
      </c>
      <c r="G306" s="18">
        <v>1473.2088442977838</v>
      </c>
      <c r="H306" s="18">
        <v>20943.288893008914</v>
      </c>
      <c r="I306" s="18">
        <v>4652.6861241306824</v>
      </c>
      <c r="J306" s="18">
        <v>13127.463773698659</v>
      </c>
      <c r="K306" s="18">
        <v>0</v>
      </c>
      <c r="L306" s="13">
        <f t="shared" si="14"/>
        <v>45343.744932948845</v>
      </c>
      <c r="M306" s="8"/>
      <c r="N306" s="165"/>
    </row>
    <row r="307" spans="1:14" s="3" customFormat="1" ht="12.2" customHeight="1" x14ac:dyDescent="0.15">
      <c r="A307" s="1" t="s">
        <v>448</v>
      </c>
      <c r="B307" s="2" t="s">
        <v>358</v>
      </c>
      <c r="C307" s="2" t="s">
        <v>300</v>
      </c>
      <c r="D307" s="2" t="s">
        <v>431</v>
      </c>
      <c r="E307" s="6">
        <v>2700</v>
      </c>
      <c r="F307" s="18">
        <v>0</v>
      </c>
      <c r="G307" s="18">
        <v>0</v>
      </c>
      <c r="H307" s="18">
        <v>645.20279128641675</v>
      </c>
      <c r="I307" s="18">
        <v>38.644789429738331</v>
      </c>
      <c r="J307" s="18">
        <v>0</v>
      </c>
      <c r="K307" s="18">
        <v>0</v>
      </c>
      <c r="L307" s="13">
        <f t="shared" si="14"/>
        <v>683.84758071615511</v>
      </c>
      <c r="M307" s="8"/>
      <c r="N307" s="1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464816.80019511131</v>
      </c>
      <c r="G310" s="39">
        <f t="shared" si="15"/>
        <v>247787.28600622102</v>
      </c>
      <c r="H310" s="39">
        <f t="shared" si="15"/>
        <v>272440.06039379723</v>
      </c>
      <c r="I310" s="39">
        <f t="shared" si="15"/>
        <v>128834.86446411088</v>
      </c>
      <c r="J310" s="39">
        <f t="shared" si="15"/>
        <v>18842.884435780539</v>
      </c>
      <c r="K310" s="39">
        <f t="shared" si="15"/>
        <v>0</v>
      </c>
      <c r="L310" s="38">
        <f t="shared" si="15"/>
        <v>1132721.8954950213</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39661.53352152653</v>
      </c>
      <c r="G315" s="18">
        <v>11559.1734114063</v>
      </c>
      <c r="H315" s="18">
        <v>194180.871334861</v>
      </c>
      <c r="I315" s="18">
        <v>32424.810724157891</v>
      </c>
      <c r="J315" s="18">
        <v>3250.5697708229404</v>
      </c>
      <c r="K315" s="18">
        <v>0</v>
      </c>
      <c r="L315" s="13">
        <f>SUM(F315:K315)</f>
        <v>281076.95876277465</v>
      </c>
      <c r="M315" s="8"/>
      <c r="N315" s="165"/>
    </row>
    <row r="316" spans="1:14" s="3" customFormat="1" ht="12.2" customHeight="1" x14ac:dyDescent="0.15">
      <c r="A316" s="1" t="s">
        <v>439</v>
      </c>
      <c r="B316" s="2" t="s">
        <v>359</v>
      </c>
      <c r="C316" s="2" t="s">
        <v>291</v>
      </c>
      <c r="D316" s="2" t="s">
        <v>431</v>
      </c>
      <c r="E316" s="6">
        <v>1200</v>
      </c>
      <c r="F316" s="18">
        <v>268225.08946295048</v>
      </c>
      <c r="G316" s="18">
        <v>158679.07136807314</v>
      </c>
      <c r="H316" s="18">
        <v>9286.0902095965721</v>
      </c>
      <c r="I316" s="18">
        <v>2596.2191008448422</v>
      </c>
      <c r="J316" s="18">
        <v>4068.1510136769966</v>
      </c>
      <c r="K316" s="18">
        <v>0</v>
      </c>
      <c r="L316" s="13">
        <f>SUM(F316:K316)</f>
        <v>442854.62115514197</v>
      </c>
      <c r="M316" s="8"/>
      <c r="N316" s="165"/>
    </row>
    <row r="317" spans="1:14" s="3" customFormat="1" ht="12.2" customHeight="1" x14ac:dyDescent="0.15">
      <c r="A317" s="1" t="s">
        <v>440</v>
      </c>
      <c r="B317" s="2" t="s">
        <v>359</v>
      </c>
      <c r="C317" s="2" t="s">
        <v>292</v>
      </c>
      <c r="D317" s="2" t="s">
        <v>431</v>
      </c>
      <c r="E317" s="6">
        <v>1300</v>
      </c>
      <c r="F317" s="18">
        <v>43506.54</v>
      </c>
      <c r="G317" s="18">
        <v>3812.5299999999997</v>
      </c>
      <c r="H317" s="18">
        <v>0</v>
      </c>
      <c r="I317" s="18">
        <v>138415.06</v>
      </c>
      <c r="J317" s="18">
        <v>2052.6999999999998</v>
      </c>
      <c r="K317" s="18">
        <v>19712.599999999999</v>
      </c>
      <c r="L317" s="13">
        <f>SUM(F317:K317)</f>
        <v>207499.43000000002</v>
      </c>
      <c r="M317" s="8"/>
      <c r="N317" s="165"/>
    </row>
    <row r="318" spans="1:14" s="3" customFormat="1" ht="12.2" customHeight="1" x14ac:dyDescent="0.15">
      <c r="A318" s="1" t="s">
        <v>441</v>
      </c>
      <c r="B318" s="2" t="s">
        <v>359</v>
      </c>
      <c r="C318" s="2" t="s">
        <v>293</v>
      </c>
      <c r="D318" s="2" t="s">
        <v>431</v>
      </c>
      <c r="E318" s="6">
        <v>1400</v>
      </c>
      <c r="F318" s="18">
        <v>8187.1192765356946</v>
      </c>
      <c r="G318" s="18">
        <v>2169.6524280603849</v>
      </c>
      <c r="H318" s="18">
        <v>15094.96648396881</v>
      </c>
      <c r="I318" s="18">
        <v>10955.180720983399</v>
      </c>
      <c r="J318" s="18">
        <v>2704</v>
      </c>
      <c r="K318" s="18">
        <v>0</v>
      </c>
      <c r="L318" s="13">
        <f>SUM(F318:K318)</f>
        <v>39110.918909548287</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1566.4671650176197</v>
      </c>
      <c r="G320" s="18">
        <v>193.57352803557566</v>
      </c>
      <c r="H320" s="18">
        <v>3606.0907520880965</v>
      </c>
      <c r="I320" s="18">
        <v>6726.1212562456158</v>
      </c>
      <c r="J320" s="18">
        <v>0</v>
      </c>
      <c r="K320" s="18">
        <v>0</v>
      </c>
      <c r="L320" s="13">
        <f t="shared" ref="L320:L326" si="16">SUM(F320:K320)</f>
        <v>12092.252701386908</v>
      </c>
      <c r="M320" s="8"/>
      <c r="N320" s="165"/>
    </row>
    <row r="321" spans="1:14" s="3" customFormat="1" ht="12.2" customHeight="1" x14ac:dyDescent="0.15">
      <c r="A321" s="1" t="s">
        <v>443</v>
      </c>
      <c r="B321" s="2" t="s">
        <v>359</v>
      </c>
      <c r="C321" s="2" t="s">
        <v>295</v>
      </c>
      <c r="D321" s="2" t="s">
        <v>431</v>
      </c>
      <c r="E321" s="6">
        <v>2200</v>
      </c>
      <c r="F321" s="18">
        <v>212461.44761243439</v>
      </c>
      <c r="G321" s="18">
        <v>132423.73735618085</v>
      </c>
      <c r="H321" s="18">
        <v>141470.34452239884</v>
      </c>
      <c r="I321" s="18">
        <v>28567.896317748087</v>
      </c>
      <c r="J321" s="18">
        <v>834.16899400581008</v>
      </c>
      <c r="K321" s="18">
        <v>0</v>
      </c>
      <c r="L321" s="13">
        <f t="shared" si="16"/>
        <v>515757.59480276797</v>
      </c>
      <c r="M321" s="8"/>
      <c r="N321" s="165"/>
    </row>
    <row r="322" spans="1:14" s="3" customFormat="1" ht="12.2" customHeight="1" x14ac:dyDescent="0.15">
      <c r="A322" s="1" t="s">
        <v>444</v>
      </c>
      <c r="B322" s="2" t="s">
        <v>359</v>
      </c>
      <c r="C322" s="2" t="s">
        <v>296</v>
      </c>
      <c r="D322" s="2" t="s">
        <v>431</v>
      </c>
      <c r="E322" s="6">
        <v>2300</v>
      </c>
      <c r="F322" s="18">
        <v>7489.8356837564652</v>
      </c>
      <c r="G322" s="18">
        <v>5085.3138510869294</v>
      </c>
      <c r="H322" s="18">
        <v>602.62</v>
      </c>
      <c r="I322" s="18">
        <v>3741.29</v>
      </c>
      <c r="J322" s="18">
        <v>0</v>
      </c>
      <c r="K322" s="18">
        <v>0</v>
      </c>
      <c r="L322" s="13">
        <f t="shared" si="16"/>
        <v>16919.059534843396</v>
      </c>
      <c r="M322" s="8"/>
      <c r="N322" s="165"/>
    </row>
    <row r="323" spans="1:14" s="3" customFormat="1" ht="12.2" customHeight="1" x14ac:dyDescent="0.15">
      <c r="A323" s="1" t="s">
        <v>445</v>
      </c>
      <c r="B323" s="2" t="s">
        <v>359</v>
      </c>
      <c r="C323" s="2" t="s">
        <v>297</v>
      </c>
      <c r="D323" s="2" t="s">
        <v>431</v>
      </c>
      <c r="E323" s="6">
        <v>2400</v>
      </c>
      <c r="F323" s="18">
        <v>27378.517034970111</v>
      </c>
      <c r="G323" s="18">
        <v>2192.2664053800991</v>
      </c>
      <c r="H323" s="18">
        <v>0</v>
      </c>
      <c r="I323" s="18">
        <v>0</v>
      </c>
      <c r="J323" s="18">
        <v>0</v>
      </c>
      <c r="K323" s="18">
        <v>0</v>
      </c>
      <c r="L323" s="13">
        <f t="shared" si="16"/>
        <v>29570.783440350209</v>
      </c>
      <c r="M323" s="8"/>
      <c r="N323" s="1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5"/>
    </row>
    <row r="325" spans="1:14" s="3" customFormat="1" ht="12.2" customHeight="1" x14ac:dyDescent="0.15">
      <c r="A325" s="1" t="s">
        <v>447</v>
      </c>
      <c r="B325" s="2" t="s">
        <v>359</v>
      </c>
      <c r="C325" s="2" t="s">
        <v>299</v>
      </c>
      <c r="D325" s="2" t="s">
        <v>431</v>
      </c>
      <c r="E325" s="6">
        <v>2600</v>
      </c>
      <c r="F325" s="18">
        <v>7783.1921901067853</v>
      </c>
      <c r="G325" s="18">
        <v>2135.2317428500546</v>
      </c>
      <c r="H325" s="18">
        <v>12894.556229555865</v>
      </c>
      <c r="I325" s="18">
        <v>7244.4483009526139</v>
      </c>
      <c r="J325" s="18">
        <v>5898.6895171836113</v>
      </c>
      <c r="K325" s="18">
        <v>0</v>
      </c>
      <c r="L325" s="13">
        <f t="shared" si="16"/>
        <v>35956.117980648938</v>
      </c>
      <c r="M325" s="8"/>
      <c r="N325" s="165"/>
    </row>
    <row r="326" spans="1:14" s="3" customFormat="1" ht="12.2" customHeight="1" x14ac:dyDescent="0.15">
      <c r="A326" s="1" t="s">
        <v>448</v>
      </c>
      <c r="B326" s="2" t="s">
        <v>359</v>
      </c>
      <c r="C326" s="2" t="s">
        <v>300</v>
      </c>
      <c r="D326" s="2" t="s">
        <v>431</v>
      </c>
      <c r="E326" s="6">
        <v>2700</v>
      </c>
      <c r="F326" s="18">
        <v>0</v>
      </c>
      <c r="G326" s="18">
        <v>0</v>
      </c>
      <c r="H326" s="18">
        <v>920.36396848982167</v>
      </c>
      <c r="I326" s="18">
        <v>55.125725184934232</v>
      </c>
      <c r="J326" s="18">
        <v>0</v>
      </c>
      <c r="K326" s="18">
        <v>0</v>
      </c>
      <c r="L326" s="13">
        <f t="shared" si="16"/>
        <v>975.48969367475593</v>
      </c>
      <c r="M326" s="8"/>
      <c r="N326" s="1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616259.74194729817</v>
      </c>
      <c r="G329" s="39">
        <f t="shared" si="17"/>
        <v>318250.55009107332</v>
      </c>
      <c r="H329" s="39">
        <f t="shared" si="17"/>
        <v>378055.90350095899</v>
      </c>
      <c r="I329" s="39">
        <f t="shared" si="17"/>
        <v>230726.15214611741</v>
      </c>
      <c r="J329" s="39">
        <f t="shared" si="17"/>
        <v>18808.279295689357</v>
      </c>
      <c r="K329" s="39">
        <f t="shared" si="17"/>
        <v>19712.599999999999</v>
      </c>
      <c r="L329" s="38">
        <f t="shared" si="17"/>
        <v>1581813.2269811372</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5"/>
    </row>
    <row r="334" spans="1:14" s="3" customFormat="1" ht="12.2" customHeight="1" x14ac:dyDescent="0.15">
      <c r="A334" s="1" t="s">
        <v>353</v>
      </c>
      <c r="B334" s="6">
        <v>14</v>
      </c>
      <c r="C334" s="2" t="s">
        <v>309</v>
      </c>
      <c r="D334" s="2" t="s">
        <v>431</v>
      </c>
      <c r="E334" s="6">
        <v>1600</v>
      </c>
      <c r="F334" s="18">
        <v>630814.93000000005</v>
      </c>
      <c r="G334" s="18">
        <v>251199.12000000002</v>
      </c>
      <c r="H334" s="18">
        <v>93350.31</v>
      </c>
      <c r="I334" s="18">
        <v>4256.5600000000004</v>
      </c>
      <c r="J334" s="18">
        <v>21500</v>
      </c>
      <c r="K334" s="18">
        <v>25656.170000000002</v>
      </c>
      <c r="L334" s="13">
        <f t="shared" si="18"/>
        <v>1026777.0900000002</v>
      </c>
      <c r="M334" s="8"/>
      <c r="N334" s="1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5"/>
    </row>
    <row r="337" spans="1:43" s="3" customFormat="1" ht="12.2" customHeight="1" thickBot="1" x14ac:dyDescent="0.2">
      <c r="A337" s="1" t="s">
        <v>584</v>
      </c>
      <c r="B337" s="6">
        <v>14</v>
      </c>
      <c r="C337" s="6">
        <v>5</v>
      </c>
      <c r="D337" s="2" t="s">
        <v>431</v>
      </c>
      <c r="E337" s="6">
        <v>4000</v>
      </c>
      <c r="F337" s="18">
        <v>0</v>
      </c>
      <c r="G337" s="18">
        <v>0</v>
      </c>
      <c r="H337" s="18">
        <v>0</v>
      </c>
      <c r="I337" s="18">
        <v>0</v>
      </c>
      <c r="J337" s="18">
        <v>0</v>
      </c>
      <c r="K337" s="18">
        <v>0</v>
      </c>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630814.93000000005</v>
      </c>
      <c r="G338" s="38">
        <f t="shared" si="19"/>
        <v>251199.12000000002</v>
      </c>
      <c r="H338" s="38">
        <f t="shared" si="19"/>
        <v>93350.31</v>
      </c>
      <c r="I338" s="38">
        <f t="shared" si="19"/>
        <v>4256.5600000000004</v>
      </c>
      <c r="J338" s="38">
        <f t="shared" si="19"/>
        <v>21500</v>
      </c>
      <c r="K338" s="38">
        <f t="shared" si="19"/>
        <v>25656.170000000002</v>
      </c>
      <c r="L338" s="38">
        <f t="shared" si="18"/>
        <v>1026777.0900000002</v>
      </c>
      <c r="M338" s="8"/>
      <c r="N338" s="165"/>
    </row>
    <row r="339" spans="1:43" s="3" customFormat="1" ht="12.2" customHeight="1" thickTop="1" x14ac:dyDescent="0.15">
      <c r="A339" s="35" t="s">
        <v>468</v>
      </c>
      <c r="B339" s="37">
        <v>14</v>
      </c>
      <c r="C339" s="37">
        <v>7</v>
      </c>
      <c r="D339" s="36" t="s">
        <v>431</v>
      </c>
      <c r="E339" s="37"/>
      <c r="F339" s="38">
        <f t="shared" ref="F339:L339" si="20">F291+F310+F329+F338</f>
        <v>2511897.67</v>
      </c>
      <c r="G339" s="38">
        <f t="shared" si="20"/>
        <v>1167420.7500000002</v>
      </c>
      <c r="H339" s="38">
        <f t="shared" si="20"/>
        <v>1006803.78</v>
      </c>
      <c r="I339" s="38">
        <f t="shared" si="20"/>
        <v>437477.61000000004</v>
      </c>
      <c r="J339" s="38">
        <f t="shared" si="20"/>
        <v>104545.05</v>
      </c>
      <c r="K339" s="38">
        <f t="shared" si="20"/>
        <v>45368.770000000004</v>
      </c>
      <c r="L339" s="38">
        <f t="shared" si="20"/>
        <v>5273513.6300000008</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171977.61000000002</v>
      </c>
      <c r="L345" s="13">
        <f t="shared" ref="L345:L351" si="21">SUM(F345:K345)</f>
        <v>171977.61000000002</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171977.61000000002</v>
      </c>
      <c r="L352" s="38">
        <f>SUM(L342:L351)</f>
        <v>171977.61000000002</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2511897.67</v>
      </c>
      <c r="G353" s="38">
        <f>G339</f>
        <v>1167420.7500000002</v>
      </c>
      <c r="H353" s="38">
        <f>H339</f>
        <v>1006803.78</v>
      </c>
      <c r="I353" s="38">
        <f>I339</f>
        <v>437477.61000000004</v>
      </c>
      <c r="J353" s="38">
        <f>J339</f>
        <v>104545.05</v>
      </c>
      <c r="K353" s="38">
        <f>K339+K352</f>
        <v>217346.38</v>
      </c>
      <c r="L353" s="38">
        <f>L339+L352</f>
        <v>5445491.2400000012</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0</v>
      </c>
      <c r="G359" s="18">
        <v>92.100361465388715</v>
      </c>
      <c r="H359" s="18">
        <v>589512.93567847461</v>
      </c>
      <c r="I359" s="18">
        <v>44991.567604698255</v>
      </c>
      <c r="J359" s="18">
        <v>15570.358830612786</v>
      </c>
      <c r="K359" s="18">
        <v>1554.6283830626123</v>
      </c>
      <c r="L359" s="13">
        <f>SUM(F359:K359)</f>
        <v>651721.5908583136</v>
      </c>
      <c r="M359" s="8"/>
      <c r="N359" s="165"/>
    </row>
    <row r="360" spans="1:22" s="3" customFormat="1" ht="12.2" customHeight="1" x14ac:dyDescent="0.15">
      <c r="A360" s="1" t="s">
        <v>542</v>
      </c>
      <c r="B360" s="2" t="s">
        <v>366</v>
      </c>
      <c r="C360" s="6">
        <v>2</v>
      </c>
      <c r="D360" s="2" t="s">
        <v>431</v>
      </c>
      <c r="E360" s="6"/>
      <c r="F360" s="18">
        <v>0</v>
      </c>
      <c r="G360" s="18">
        <v>83.062819616766674</v>
      </c>
      <c r="H360" s="18">
        <v>531665.73788544082</v>
      </c>
      <c r="I360" s="18">
        <v>40576.675322050993</v>
      </c>
      <c r="J360" s="18">
        <v>14042.484593304755</v>
      </c>
      <c r="K360" s="18">
        <v>1402.0772003371899</v>
      </c>
      <c r="L360" s="13">
        <f>SUM(F360:K360)</f>
        <v>587770.03782075061</v>
      </c>
      <c r="M360" s="8"/>
      <c r="N360" s="165"/>
    </row>
    <row r="361" spans="1:22" s="3" customFormat="1" ht="12.2" customHeight="1" x14ac:dyDescent="0.15">
      <c r="A361" s="3" t="s">
        <v>543</v>
      </c>
      <c r="B361" s="2" t="s">
        <v>366</v>
      </c>
      <c r="C361" s="6">
        <v>3</v>
      </c>
      <c r="D361" s="2" t="s">
        <v>431</v>
      </c>
      <c r="E361" s="6"/>
      <c r="F361" s="18">
        <v>0</v>
      </c>
      <c r="G361" s="18">
        <v>118.48681891784466</v>
      </c>
      <c r="H361" s="18">
        <v>758406.49643608462</v>
      </c>
      <c r="I361" s="18">
        <v>57881.507073250759</v>
      </c>
      <c r="J361" s="18">
        <v>20031.216576082461</v>
      </c>
      <c r="K361" s="18">
        <v>2000.0244166001978</v>
      </c>
      <c r="L361" s="13">
        <f>SUM(F361:K361)</f>
        <v>838437.73132093588</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293.65000000000009</v>
      </c>
      <c r="H363" s="38">
        <f t="shared" si="22"/>
        <v>1879585.17</v>
      </c>
      <c r="I363" s="38">
        <f t="shared" si="22"/>
        <v>143449.75</v>
      </c>
      <c r="J363" s="38">
        <f t="shared" si="22"/>
        <v>49644.06</v>
      </c>
      <c r="K363" s="38">
        <f t="shared" si="22"/>
        <v>4956.7299999999996</v>
      </c>
      <c r="L363" s="38">
        <f t="shared" si="22"/>
        <v>2077929.3599999999</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44496.660361046575</v>
      </c>
      <c r="G368" s="18">
        <v>40130.331893508432</v>
      </c>
      <c r="H368" s="18">
        <v>57244.810495445003</v>
      </c>
      <c r="I368" s="13">
        <f>SUM(F368:H368)</f>
        <v>141871.80275</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494.9072436516808</v>
      </c>
      <c r="G369" s="53">
        <v>446.3434285425609</v>
      </c>
      <c r="H369" s="53">
        <v>636.69657780575835</v>
      </c>
      <c r="I369" s="13">
        <f>SUM(F369:H369)</f>
        <v>1577.9472500000002</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44991.567604698255</v>
      </c>
      <c r="G370" s="38">
        <f>SUM(G368:G369)</f>
        <v>40576.675322050993</v>
      </c>
      <c r="H370" s="38">
        <f>SUM(H368:H369)</f>
        <v>57881.507073250759</v>
      </c>
      <c r="I370" s="38">
        <f>SUM(I368:I369)</f>
        <v>143449.75</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5"/>
    </row>
    <row r="380" spans="1:14" s="3" customFormat="1" ht="12.2" customHeight="1" x14ac:dyDescent="0.15">
      <c r="A380" s="1" t="s">
        <v>549</v>
      </c>
      <c r="B380" s="2" t="s">
        <v>366</v>
      </c>
      <c r="C380" s="2" t="s">
        <v>345</v>
      </c>
      <c r="D380" s="2" t="s">
        <v>431</v>
      </c>
      <c r="E380" s="6">
        <v>4600</v>
      </c>
      <c r="F380" s="18">
        <v>0</v>
      </c>
      <c r="G380" s="18">
        <v>0</v>
      </c>
      <c r="H380" s="18">
        <v>0</v>
      </c>
      <c r="I380" s="18">
        <v>0</v>
      </c>
      <c r="J380" s="18">
        <v>33903.64</v>
      </c>
      <c r="K380" s="18">
        <v>0</v>
      </c>
      <c r="L380" s="13">
        <f t="shared" si="23"/>
        <v>33903.64</v>
      </c>
      <c r="M380" s="8"/>
      <c r="N380" s="1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33903.64</v>
      </c>
      <c r="K383" s="38">
        <f t="shared" si="24"/>
        <v>0</v>
      </c>
      <c r="L383" s="38">
        <f t="shared" si="24"/>
        <v>33903.64</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0</v>
      </c>
      <c r="I409" s="38">
        <f>I394+I402+I408</f>
        <v>0</v>
      </c>
      <c r="J409" s="23" t="s">
        <v>288</v>
      </c>
      <c r="K409" s="23" t="s">
        <v>288</v>
      </c>
      <c r="L409" s="38">
        <f>L394+L402+L408</f>
        <v>0</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0</v>
      </c>
      <c r="H447" s="13">
        <f>SUM(H440:H446)</f>
        <v>0</v>
      </c>
      <c r="I447" s="13">
        <f>SUM(I440:I446)</f>
        <v>0</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0</v>
      </c>
      <c r="H461" s="65">
        <f>SUM(H455:H460)</f>
        <v>0</v>
      </c>
      <c r="I461" s="65">
        <f>SUM(I455:I460)</f>
        <v>0</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0</v>
      </c>
      <c r="H462" s="39">
        <f>H453+H461</f>
        <v>0</v>
      </c>
      <c r="I462" s="39">
        <f>I453+I461</f>
        <v>0</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0</v>
      </c>
      <c r="G466" s="18">
        <v>1249977.8399999999</v>
      </c>
      <c r="H466" s="18">
        <v>1551547.7699999977</v>
      </c>
      <c r="I466" s="18">
        <v>0</v>
      </c>
      <c r="J466" s="18"/>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74746799.019999996</v>
      </c>
      <c r="G469" s="18">
        <v>1860209.0400000003</v>
      </c>
      <c r="H469" s="18">
        <v>5336029.54</v>
      </c>
      <c r="I469" s="18">
        <v>325000</v>
      </c>
      <c r="J469" s="18"/>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74746799.019999996</v>
      </c>
      <c r="G471" s="19">
        <f>SUM(G469:G470)</f>
        <v>1860209.0400000003</v>
      </c>
      <c r="H471" s="19">
        <f>SUM(H469:H470)</f>
        <v>5336029.54</v>
      </c>
      <c r="I471" s="19">
        <f>SUM(I469:I470)</f>
        <v>325000</v>
      </c>
      <c r="J471" s="19">
        <f>SUM(J469:J470)</f>
        <v>0</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73123672.320000008</v>
      </c>
      <c r="G473" s="18">
        <v>2077929.3599999999</v>
      </c>
      <c r="H473" s="18">
        <v>5445491.2400000012</v>
      </c>
      <c r="I473" s="18">
        <v>33903.64</v>
      </c>
      <c r="J473" s="18"/>
      <c r="K473" s="23" t="s">
        <v>288</v>
      </c>
      <c r="L473" s="23" t="s">
        <v>288</v>
      </c>
      <c r="N473" s="131"/>
    </row>
    <row r="474" spans="1:14" ht="12.2" customHeight="1" x14ac:dyDescent="0.2">
      <c r="A474" s="71" t="s">
        <v>613</v>
      </c>
      <c r="B474" s="22">
        <v>19</v>
      </c>
      <c r="C474" s="31">
        <v>6</v>
      </c>
      <c r="D474" s="2" t="s">
        <v>432</v>
      </c>
      <c r="E474" s="31"/>
      <c r="F474" s="18">
        <v>1623126.6999999881</v>
      </c>
      <c r="G474" s="18"/>
      <c r="H474" s="18"/>
      <c r="I474" s="18">
        <v>291096.36</v>
      </c>
      <c r="J474" s="18"/>
      <c r="K474" s="23" t="s">
        <v>288</v>
      </c>
      <c r="L474" s="23" t="s">
        <v>288</v>
      </c>
      <c r="N474" s="131"/>
    </row>
    <row r="475" spans="1:14" ht="12.2" customHeight="1" x14ac:dyDescent="0.2">
      <c r="A475" s="32" t="s">
        <v>426</v>
      </c>
      <c r="B475" s="22">
        <v>19</v>
      </c>
      <c r="C475" s="31">
        <v>7</v>
      </c>
      <c r="D475" s="2" t="s">
        <v>432</v>
      </c>
      <c r="E475" s="31"/>
      <c r="F475" s="19">
        <f>SUM(F473:F474)</f>
        <v>74746799.019999996</v>
      </c>
      <c r="G475" s="19">
        <f>SUM(G473:G474)</f>
        <v>2077929.3599999999</v>
      </c>
      <c r="H475" s="19">
        <f>SUM(H473:H474)</f>
        <v>5445491.2400000012</v>
      </c>
      <c r="I475" s="19">
        <f>SUM(I473:I474)</f>
        <v>325000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0</v>
      </c>
      <c r="G477" s="19">
        <f>(G466+G471)- G475</f>
        <v>1032257.52</v>
      </c>
      <c r="H477" s="19">
        <f>(H466+H471)- H475</f>
        <v>1442086.0699999966</v>
      </c>
      <c r="I477" s="19">
        <f>(I466+I471)- I475</f>
        <v>0</v>
      </c>
      <c r="J477" s="19">
        <f>(J466+J471)- J475</f>
        <v>0</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1812</v>
      </c>
      <c r="B484" s="73"/>
      <c r="C484" s="73"/>
      <c r="D484" s="73"/>
      <c r="E484" s="73"/>
      <c r="F484" s="73"/>
      <c r="G484" s="73"/>
      <c r="H484" s="73"/>
      <c r="I484" s="73" t="s">
        <v>18</v>
      </c>
      <c r="J484" s="73"/>
      <c r="K484" s="73"/>
      <c r="L484" s="73"/>
      <c r="N484" s="131"/>
    </row>
    <row r="485" spans="1:14" ht="12.2" customHeight="1" x14ac:dyDescent="0.2">
      <c r="A485" s="55" t="s">
        <v>1813</v>
      </c>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v>85543305.599999994</v>
      </c>
      <c r="G496" s="18"/>
      <c r="H496" s="18"/>
      <c r="I496" s="18"/>
      <c r="J496" s="18"/>
      <c r="K496" s="19">
        <f>SUM(F496:J496)</f>
        <v>85543305.599999994</v>
      </c>
      <c r="L496" s="23" t="s">
        <v>288</v>
      </c>
      <c r="N496" s="131"/>
    </row>
    <row r="497" spans="1:14" ht="12.2" customHeight="1" x14ac:dyDescent="0.2">
      <c r="A497" s="21" t="s">
        <v>620</v>
      </c>
      <c r="B497" s="22">
        <v>20</v>
      </c>
      <c r="C497" s="22">
        <v>7</v>
      </c>
      <c r="D497" s="2" t="s">
        <v>432</v>
      </c>
      <c r="E497" s="22"/>
      <c r="F497" s="18">
        <v>465500</v>
      </c>
      <c r="G497" s="18"/>
      <c r="H497" s="18"/>
      <c r="I497" s="18"/>
      <c r="J497" s="18"/>
      <c r="K497" s="19">
        <f t="shared" ref="K497:K504" si="35">SUM(F497:J497)</f>
        <v>465500</v>
      </c>
      <c r="L497" s="23" t="s">
        <v>288</v>
      </c>
      <c r="N497" s="131"/>
    </row>
    <row r="498" spans="1:14" ht="12.2" customHeight="1" x14ac:dyDescent="0.2">
      <c r="A498" s="21" t="s">
        <v>621</v>
      </c>
      <c r="B498" s="22">
        <v>20</v>
      </c>
      <c r="C498" s="22">
        <v>8</v>
      </c>
      <c r="D498" s="2" t="s">
        <v>432</v>
      </c>
      <c r="E498" s="22"/>
      <c r="F498" s="18">
        <v>3224673.84</v>
      </c>
      <c r="G498" s="18"/>
      <c r="H498" s="18"/>
      <c r="I498" s="18"/>
      <c r="J498" s="18"/>
      <c r="K498" s="19">
        <f t="shared" si="35"/>
        <v>3224673.84</v>
      </c>
      <c r="L498" s="23" t="s">
        <v>288</v>
      </c>
      <c r="N498" s="131"/>
    </row>
    <row r="499" spans="1:14" ht="12.2" customHeight="1" x14ac:dyDescent="0.2">
      <c r="A499" s="144" t="s">
        <v>622</v>
      </c>
      <c r="B499" s="145">
        <v>20</v>
      </c>
      <c r="C499" s="145">
        <v>9</v>
      </c>
      <c r="D499" s="146" t="s">
        <v>432</v>
      </c>
      <c r="E499" s="145"/>
      <c r="F499" s="147">
        <v>82784131.760000005</v>
      </c>
      <c r="G499" s="147"/>
      <c r="H499" s="147"/>
      <c r="I499" s="147"/>
      <c r="J499" s="147"/>
      <c r="K499" s="148">
        <f t="shared" si="35"/>
        <v>82784131.760000005</v>
      </c>
      <c r="L499" s="149" t="s">
        <v>288</v>
      </c>
      <c r="N499" s="131"/>
    </row>
    <row r="500" spans="1:14" ht="12.2" customHeight="1" thickBot="1" x14ac:dyDescent="0.25">
      <c r="A500" s="21" t="s">
        <v>623</v>
      </c>
      <c r="B500" s="22">
        <v>20</v>
      </c>
      <c r="C500" s="22">
        <v>10</v>
      </c>
      <c r="D500" s="2" t="s">
        <v>432</v>
      </c>
      <c r="E500" s="22"/>
      <c r="F500" s="18">
        <v>29993089.010000002</v>
      </c>
      <c r="G500" s="18"/>
      <c r="H500" s="18"/>
      <c r="I500" s="18"/>
      <c r="J500" s="18"/>
      <c r="K500" s="19">
        <f t="shared" si="35"/>
        <v>29993089.010000002</v>
      </c>
      <c r="L500" s="23" t="s">
        <v>288</v>
      </c>
      <c r="N500" s="131"/>
    </row>
    <row r="501" spans="1:14" ht="12.2" customHeight="1" thickTop="1" x14ac:dyDescent="0.2">
      <c r="A501" s="97" t="s">
        <v>624</v>
      </c>
      <c r="B501" s="41">
        <v>20</v>
      </c>
      <c r="C501" s="41">
        <v>11</v>
      </c>
      <c r="D501" s="36" t="s">
        <v>432</v>
      </c>
      <c r="E501" s="41"/>
      <c r="F501" s="39">
        <f>SUM(F499:F500)</f>
        <v>112777220.77000001</v>
      </c>
      <c r="G501" s="39">
        <f>SUM(G499:G500)</f>
        <v>0</v>
      </c>
      <c r="H501" s="39">
        <f>SUM(H499:H500)</f>
        <v>0</v>
      </c>
      <c r="I501" s="39">
        <f>SUM(I499:I500)</f>
        <v>0</v>
      </c>
      <c r="J501" s="39">
        <f>SUM(J499:J500)</f>
        <v>0</v>
      </c>
      <c r="K501" s="39">
        <f t="shared" si="35"/>
        <v>112777220.77000001</v>
      </c>
      <c r="L501" s="42" t="s">
        <v>288</v>
      </c>
      <c r="N501" s="131"/>
    </row>
    <row r="502" spans="1:14" ht="12.2" customHeight="1" x14ac:dyDescent="0.2">
      <c r="A502" s="144" t="s">
        <v>651</v>
      </c>
      <c r="B502" s="145">
        <v>20</v>
      </c>
      <c r="C502" s="145">
        <v>12</v>
      </c>
      <c r="D502" s="146" t="s">
        <v>432</v>
      </c>
      <c r="E502" s="145"/>
      <c r="F502" s="147">
        <v>3344745.53</v>
      </c>
      <c r="G502" s="147"/>
      <c r="H502" s="147"/>
      <c r="I502" s="147"/>
      <c r="J502" s="147"/>
      <c r="K502" s="148">
        <f t="shared" si="35"/>
        <v>3344745.53</v>
      </c>
      <c r="L502" s="149" t="s">
        <v>288</v>
      </c>
      <c r="N502" s="131"/>
    </row>
    <row r="503" spans="1:14" ht="12.2" customHeight="1" thickBot="1" x14ac:dyDescent="0.25">
      <c r="A503" s="21" t="s">
        <v>625</v>
      </c>
      <c r="B503" s="22">
        <v>20</v>
      </c>
      <c r="C503" s="22">
        <v>13</v>
      </c>
      <c r="D503" s="2" t="s">
        <v>432</v>
      </c>
      <c r="E503" s="22"/>
      <c r="F503" s="18">
        <v>3017575.57</v>
      </c>
      <c r="G503" s="18"/>
      <c r="H503" s="18"/>
      <c r="I503" s="18"/>
      <c r="J503" s="18"/>
      <c r="K503" s="19">
        <f t="shared" si="35"/>
        <v>3017575.57</v>
      </c>
      <c r="L503" s="23" t="s">
        <v>288</v>
      </c>
      <c r="N503" s="131"/>
    </row>
    <row r="504" spans="1:14" ht="12.2" customHeight="1" thickTop="1" x14ac:dyDescent="0.2">
      <c r="A504" s="97" t="s">
        <v>626</v>
      </c>
      <c r="B504" s="41">
        <v>20</v>
      </c>
      <c r="C504" s="41">
        <v>14</v>
      </c>
      <c r="D504" s="36" t="s">
        <v>432</v>
      </c>
      <c r="E504" s="41"/>
      <c r="F504" s="39">
        <f>SUM(F502:F503)</f>
        <v>6362321.0999999996</v>
      </c>
      <c r="G504" s="39">
        <f>SUM(G502:G503)</f>
        <v>0</v>
      </c>
      <c r="H504" s="39">
        <f>SUM(H502:H503)</f>
        <v>0</v>
      </c>
      <c r="I504" s="39">
        <f>SUM(I502:I503)</f>
        <v>0</v>
      </c>
      <c r="J504" s="39">
        <f>SUM(J502:J503)</f>
        <v>0</v>
      </c>
      <c r="K504" s="39">
        <f t="shared" si="35"/>
        <v>6362321.0999999996</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2871566.6517893742</v>
      </c>
      <c r="G522" s="18">
        <v>1021134.9373535666</v>
      </c>
      <c r="H522" s="18">
        <v>1602728.7133224939</v>
      </c>
      <c r="I522" s="18">
        <v>20338.90332593508</v>
      </c>
      <c r="J522" s="18">
        <v>5645.5529964813823</v>
      </c>
      <c r="K522" s="18">
        <v>9694.8607293864698</v>
      </c>
      <c r="L522" s="69">
        <f>SUM(F522:K522)</f>
        <v>5531109.6195172379</v>
      </c>
      <c r="N522" s="131"/>
    </row>
    <row r="523" spans="1:14" ht="12.2" customHeight="1" x14ac:dyDescent="0.2">
      <c r="A523" s="21" t="s">
        <v>634</v>
      </c>
      <c r="B523" s="22">
        <v>21</v>
      </c>
      <c r="C523" s="22">
        <v>2</v>
      </c>
      <c r="D523" s="2" t="s">
        <v>432</v>
      </c>
      <c r="E523" s="22"/>
      <c r="F523" s="18">
        <v>1713535.7401477073</v>
      </c>
      <c r="G523" s="18">
        <v>764623.42857785383</v>
      </c>
      <c r="H523" s="18">
        <v>1965074.5780854339</v>
      </c>
      <c r="I523" s="18">
        <v>19449.209882757172</v>
      </c>
      <c r="J523" s="18">
        <v>5091.5712242872733</v>
      </c>
      <c r="K523" s="18">
        <v>8743.532111731487</v>
      </c>
      <c r="L523" s="69">
        <f>SUM(F523:K523)</f>
        <v>4476518.0600297712</v>
      </c>
      <c r="N523" s="131"/>
    </row>
    <row r="524" spans="1:14" ht="12.2" customHeight="1" thickBot="1" x14ac:dyDescent="0.25">
      <c r="A524" s="21" t="s">
        <v>635</v>
      </c>
      <c r="B524" s="22">
        <v>21</v>
      </c>
      <c r="C524" s="22">
        <v>3</v>
      </c>
      <c r="D524" s="2" t="s">
        <v>432</v>
      </c>
      <c r="E524" s="22"/>
      <c r="F524" s="18">
        <v>2420554.348062919</v>
      </c>
      <c r="G524" s="18">
        <v>1096925.6040685796</v>
      </c>
      <c r="H524" s="18">
        <v>2651920.4685920719</v>
      </c>
      <c r="I524" s="18">
        <v>34627.566791307763</v>
      </c>
      <c r="J524" s="18">
        <v>8803.9357792313458</v>
      </c>
      <c r="K524" s="18">
        <v>12561.407158882044</v>
      </c>
      <c r="L524" s="69">
        <f>SUM(F524:K524)</f>
        <v>6225393.3304529926</v>
      </c>
      <c r="N524" s="131"/>
    </row>
    <row r="525" spans="1:14" ht="12.2" customHeight="1" thickTop="1" x14ac:dyDescent="0.2">
      <c r="A525" s="97" t="s">
        <v>63</v>
      </c>
      <c r="B525" s="41">
        <v>21</v>
      </c>
      <c r="C525" s="41">
        <v>4</v>
      </c>
      <c r="D525" s="115" t="s">
        <v>432</v>
      </c>
      <c r="E525" s="41"/>
      <c r="F525" s="81">
        <f>SUM(F522:F524)</f>
        <v>7005656.7400000002</v>
      </c>
      <c r="G525" s="81">
        <f t="shared" ref="G525:L525" si="36">SUM(G522:G524)</f>
        <v>2882683.97</v>
      </c>
      <c r="H525" s="81">
        <f t="shared" si="36"/>
        <v>6219723.7599999998</v>
      </c>
      <c r="I525" s="81">
        <f t="shared" si="36"/>
        <v>74415.680000000022</v>
      </c>
      <c r="J525" s="81">
        <f t="shared" si="36"/>
        <v>19541.060000000001</v>
      </c>
      <c r="K525" s="81">
        <f t="shared" si="36"/>
        <v>30999.800000000003</v>
      </c>
      <c r="L525" s="70">
        <f t="shared" si="36"/>
        <v>16233021.010000002</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544523.34069030557</v>
      </c>
      <c r="G527" s="18">
        <v>370184.22497691168</v>
      </c>
      <c r="H527" s="18">
        <v>129539.6493422397</v>
      </c>
      <c r="I527" s="18">
        <v>0</v>
      </c>
      <c r="J527" s="18">
        <v>0</v>
      </c>
      <c r="K527" s="18">
        <v>0</v>
      </c>
      <c r="L527" s="69">
        <f>SUM(F527:K527)</f>
        <v>1044247.215009457</v>
      </c>
      <c r="M527" s="8"/>
      <c r="N527" s="165"/>
    </row>
    <row r="528" spans="1:14" s="3" customFormat="1" ht="12.2" customHeight="1" x14ac:dyDescent="0.15">
      <c r="A528" s="21" t="s">
        <v>634</v>
      </c>
      <c r="B528" s="22">
        <v>21</v>
      </c>
      <c r="C528" s="22">
        <v>6</v>
      </c>
      <c r="D528" s="2" t="s">
        <v>432</v>
      </c>
      <c r="E528" s="22"/>
      <c r="F528" s="18">
        <v>158272.30061499801</v>
      </c>
      <c r="G528" s="18">
        <v>86987.70317377281</v>
      </c>
      <c r="H528" s="18">
        <v>75964.879948834641</v>
      </c>
      <c r="I528" s="18">
        <v>0</v>
      </c>
      <c r="J528" s="18">
        <v>0</v>
      </c>
      <c r="K528" s="18">
        <v>0</v>
      </c>
      <c r="L528" s="69">
        <f>SUM(F528:K528)</f>
        <v>321224.88373760547</v>
      </c>
      <c r="M528" s="8"/>
      <c r="N528" s="165"/>
    </row>
    <row r="529" spans="1:14" s="3" customFormat="1" ht="12.2" customHeight="1" thickBot="1" x14ac:dyDescent="0.2">
      <c r="A529" s="21" t="s">
        <v>635</v>
      </c>
      <c r="B529" s="22">
        <v>21</v>
      </c>
      <c r="C529" s="22">
        <v>7</v>
      </c>
      <c r="D529" s="2" t="s">
        <v>432</v>
      </c>
      <c r="E529" s="22"/>
      <c r="F529" s="18">
        <v>237879.28869469644</v>
      </c>
      <c r="G529" s="18">
        <v>131173.73184931561</v>
      </c>
      <c r="H529" s="18">
        <v>146886.49070892564</v>
      </c>
      <c r="I529" s="18">
        <v>0</v>
      </c>
      <c r="J529" s="18">
        <v>0</v>
      </c>
      <c r="K529" s="18">
        <v>0</v>
      </c>
      <c r="L529" s="69">
        <f>SUM(F529:K529)</f>
        <v>515939.51125293772</v>
      </c>
      <c r="M529" s="8"/>
      <c r="N529" s="165"/>
    </row>
    <row r="530" spans="1:14" s="3" customFormat="1" ht="12.2" customHeight="1" thickTop="1" x14ac:dyDescent="0.15">
      <c r="A530" s="97" t="s">
        <v>65</v>
      </c>
      <c r="B530" s="41">
        <v>21</v>
      </c>
      <c r="C530" s="41">
        <v>8</v>
      </c>
      <c r="D530" s="115" t="s">
        <v>432</v>
      </c>
      <c r="E530" s="41"/>
      <c r="F530" s="70">
        <f>SUM(F527:F529)</f>
        <v>940674.92999999993</v>
      </c>
      <c r="G530" s="70">
        <f t="shared" ref="G530:L530" si="37">SUM(G527:G529)</f>
        <v>588345.66</v>
      </c>
      <c r="H530" s="70">
        <f t="shared" si="37"/>
        <v>352391.02</v>
      </c>
      <c r="I530" s="70">
        <f t="shared" si="37"/>
        <v>0</v>
      </c>
      <c r="J530" s="70">
        <f t="shared" si="37"/>
        <v>0</v>
      </c>
      <c r="K530" s="70">
        <f t="shared" si="37"/>
        <v>0</v>
      </c>
      <c r="L530" s="70">
        <f t="shared" si="37"/>
        <v>1881411.6100000003</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41981.621781717593</v>
      </c>
      <c r="G532" s="18">
        <v>20525.606052984695</v>
      </c>
      <c r="H532" s="18">
        <v>0</v>
      </c>
      <c r="I532" s="18">
        <v>0</v>
      </c>
      <c r="J532" s="18">
        <v>0</v>
      </c>
      <c r="K532" s="18">
        <v>0</v>
      </c>
      <c r="L532" s="69">
        <f>SUM(F532:K532)</f>
        <v>62507.227834702288</v>
      </c>
      <c r="M532" s="8"/>
      <c r="N532" s="165"/>
    </row>
    <row r="533" spans="1:14" s="3" customFormat="1" ht="12.2" customHeight="1" x14ac:dyDescent="0.15">
      <c r="A533" s="21" t="s">
        <v>634</v>
      </c>
      <c r="B533" s="22">
        <v>21</v>
      </c>
      <c r="C533" s="22">
        <v>10</v>
      </c>
      <c r="D533" s="2" t="s">
        <v>432</v>
      </c>
      <c r="E533" s="22"/>
      <c r="F533" s="18">
        <v>37862.086769166337</v>
      </c>
      <c r="G533" s="18">
        <v>18511.487750724933</v>
      </c>
      <c r="H533" s="18">
        <v>0</v>
      </c>
      <c r="I533" s="18">
        <v>0</v>
      </c>
      <c r="J533" s="18">
        <v>0</v>
      </c>
      <c r="K533" s="18">
        <v>0</v>
      </c>
      <c r="L533" s="69">
        <f>SUM(F533:K533)</f>
        <v>56373.57451989127</v>
      </c>
      <c r="M533" s="8"/>
      <c r="N533" s="165"/>
    </row>
    <row r="534" spans="1:14" s="3" customFormat="1" ht="12.2" customHeight="1" thickBot="1" x14ac:dyDescent="0.2">
      <c r="A534" s="21" t="s">
        <v>635</v>
      </c>
      <c r="B534" s="22">
        <v>21</v>
      </c>
      <c r="C534" s="22">
        <v>11</v>
      </c>
      <c r="D534" s="2" t="s">
        <v>432</v>
      </c>
      <c r="E534" s="22"/>
      <c r="F534" s="18">
        <v>140639.54144911608</v>
      </c>
      <c r="G534" s="18">
        <v>76565.01619629038</v>
      </c>
      <c r="H534" s="18">
        <v>0</v>
      </c>
      <c r="I534" s="18">
        <v>0</v>
      </c>
      <c r="J534" s="18">
        <v>0</v>
      </c>
      <c r="K534" s="18">
        <v>0</v>
      </c>
      <c r="L534" s="69">
        <f>SUM(F534:K534)</f>
        <v>217204.55764540646</v>
      </c>
      <c r="M534" s="8"/>
      <c r="N534" s="165"/>
    </row>
    <row r="535" spans="1:14" s="3" customFormat="1" ht="12.2" customHeight="1" thickTop="1" x14ac:dyDescent="0.15">
      <c r="A535" s="97" t="s">
        <v>67</v>
      </c>
      <c r="B535" s="41">
        <v>21</v>
      </c>
      <c r="C535" s="41">
        <v>12</v>
      </c>
      <c r="D535" s="115" t="s">
        <v>432</v>
      </c>
      <c r="E535" s="41"/>
      <c r="F535" s="70">
        <f>SUM(F532:F534)</f>
        <v>220483.25</v>
      </c>
      <c r="G535" s="70">
        <f t="shared" ref="G535:L535" si="38">SUM(G532:G534)</f>
        <v>115602.11000000002</v>
      </c>
      <c r="H535" s="70">
        <f t="shared" si="38"/>
        <v>0</v>
      </c>
      <c r="I535" s="70">
        <f t="shared" si="38"/>
        <v>0</v>
      </c>
      <c r="J535" s="70">
        <f t="shared" si="38"/>
        <v>0</v>
      </c>
      <c r="K535" s="70">
        <f t="shared" si="38"/>
        <v>0</v>
      </c>
      <c r="L535" s="70">
        <f t="shared" si="38"/>
        <v>336085.36</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v>0</v>
      </c>
      <c r="G537" s="18">
        <v>0</v>
      </c>
      <c r="H537" s="18">
        <v>51544.374241896374</v>
      </c>
      <c r="I537" s="18">
        <v>0</v>
      </c>
      <c r="J537" s="18">
        <v>0</v>
      </c>
      <c r="K537" s="18">
        <v>0</v>
      </c>
      <c r="L537" s="69">
        <f>SUM(F537:K537)</f>
        <v>51544.374241896374</v>
      </c>
      <c r="M537" s="8"/>
      <c r="N537" s="165"/>
    </row>
    <row r="538" spans="1:14" s="3" customFormat="1" ht="12.2" customHeight="1" x14ac:dyDescent="0.15">
      <c r="A538" s="21" t="s">
        <v>634</v>
      </c>
      <c r="B538" s="22">
        <v>21</v>
      </c>
      <c r="C538" s="22">
        <v>14</v>
      </c>
      <c r="D538" s="2" t="s">
        <v>432</v>
      </c>
      <c r="E538" s="22"/>
      <c r="F538" s="18">
        <v>0</v>
      </c>
      <c r="G538" s="18">
        <v>0</v>
      </c>
      <c r="H538" s="18">
        <v>46486.474013706342</v>
      </c>
      <c r="I538" s="18">
        <v>0</v>
      </c>
      <c r="J538" s="18">
        <v>0</v>
      </c>
      <c r="K538" s="18">
        <v>0</v>
      </c>
      <c r="L538" s="69">
        <f>SUM(F538:K538)</f>
        <v>46486.474013706342</v>
      </c>
      <c r="M538" s="8"/>
      <c r="N538" s="165"/>
    </row>
    <row r="539" spans="1:14" s="3" customFormat="1" ht="12.2" customHeight="1" thickBot="1" x14ac:dyDescent="0.2">
      <c r="A539" s="21" t="s">
        <v>635</v>
      </c>
      <c r="B539" s="22">
        <v>21</v>
      </c>
      <c r="C539" s="22">
        <v>15</v>
      </c>
      <c r="D539" s="2" t="s">
        <v>432</v>
      </c>
      <c r="E539" s="22"/>
      <c r="F539" s="18">
        <v>0</v>
      </c>
      <c r="G539" s="18">
        <v>0</v>
      </c>
      <c r="H539" s="18">
        <v>66311.671744397288</v>
      </c>
      <c r="I539" s="18">
        <v>0</v>
      </c>
      <c r="J539" s="18">
        <v>0</v>
      </c>
      <c r="K539" s="18">
        <v>0</v>
      </c>
      <c r="L539" s="69">
        <f>SUM(F539:K539)</f>
        <v>66311.671744397288</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164342.52000000002</v>
      </c>
      <c r="I540" s="70">
        <f t="shared" si="39"/>
        <v>0</v>
      </c>
      <c r="J540" s="70">
        <f t="shared" si="39"/>
        <v>0</v>
      </c>
      <c r="K540" s="70">
        <f t="shared" si="39"/>
        <v>0</v>
      </c>
      <c r="L540" s="70">
        <f t="shared" si="39"/>
        <v>164342.52000000002</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0</v>
      </c>
      <c r="G542" s="18">
        <v>0</v>
      </c>
      <c r="H542" s="18">
        <v>375510.90648580948</v>
      </c>
      <c r="I542" s="18">
        <v>0</v>
      </c>
      <c r="J542" s="18">
        <v>0</v>
      </c>
      <c r="K542" s="18">
        <v>0</v>
      </c>
      <c r="L542" s="69">
        <f>SUM(F542:K542)</f>
        <v>375510.90648580948</v>
      </c>
      <c r="M542" s="8"/>
      <c r="N542" s="165"/>
    </row>
    <row r="543" spans="1:14" s="3" customFormat="1" ht="12.2" customHeight="1" x14ac:dyDescent="0.15">
      <c r="A543" s="21" t="s">
        <v>634</v>
      </c>
      <c r="B543" s="22">
        <v>21</v>
      </c>
      <c r="C543" s="22">
        <v>18</v>
      </c>
      <c r="D543" s="2" t="s">
        <v>432</v>
      </c>
      <c r="E543" s="22"/>
      <c r="F543" s="18">
        <v>0</v>
      </c>
      <c r="G543" s="18">
        <v>0</v>
      </c>
      <c r="H543" s="18">
        <v>440215.06442956493</v>
      </c>
      <c r="I543" s="18">
        <v>0</v>
      </c>
      <c r="J543" s="18">
        <v>0</v>
      </c>
      <c r="K543" s="18">
        <v>0</v>
      </c>
      <c r="L543" s="69">
        <f>SUM(F543:K543)</f>
        <v>440215.06442956493</v>
      </c>
      <c r="M543" s="8"/>
      <c r="N543" s="165"/>
    </row>
    <row r="544" spans="1:14" s="3" customFormat="1" ht="12.2" customHeight="1" thickBot="1" x14ac:dyDescent="0.2">
      <c r="A544" s="21" t="s">
        <v>635</v>
      </c>
      <c r="B544" s="22">
        <v>21</v>
      </c>
      <c r="C544" s="22">
        <v>19</v>
      </c>
      <c r="D544" s="2" t="s">
        <v>432</v>
      </c>
      <c r="E544" s="22"/>
      <c r="F544" s="18">
        <v>0</v>
      </c>
      <c r="G544" s="18">
        <v>0</v>
      </c>
      <c r="H544" s="18">
        <v>1096253.9290846256</v>
      </c>
      <c r="I544" s="18">
        <v>0</v>
      </c>
      <c r="J544" s="18">
        <v>0</v>
      </c>
      <c r="K544" s="18">
        <v>0</v>
      </c>
      <c r="L544" s="69">
        <f>SUM(F544:K544)</f>
        <v>1096253.9290846256</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1911979.9</v>
      </c>
      <c r="I545" s="141">
        <f t="shared" si="40"/>
        <v>0</v>
      </c>
      <c r="J545" s="141">
        <f t="shared" si="40"/>
        <v>0</v>
      </c>
      <c r="K545" s="141">
        <f t="shared" si="40"/>
        <v>0</v>
      </c>
      <c r="L545" s="141">
        <f t="shared" si="40"/>
        <v>1911979.9</v>
      </c>
      <c r="M545" s="8"/>
      <c r="N545" s="165"/>
    </row>
    <row r="546" spans="1:14" s="3" customFormat="1" ht="12.2" customHeight="1" thickTop="1" x14ac:dyDescent="0.15">
      <c r="A546" s="75" t="s">
        <v>72</v>
      </c>
      <c r="B546" s="41">
        <v>21</v>
      </c>
      <c r="C546" s="41">
        <v>21</v>
      </c>
      <c r="D546" s="115" t="s">
        <v>432</v>
      </c>
      <c r="E546" s="41"/>
      <c r="F546" s="70">
        <f>F525+F530+F535+F540+F545</f>
        <v>8166814.9199999999</v>
      </c>
      <c r="G546" s="70">
        <f t="shared" ref="G546:L546" si="41">G525+G530+G535+G540+G545</f>
        <v>3586631.74</v>
      </c>
      <c r="H546" s="70">
        <f t="shared" si="41"/>
        <v>8648437.1999999993</v>
      </c>
      <c r="I546" s="70">
        <f t="shared" si="41"/>
        <v>74415.680000000022</v>
      </c>
      <c r="J546" s="70">
        <f t="shared" si="41"/>
        <v>19541.060000000001</v>
      </c>
      <c r="K546" s="70">
        <f t="shared" si="41"/>
        <v>30999.800000000003</v>
      </c>
      <c r="L546" s="70">
        <f t="shared" si="41"/>
        <v>20526840.399999999</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5531109.6195172379</v>
      </c>
      <c r="G550" s="69">
        <f>L527</f>
        <v>1044247.215009457</v>
      </c>
      <c r="H550" s="69">
        <f>L532</f>
        <v>62507.227834702288</v>
      </c>
      <c r="I550" s="69">
        <f>L537</f>
        <v>51544.374241896374</v>
      </c>
      <c r="J550" s="69">
        <f>L542</f>
        <v>375510.90648580948</v>
      </c>
      <c r="K550" s="69">
        <f>SUM(F550:J550)</f>
        <v>7064919.3430891037</v>
      </c>
      <c r="L550" s="23" t="s">
        <v>288</v>
      </c>
      <c r="M550" s="8"/>
      <c r="N550" s="165"/>
    </row>
    <row r="551" spans="1:14" s="3" customFormat="1" ht="12.2" customHeight="1" x14ac:dyDescent="0.15">
      <c r="A551" s="21" t="s">
        <v>634</v>
      </c>
      <c r="B551" s="22">
        <v>21</v>
      </c>
      <c r="C551" s="22">
        <v>23</v>
      </c>
      <c r="D551" s="2" t="s">
        <v>432</v>
      </c>
      <c r="E551" s="22"/>
      <c r="F551" s="69">
        <f>L523</f>
        <v>4476518.0600297712</v>
      </c>
      <c r="G551" s="69">
        <f>L528</f>
        <v>321224.88373760547</v>
      </c>
      <c r="H551" s="69">
        <f>L533</f>
        <v>56373.57451989127</v>
      </c>
      <c r="I551" s="69">
        <f>L538</f>
        <v>46486.474013706342</v>
      </c>
      <c r="J551" s="69">
        <f>L543</f>
        <v>440215.06442956493</v>
      </c>
      <c r="K551" s="69">
        <f>SUM(F551:J551)</f>
        <v>5340818.0567305395</v>
      </c>
      <c r="L551" s="23" t="s">
        <v>288</v>
      </c>
      <c r="M551" s="8"/>
      <c r="N551" s="165"/>
    </row>
    <row r="552" spans="1:14" s="3" customFormat="1" ht="12.2" customHeight="1" thickBot="1" x14ac:dyDescent="0.2">
      <c r="A552" s="21" t="s">
        <v>635</v>
      </c>
      <c r="B552" s="22">
        <v>21</v>
      </c>
      <c r="C552" s="22">
        <v>24</v>
      </c>
      <c r="D552" s="2" t="s">
        <v>432</v>
      </c>
      <c r="E552" s="22"/>
      <c r="F552" s="69">
        <f>L524</f>
        <v>6225393.3304529926</v>
      </c>
      <c r="G552" s="69">
        <f>L529</f>
        <v>515939.51125293772</v>
      </c>
      <c r="H552" s="69">
        <f>L534</f>
        <v>217204.55764540646</v>
      </c>
      <c r="I552" s="69">
        <f>L539</f>
        <v>66311.671744397288</v>
      </c>
      <c r="J552" s="69">
        <f>L544</f>
        <v>1096253.9290846256</v>
      </c>
      <c r="K552" s="69">
        <f>SUM(F552:J552)</f>
        <v>8121103.0001803599</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16233021.010000002</v>
      </c>
      <c r="G553" s="70">
        <f t="shared" si="42"/>
        <v>1881411.6100000003</v>
      </c>
      <c r="H553" s="70">
        <f t="shared" si="42"/>
        <v>336085.36</v>
      </c>
      <c r="I553" s="70">
        <f t="shared" si="42"/>
        <v>164342.52000000002</v>
      </c>
      <c r="J553" s="70">
        <f t="shared" si="42"/>
        <v>1911979.9</v>
      </c>
      <c r="K553" s="70">
        <f t="shared" si="42"/>
        <v>20526840.400000002</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840727.85</v>
      </c>
      <c r="G583" s="18">
        <v>1395759.57</v>
      </c>
      <c r="H583" s="18">
        <v>2306045.84</v>
      </c>
      <c r="I583" s="69">
        <f t="shared" si="47"/>
        <v>4542533.26</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v>5489.59</v>
      </c>
      <c r="I588" s="69">
        <f t="shared" si="47"/>
        <v>5489.59</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553482.98886089062</v>
      </c>
      <c r="I592" s="18">
        <v>499171.30544572289</v>
      </c>
      <c r="J592" s="18">
        <v>712054.08569338673</v>
      </c>
      <c r="K592" s="80">
        <f t="shared" ref="K592:K598" si="48">SUM(H592:J592)</f>
        <v>1764708.3800000004</v>
      </c>
      <c r="L592" s="23" t="s">
        <v>288</v>
      </c>
      <c r="M592" s="8"/>
      <c r="N592" s="165"/>
    </row>
    <row r="593" spans="1:14" s="3" customFormat="1" ht="12.2" customHeight="1" x14ac:dyDescent="0.15">
      <c r="A593" s="3" t="s">
        <v>638</v>
      </c>
      <c r="B593" s="22">
        <v>23</v>
      </c>
      <c r="C593" s="22">
        <v>2</v>
      </c>
      <c r="D593" s="2" t="s">
        <v>432</v>
      </c>
      <c r="E593" s="22"/>
      <c r="F593" s="78">
        <v>2722</v>
      </c>
      <c r="G593" s="79" t="s">
        <v>97</v>
      </c>
      <c r="H593" s="18">
        <v>375510.90648580948</v>
      </c>
      <c r="I593" s="18">
        <v>440215.06442956493</v>
      </c>
      <c r="J593" s="18">
        <v>1096253.9290846256</v>
      </c>
      <c r="K593" s="80">
        <f t="shared" si="48"/>
        <v>1911979.9</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v>0</v>
      </c>
      <c r="J594" s="18">
        <v>117990.82</v>
      </c>
      <c r="K594" s="80">
        <f t="shared" si="48"/>
        <v>117990.82</v>
      </c>
      <c r="L594" s="23" t="s">
        <v>288</v>
      </c>
      <c r="M594" s="8"/>
      <c r="N594" s="165"/>
    </row>
    <row r="595" spans="1:14" s="3" customFormat="1" ht="12.2" customHeight="1" x14ac:dyDescent="0.15">
      <c r="A595" s="21" t="s">
        <v>640</v>
      </c>
      <c r="B595" s="22">
        <v>23</v>
      </c>
      <c r="C595" s="22">
        <v>4</v>
      </c>
      <c r="D595" s="2" t="s">
        <v>432</v>
      </c>
      <c r="E595" s="22"/>
      <c r="F595" s="78">
        <v>2724</v>
      </c>
      <c r="G595" s="79" t="s">
        <v>97</v>
      </c>
      <c r="H595" s="18">
        <v>0</v>
      </c>
      <c r="I595" s="18">
        <v>14108.75</v>
      </c>
      <c r="J595" s="18">
        <v>124824.62</v>
      </c>
      <c r="K595" s="80">
        <f t="shared" si="48"/>
        <v>138933.37</v>
      </c>
      <c r="L595" s="23" t="s">
        <v>288</v>
      </c>
      <c r="M595" s="8"/>
      <c r="N595" s="165"/>
    </row>
    <row r="596" spans="1:14" s="3" customFormat="1" ht="12.2" customHeight="1" x14ac:dyDescent="0.15">
      <c r="A596" s="103" t="s">
        <v>652</v>
      </c>
      <c r="B596" s="22">
        <v>23</v>
      </c>
      <c r="C596" s="22">
        <v>5</v>
      </c>
      <c r="D596" s="2" t="s">
        <v>432</v>
      </c>
      <c r="E596" s="22"/>
      <c r="F596" s="78">
        <v>2725</v>
      </c>
      <c r="G596" s="79" t="s">
        <v>97</v>
      </c>
      <c r="H596" s="18">
        <v>135.6</v>
      </c>
      <c r="I596" s="18">
        <v>0</v>
      </c>
      <c r="J596" s="18">
        <v>13714.96</v>
      </c>
      <c r="K596" s="80">
        <f t="shared" si="48"/>
        <v>13850.56</v>
      </c>
      <c r="L596" s="23" t="s">
        <v>288</v>
      </c>
      <c r="M596" s="8"/>
      <c r="N596" s="165"/>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34780.214070100286</v>
      </c>
      <c r="I598" s="18">
        <v>31367.332348884796</v>
      </c>
      <c r="J598" s="18">
        <v>44744.633581014932</v>
      </c>
      <c r="K598" s="80">
        <f t="shared" si="48"/>
        <v>110892.18000000002</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963909.70941680041</v>
      </c>
      <c r="I599" s="81">
        <f>SUM(I592:I598)</f>
        <v>984862.45222417265</v>
      </c>
      <c r="J599" s="81">
        <f>SUM(J592:J598)</f>
        <v>2109583.0483590271</v>
      </c>
      <c r="K599" s="81">
        <f>SUM(K592:K598)</f>
        <v>4058355.2100000004</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68932.430071892944</v>
      </c>
      <c r="I605" s="18">
        <v>62168.290261909024</v>
      </c>
      <c r="J605" s="18">
        <v>88681.349666198061</v>
      </c>
      <c r="K605" s="80">
        <f>SUM(H605:J605)</f>
        <v>219782.07</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68932.430071892944</v>
      </c>
      <c r="I606" s="81">
        <f>SUM(I603:I605)</f>
        <v>62168.290261909024</v>
      </c>
      <c r="J606" s="81">
        <f>SUM(J603:J605)</f>
        <v>88681.349666198061</v>
      </c>
      <c r="K606" s="81">
        <f>SUM(K603:K605)</f>
        <v>219782.07</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178530.9130400173</v>
      </c>
      <c r="G612" s="18">
        <v>30183.847668534905</v>
      </c>
      <c r="H612" s="18">
        <v>439.36874975657776</v>
      </c>
      <c r="I612" s="18">
        <v>2786.8614582394102</v>
      </c>
      <c r="J612" s="18">
        <v>0</v>
      </c>
      <c r="K612" s="18">
        <v>0</v>
      </c>
      <c r="L612" s="69">
        <f>SUM(F612:K612)</f>
        <v>211940.99091654818</v>
      </c>
      <c r="M612" s="8"/>
      <c r="N612" s="165"/>
    </row>
    <row r="613" spans="1:14" s="3" customFormat="1" ht="12.2" customHeight="1" x14ac:dyDescent="0.15">
      <c r="A613" s="21" t="s">
        <v>634</v>
      </c>
      <c r="B613" s="22">
        <v>23</v>
      </c>
      <c r="C613" s="22">
        <v>14</v>
      </c>
      <c r="D613" s="2" t="s">
        <v>432</v>
      </c>
      <c r="E613" s="22"/>
      <c r="F613" s="18">
        <v>45435.627683447019</v>
      </c>
      <c r="G613" s="18">
        <v>8757.929903404709</v>
      </c>
      <c r="H613" s="18">
        <v>396.25476627461234</v>
      </c>
      <c r="I613" s="18">
        <v>2450.3178207771907</v>
      </c>
      <c r="J613" s="18">
        <v>0</v>
      </c>
      <c r="K613" s="18">
        <v>0</v>
      </c>
      <c r="L613" s="69">
        <f>SUM(F613:K613)</f>
        <v>57040.130173903533</v>
      </c>
      <c r="M613" s="8"/>
      <c r="N613" s="165"/>
    </row>
    <row r="614" spans="1:14" s="3" customFormat="1" ht="12.2" customHeight="1" thickBot="1" x14ac:dyDescent="0.2">
      <c r="A614" s="21" t="s">
        <v>645</v>
      </c>
      <c r="B614" s="22">
        <v>23</v>
      </c>
      <c r="C614" s="22">
        <v>15</v>
      </c>
      <c r="D614" s="2" t="s">
        <v>432</v>
      </c>
      <c r="E614" s="22"/>
      <c r="F614" s="18">
        <v>19421.869276535694</v>
      </c>
      <c r="G614" s="18">
        <v>6783.7324280603843</v>
      </c>
      <c r="H614" s="18">
        <v>565.24648396880991</v>
      </c>
      <c r="I614" s="18">
        <v>3495.3107209833988</v>
      </c>
      <c r="J614" s="18">
        <v>0</v>
      </c>
      <c r="K614" s="18">
        <v>0</v>
      </c>
      <c r="L614" s="69">
        <f>SUM(F614:K614)</f>
        <v>30266.158909548285</v>
      </c>
      <c r="M614" s="8"/>
      <c r="N614" s="165"/>
    </row>
    <row r="615" spans="1:14" s="3" customFormat="1" ht="12.2" customHeight="1" thickTop="1" x14ac:dyDescent="0.15">
      <c r="A615" s="75" t="s">
        <v>340</v>
      </c>
      <c r="B615" s="41">
        <v>23</v>
      </c>
      <c r="C615" s="41">
        <v>16</v>
      </c>
      <c r="D615" s="36" t="s">
        <v>432</v>
      </c>
      <c r="E615" s="41"/>
      <c r="F615" s="81">
        <f t="shared" ref="F615:L615" si="49">SUM(F612:F614)</f>
        <v>243388.41000000003</v>
      </c>
      <c r="G615" s="81">
        <f t="shared" si="49"/>
        <v>45725.51</v>
      </c>
      <c r="H615" s="81">
        <f t="shared" si="49"/>
        <v>1400.87</v>
      </c>
      <c r="I615" s="81">
        <f t="shared" si="49"/>
        <v>8732.49</v>
      </c>
      <c r="J615" s="81">
        <f t="shared" si="49"/>
        <v>0</v>
      </c>
      <c r="K615" s="81">
        <f t="shared" si="49"/>
        <v>0</v>
      </c>
      <c r="L615" s="70">
        <f t="shared" si="49"/>
        <v>299247.28000000003</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0</v>
      </c>
      <c r="H618" s="80">
        <f>SUM(F52)</f>
        <v>0</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1032257.52</v>
      </c>
      <c r="H619" s="80">
        <f>SUM(G52)</f>
        <v>1032257.52</v>
      </c>
      <c r="I619" s="87" t="s">
        <v>875</v>
      </c>
      <c r="J619" s="80">
        <f>G619-H619</f>
        <v>0</v>
      </c>
      <c r="K619" s="80"/>
      <c r="L619" s="80"/>
      <c r="M619" s="8"/>
    </row>
    <row r="620" spans="1:14" s="3" customFormat="1" ht="12.2" customHeight="1" x14ac:dyDescent="0.15">
      <c r="A620" s="74"/>
      <c r="B620" s="22"/>
      <c r="C620" s="22"/>
      <c r="D620" s="22"/>
      <c r="E620" s="22"/>
      <c r="F620" s="87" t="s">
        <v>685</v>
      </c>
      <c r="G620" s="80">
        <f>SUM(H19)</f>
        <v>1442086.0699999966</v>
      </c>
      <c r="H620" s="80">
        <f>SUM(H52)</f>
        <v>1442086.0699999966</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0</v>
      </c>
      <c r="H622" s="80">
        <f>SUM(J52)</f>
        <v>0</v>
      </c>
      <c r="I622" s="87" t="s">
        <v>878</v>
      </c>
      <c r="J622" s="80">
        <f>G622-H622</f>
        <v>0</v>
      </c>
      <c r="K622" s="80"/>
      <c r="L622" s="80"/>
      <c r="M622" s="8"/>
    </row>
    <row r="623" spans="1:14" s="3" customFormat="1" ht="12.2" customHeight="1" x14ac:dyDescent="0.15">
      <c r="A623" s="74"/>
      <c r="B623" s="22"/>
      <c r="C623" s="22"/>
      <c r="D623" s="22"/>
      <c r="E623" s="22"/>
      <c r="F623" s="87" t="s">
        <v>864</v>
      </c>
      <c r="G623" s="80">
        <f>F51</f>
        <v>0</v>
      </c>
      <c r="H623" s="80">
        <f>F477</f>
        <v>0</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1032257.52</v>
      </c>
      <c r="H624" s="80">
        <f>G477</f>
        <v>1032257.52</v>
      </c>
      <c r="I624" s="87" t="s">
        <v>102</v>
      </c>
      <c r="J624" s="80">
        <f t="shared" si="50"/>
        <v>0</v>
      </c>
      <c r="K624" s="80"/>
      <c r="L624" s="80"/>
      <c r="M624" s="8"/>
    </row>
    <row r="625" spans="1:13" s="3" customFormat="1" ht="12.2" customHeight="1" x14ac:dyDescent="0.15">
      <c r="A625" s="74"/>
      <c r="B625" s="22"/>
      <c r="C625" s="22"/>
      <c r="D625" s="22"/>
      <c r="E625" s="22"/>
      <c r="F625" s="86" t="s">
        <v>866</v>
      </c>
      <c r="G625" s="80">
        <f>H51</f>
        <v>1442086.0699999966</v>
      </c>
      <c r="H625" s="80">
        <f>H477</f>
        <v>1442086.0699999966</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0</v>
      </c>
      <c r="H627" s="80">
        <f>J477</f>
        <v>0</v>
      </c>
      <c r="I627" s="87" t="s">
        <v>105</v>
      </c>
      <c r="J627" s="80">
        <f t="shared" si="50"/>
        <v>0</v>
      </c>
      <c r="K627" s="67"/>
      <c r="L627" s="69"/>
      <c r="M627" s="8"/>
    </row>
    <row r="628" spans="1:13" s="3" customFormat="1" ht="12.2" customHeight="1" x14ac:dyDescent="0.15">
      <c r="A628" s="21"/>
      <c r="B628" s="22"/>
      <c r="C628" s="22"/>
      <c r="D628" s="22"/>
      <c r="E628" s="22"/>
      <c r="F628" s="86" t="s">
        <v>658</v>
      </c>
      <c r="G628" s="80">
        <f>F194</f>
        <v>74746799.019999996</v>
      </c>
      <c r="H628" s="80">
        <f>SUM(F469)</f>
        <v>74746799.019999996</v>
      </c>
      <c r="I628" s="87" t="s">
        <v>106</v>
      </c>
      <c r="J628" s="80">
        <f>G628-H628</f>
        <v>0</v>
      </c>
      <c r="K628" s="67"/>
      <c r="L628" s="69"/>
      <c r="M628" s="8"/>
    </row>
    <row r="629" spans="1:13" s="3" customFormat="1" ht="12.2" customHeight="1" x14ac:dyDescent="0.15">
      <c r="A629" s="21"/>
      <c r="B629" s="22"/>
      <c r="C629" s="22"/>
      <c r="D629" s="22"/>
      <c r="E629" s="22"/>
      <c r="F629" s="86" t="s">
        <v>659</v>
      </c>
      <c r="G629" s="80">
        <f>G194</f>
        <v>1860209.0400000003</v>
      </c>
      <c r="H629" s="80">
        <f>SUM(G469)</f>
        <v>1860209.0400000003</v>
      </c>
      <c r="I629" s="87" t="s">
        <v>107</v>
      </c>
      <c r="J629" s="80">
        <f>G629-H629</f>
        <v>0</v>
      </c>
      <c r="K629" s="67"/>
      <c r="L629" s="69"/>
      <c r="M629" s="8"/>
    </row>
    <row r="630" spans="1:13" s="3" customFormat="1" ht="12.2" customHeight="1" x14ac:dyDescent="0.15">
      <c r="A630" s="21"/>
      <c r="B630" s="22"/>
      <c r="C630" s="22"/>
      <c r="D630" s="22"/>
      <c r="E630" s="22"/>
      <c r="F630" s="86" t="s">
        <v>660</v>
      </c>
      <c r="G630" s="80">
        <f>H194</f>
        <v>5336029.54</v>
      </c>
      <c r="H630" s="80">
        <f>SUM(H469)</f>
        <v>5336029.54</v>
      </c>
      <c r="I630" s="87" t="s">
        <v>108</v>
      </c>
      <c r="J630" s="80">
        <f>G630-H630</f>
        <v>0</v>
      </c>
      <c r="K630" s="67"/>
      <c r="L630" s="69"/>
      <c r="M630" s="8"/>
    </row>
    <row r="631" spans="1:13" s="3" customFormat="1" ht="12.2" customHeight="1" x14ac:dyDescent="0.15">
      <c r="A631" s="21"/>
      <c r="B631" s="22"/>
      <c r="C631" s="22"/>
      <c r="D631" s="22"/>
      <c r="E631" s="22"/>
      <c r="F631" s="86" t="s">
        <v>661</v>
      </c>
      <c r="G631" s="80">
        <f>I194</f>
        <v>325000</v>
      </c>
      <c r="H631" s="80">
        <f>SUM(I469)</f>
        <v>325000</v>
      </c>
      <c r="I631" s="87" t="s">
        <v>109</v>
      </c>
      <c r="J631" s="80">
        <f>G631-H631</f>
        <v>0</v>
      </c>
      <c r="K631" s="67"/>
      <c r="L631" s="69"/>
      <c r="M631" s="8"/>
    </row>
    <row r="632" spans="1:13" s="3" customFormat="1" ht="12.2" customHeight="1" x14ac:dyDescent="0.15">
      <c r="A632" s="21"/>
      <c r="B632" s="22"/>
      <c r="C632" s="22"/>
      <c r="D632" s="22"/>
      <c r="E632" s="22"/>
      <c r="F632" s="86" t="s">
        <v>662</v>
      </c>
      <c r="G632" s="80">
        <f>J194</f>
        <v>0</v>
      </c>
      <c r="H632" s="80">
        <f>SUM(J469)</f>
        <v>0</v>
      </c>
      <c r="I632" s="87" t="s">
        <v>110</v>
      </c>
      <c r="J632" s="80">
        <f>G632-H632</f>
        <v>0</v>
      </c>
      <c r="K632" s="67"/>
      <c r="L632" s="69"/>
      <c r="M632" s="8"/>
    </row>
    <row r="633" spans="1:13" s="3" customFormat="1" ht="12.2" customHeight="1" x14ac:dyDescent="0.15">
      <c r="A633" s="21"/>
      <c r="B633" s="22"/>
      <c r="C633" s="22"/>
      <c r="D633" s="22"/>
      <c r="E633" s="22"/>
      <c r="F633" s="86" t="s">
        <v>394</v>
      </c>
      <c r="G633" s="80">
        <f>SUM(L272)</f>
        <v>73123672.320000008</v>
      </c>
      <c r="H633" s="80">
        <f>SUM(F473)</f>
        <v>73123672.320000008</v>
      </c>
      <c r="I633" s="87" t="s">
        <v>111</v>
      </c>
      <c r="J633" s="80">
        <f t="shared" si="50"/>
        <v>0</v>
      </c>
      <c r="K633" s="67"/>
      <c r="L633" s="69"/>
      <c r="M633" s="8"/>
    </row>
    <row r="634" spans="1:13" s="3" customFormat="1" ht="12.2" customHeight="1" x14ac:dyDescent="0.15">
      <c r="A634" s="21"/>
      <c r="B634" s="22"/>
      <c r="C634" s="22"/>
      <c r="D634" s="22"/>
      <c r="E634" s="22"/>
      <c r="F634" s="86" t="s">
        <v>395</v>
      </c>
      <c r="G634" s="80">
        <f>SUM(L353)</f>
        <v>5445491.2400000012</v>
      </c>
      <c r="H634" s="80">
        <f>SUM(H473)</f>
        <v>5445491.2400000012</v>
      </c>
      <c r="I634" s="87" t="s">
        <v>112</v>
      </c>
      <c r="J634" s="80">
        <f>G634-H634</f>
        <v>0</v>
      </c>
      <c r="K634" s="67"/>
      <c r="L634" s="69"/>
      <c r="M634" s="8"/>
    </row>
    <row r="635" spans="1:13" s="124" customFormat="1" ht="12.2" customHeight="1" x14ac:dyDescent="0.15">
      <c r="A635" s="21"/>
      <c r="B635" s="22"/>
      <c r="C635" s="22"/>
      <c r="D635" s="22"/>
      <c r="E635" s="22"/>
      <c r="F635" s="99" t="s">
        <v>247</v>
      </c>
      <c r="G635" s="80">
        <f>I363</f>
        <v>143449.75</v>
      </c>
      <c r="H635" s="80">
        <f>I370</f>
        <v>143449.75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2077929.3599999999</v>
      </c>
      <c r="H636" s="80">
        <f>SUM(G473)</f>
        <v>2077929.3599999999</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33903.64</v>
      </c>
      <c r="H637" s="80">
        <f>SUM(I473)</f>
        <v>33903.64</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0</v>
      </c>
      <c r="H638" s="108">
        <f>SUM(J469)</f>
        <v>0</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0</v>
      </c>
      <c r="H643" s="80">
        <f>SUM(I462)</f>
        <v>0</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0</v>
      </c>
      <c r="H647" s="80">
        <f>L409</f>
        <v>0</v>
      </c>
      <c r="I647" s="87" t="s">
        <v>477</v>
      </c>
      <c r="J647" s="80">
        <f t="shared" si="50"/>
        <v>0</v>
      </c>
      <c r="K647" s="67"/>
      <c r="L647" s="69"/>
      <c r="M647" s="8"/>
    </row>
    <row r="648" spans="1:13" s="3" customFormat="1" ht="12.2" customHeight="1" x14ac:dyDescent="0.15">
      <c r="A648" s="21"/>
      <c r="B648" s="22"/>
      <c r="C648" s="22"/>
      <c r="D648" s="22"/>
      <c r="E648" s="22"/>
      <c r="F648" s="86" t="s">
        <v>51</v>
      </c>
      <c r="G648" s="80">
        <f>K599</f>
        <v>4058355.2100000004</v>
      </c>
      <c r="H648" s="80">
        <f>L209+L227+L245</f>
        <v>4058355.21</v>
      </c>
      <c r="I648" s="87" t="s">
        <v>396</v>
      </c>
      <c r="J648" s="80">
        <f t="shared" si="50"/>
        <v>0</v>
      </c>
      <c r="K648" s="67"/>
      <c r="L648" s="69"/>
      <c r="M648" s="8"/>
    </row>
    <row r="649" spans="1:13" s="3" customFormat="1" ht="12.2" customHeight="1" x14ac:dyDescent="0.15">
      <c r="A649" s="21"/>
      <c r="B649" s="22"/>
      <c r="C649" s="22"/>
      <c r="D649" s="22"/>
      <c r="E649" s="22"/>
      <c r="F649" s="86" t="s">
        <v>52</v>
      </c>
      <c r="G649" s="80">
        <f>K606</f>
        <v>219782.07</v>
      </c>
      <c r="H649" s="80">
        <f>(J258+J339)-(J256+J337)</f>
        <v>219782.07</v>
      </c>
      <c r="I649" s="87" t="s">
        <v>699</v>
      </c>
      <c r="J649" s="80">
        <f t="shared" si="50"/>
        <v>0</v>
      </c>
      <c r="K649" s="67"/>
      <c r="L649" s="69"/>
      <c r="M649" s="8"/>
    </row>
    <row r="650" spans="1:13" s="3" customFormat="1" ht="12.2" customHeight="1" x14ac:dyDescent="0.15">
      <c r="A650" s="21"/>
      <c r="B650" s="22"/>
      <c r="C650" s="22"/>
      <c r="D650" s="22"/>
      <c r="E650" s="22"/>
      <c r="F650" s="86" t="s">
        <v>387</v>
      </c>
      <c r="G650" s="80">
        <f>L209</f>
        <v>963909.70941680041</v>
      </c>
      <c r="H650" s="80">
        <f>H599</f>
        <v>963909.70941680041</v>
      </c>
      <c r="I650" s="87" t="s">
        <v>388</v>
      </c>
      <c r="J650" s="80">
        <f t="shared" si="50"/>
        <v>0</v>
      </c>
      <c r="K650" s="67"/>
      <c r="L650" s="69"/>
      <c r="M650" s="8"/>
    </row>
    <row r="651" spans="1:13" s="3" customFormat="1" ht="12.2" customHeight="1" x14ac:dyDescent="0.15">
      <c r="A651" s="21"/>
      <c r="B651" s="22"/>
      <c r="C651" s="22"/>
      <c r="D651" s="22"/>
      <c r="E651" s="22"/>
      <c r="F651" s="86" t="s">
        <v>392</v>
      </c>
      <c r="G651" s="80">
        <f>L227</f>
        <v>984862.45222417265</v>
      </c>
      <c r="H651" s="80">
        <f>I599</f>
        <v>984862.45222417265</v>
      </c>
      <c r="I651" s="87" t="s">
        <v>389</v>
      </c>
      <c r="J651" s="80">
        <f t="shared" si="50"/>
        <v>0</v>
      </c>
      <c r="K651" s="67"/>
      <c r="L651" s="69"/>
      <c r="M651" s="8"/>
    </row>
    <row r="652" spans="1:13" s="3" customFormat="1" ht="12.2" customHeight="1" x14ac:dyDescent="0.15">
      <c r="A652" s="21"/>
      <c r="B652" s="22"/>
      <c r="C652" s="22"/>
      <c r="D652" s="22"/>
      <c r="E652" s="22"/>
      <c r="F652" s="86" t="s">
        <v>393</v>
      </c>
      <c r="G652" s="80">
        <f>L245</f>
        <v>2109583.0483590271</v>
      </c>
      <c r="H652" s="80">
        <f>J599</f>
        <v>2109583.0483590271</v>
      </c>
      <c r="I652" s="87" t="s">
        <v>390</v>
      </c>
      <c r="J652" s="80">
        <f t="shared" si="50"/>
        <v>0</v>
      </c>
      <c r="K652" s="67"/>
      <c r="L652" s="69"/>
      <c r="M652" s="8"/>
    </row>
    <row r="653" spans="1:13" s="3" customFormat="1" ht="12.2" customHeight="1" x14ac:dyDescent="0.15">
      <c r="A653" s="21"/>
      <c r="B653" s="22"/>
      <c r="C653" s="22"/>
      <c r="D653" s="22"/>
      <c r="E653" s="22"/>
      <c r="F653" s="86" t="s">
        <v>665</v>
      </c>
      <c r="G653" s="80">
        <f>G180+G182</f>
        <v>33736.620000000003</v>
      </c>
      <c r="H653" s="80">
        <f>K264+K346</f>
        <v>33736.620000000003</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325000</v>
      </c>
      <c r="H655" s="80">
        <f>K266+K347</f>
        <v>325000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25068852.074445523</v>
      </c>
      <c r="G661" s="13">
        <f>(L230+L310+L360)</f>
        <v>18595028.85609873</v>
      </c>
      <c r="H661" s="13">
        <f>(L248+L329+L361)</f>
        <v>28815414.989455752</v>
      </c>
      <c r="I661" s="13">
        <f>SUM(F661:H661)</f>
        <v>72479295.920000017</v>
      </c>
      <c r="J661" s="13"/>
      <c r="K661" s="13"/>
      <c r="L661" s="13"/>
      <c r="M661" s="9"/>
    </row>
    <row r="662" spans="1:13" s="3" customFormat="1" ht="12.2" customHeight="1" x14ac:dyDescent="0.2">
      <c r="A662" s="1" t="s">
        <v>127</v>
      </c>
      <c r="F662" s="13">
        <f>(L359/IF(SUM(L359:L361)=0,1,SUM(L359:L361))*(SUM(G97:G110)))</f>
        <v>269105.77384452464</v>
      </c>
      <c r="G662" s="13">
        <f>(L360/IF(SUM(L359:L361)=0,1,SUM(L359:L361))*(SUM(G97:G110)))</f>
        <v>242699.20329333661</v>
      </c>
      <c r="H662" s="13">
        <f>(L361/IF(SUM(L359:L361)=0,1,SUM(L359:L361))*(SUM(G97:G110)))</f>
        <v>346203.71286213904</v>
      </c>
      <c r="I662" s="13">
        <f>SUM(F662:H662)</f>
        <v>858008.69000000029</v>
      </c>
      <c r="J662"/>
      <c r="K662" s="13"/>
      <c r="L662" s="13"/>
      <c r="M662" s="8"/>
    </row>
    <row r="663" spans="1:13" s="3" customFormat="1" ht="12.2" customHeight="1" x14ac:dyDescent="0.2">
      <c r="A663" s="1" t="s">
        <v>128</v>
      </c>
      <c r="F663" s="13">
        <f>(L209+L288)-(J209+J288)</f>
        <v>964667.96214240952</v>
      </c>
      <c r="G663" s="13">
        <f>(L227+L307)-(J227+J307)</f>
        <v>985546.29980488878</v>
      </c>
      <c r="H663" s="13">
        <f>(L245+L326)-(J245+J326)</f>
        <v>2110558.5380527019</v>
      </c>
      <c r="I663" s="13">
        <f>SUM(F663:H663)</f>
        <v>4060772.8000000003</v>
      </c>
      <c r="J663"/>
      <c r="K663" s="13"/>
      <c r="L663" s="13"/>
      <c r="M663" s="9"/>
    </row>
    <row r="664" spans="1:13" s="3" customFormat="1" ht="12.2" customHeight="1" x14ac:dyDescent="0.15">
      <c r="A664" s="142" t="s">
        <v>129</v>
      </c>
      <c r="B664" s="124"/>
      <c r="C664" s="124"/>
      <c r="D664" s="124"/>
      <c r="E664" s="124"/>
      <c r="F664" s="143">
        <f>SUM(F576:F588)+SUM(H603:H605)+SUM(L612)</f>
        <v>1121601.2709884411</v>
      </c>
      <c r="G664" s="143">
        <f>SUM(G576:G588)+SUM(I603:I605)+L613</f>
        <v>1514967.9904358126</v>
      </c>
      <c r="H664" s="143">
        <f>SUM(H576:H588)+SUM(J603:J605)+L614</f>
        <v>2430482.938575746</v>
      </c>
      <c r="I664" s="13">
        <f>SUM(F664:H664)</f>
        <v>5067052.1999999993</v>
      </c>
      <c r="J664" s="13"/>
      <c r="K664" s="13"/>
      <c r="L664" s="13"/>
      <c r="M664" s="9"/>
    </row>
    <row r="665" spans="1:13" s="3" customFormat="1" ht="12.2" customHeight="1" x14ac:dyDescent="0.15">
      <c r="A665" s="1" t="s">
        <v>130</v>
      </c>
      <c r="F665" s="13">
        <f>F661-SUM(F662:F664)</f>
        <v>22713477.067470148</v>
      </c>
      <c r="G665" s="13">
        <f>G661-SUM(G662:G664)</f>
        <v>15851815.362564692</v>
      </c>
      <c r="H665" s="13">
        <f>H661-SUM(H662:H664)</f>
        <v>23928169.799965166</v>
      </c>
      <c r="I665" s="13">
        <f>I661-SUM(I662:I664)</f>
        <v>62493462.230000019</v>
      </c>
      <c r="J665" s="13"/>
      <c r="K665" s="13"/>
      <c r="L665" s="13"/>
      <c r="M665" s="8"/>
    </row>
    <row r="666" spans="1:13" s="3" customFormat="1" ht="12.2" customHeight="1" x14ac:dyDescent="0.2">
      <c r="A666" s="1" t="s">
        <v>131</v>
      </c>
      <c r="F666" s="183">
        <v>1192.31</v>
      </c>
      <c r="G666" s="184">
        <v>1012.41</v>
      </c>
      <c r="H666" s="184">
        <v>1458.73</v>
      </c>
      <c r="I666" s="13">
        <f>SUM(F666:H666)</f>
        <v>3663.45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19049.98</v>
      </c>
      <c r="G668" s="13">
        <f>ROUND(G665/G666,2)</f>
        <v>15657.51</v>
      </c>
      <c r="H668" s="13">
        <f>ROUND(H665/H666,2)</f>
        <v>16403.43</v>
      </c>
      <c r="I668" s="13">
        <f>ROUND(I665/I666,2)</f>
        <v>17058.64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46.07</v>
      </c>
      <c r="I671" s="13">
        <f>SUM(F671:H671)</f>
        <v>46.07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19049.98</v>
      </c>
      <c r="G673" s="13">
        <f>ROUND((G665+G670)/(G666+G671),2)</f>
        <v>15657.51</v>
      </c>
      <c r="H673" s="13">
        <f>ROUND((H665+H670)/(H666+H671),2)</f>
        <v>15901.23</v>
      </c>
      <c r="I673" s="13">
        <f>ROUND((I665+I670)/(I666+I671),2)</f>
        <v>16846.78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3" activeCellId="2" sqref="E9 E11 E13"/>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301387.82000000007</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183167.77000000002</v>
      </c>
      <c r="F9" s="272" t="s">
        <v>1627</v>
      </c>
    </row>
    <row r="10" spans="2:8" x14ac:dyDescent="0.25">
      <c r="B10" s="271"/>
      <c r="C10" s="271"/>
      <c r="D10" s="271"/>
      <c r="E10" s="271"/>
      <c r="F10" s="271"/>
    </row>
    <row r="11" spans="2:8" x14ac:dyDescent="0.25">
      <c r="B11" s="271"/>
      <c r="C11" s="275" t="s">
        <v>1631</v>
      </c>
      <c r="D11" s="272" t="s">
        <v>1634</v>
      </c>
      <c r="E11" s="260">
        <v>33857.009999999995</v>
      </c>
      <c r="F11" s="272" t="s">
        <v>1628</v>
      </c>
    </row>
    <row r="12" spans="2:8" x14ac:dyDescent="0.25">
      <c r="B12" s="271"/>
      <c r="C12" s="271"/>
      <c r="D12" s="272"/>
      <c r="E12" s="271"/>
      <c r="F12" s="271"/>
    </row>
    <row r="13" spans="2:8" x14ac:dyDescent="0.25">
      <c r="B13" s="271"/>
      <c r="C13" s="272" t="s">
        <v>1621</v>
      </c>
      <c r="D13" s="272" t="s">
        <v>1635</v>
      </c>
      <c r="E13" s="260">
        <v>84363.040000000008</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0"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Dover</v>
      </c>
      <c r="C5" s="317"/>
      <c r="D5" s="317"/>
      <c r="E5" s="317"/>
      <c r="F5" s="317"/>
    </row>
    <row r="8" spans="1:9" ht="18" x14ac:dyDescent="0.25">
      <c r="A8" s="240" t="s">
        <v>1560</v>
      </c>
      <c r="F8" s="247" t="s">
        <v>1578</v>
      </c>
    </row>
    <row r="9" spans="1:9" ht="15" x14ac:dyDescent="0.2">
      <c r="A9" s="238" t="s">
        <v>1561</v>
      </c>
      <c r="B9" s="241">
        <f>'DOE25'!G97</f>
        <v>858008.69000000018</v>
      </c>
      <c r="F9" s="238" t="s">
        <v>1574</v>
      </c>
    </row>
    <row r="10" spans="1:9" ht="15" x14ac:dyDescent="0.2">
      <c r="A10" s="238" t="s">
        <v>1562</v>
      </c>
      <c r="B10" s="241">
        <f>'DOE25'!G112-'DOE25'!G97</f>
        <v>0</v>
      </c>
      <c r="F10" s="238" t="s">
        <v>1575</v>
      </c>
    </row>
    <row r="11" spans="1:9" ht="15" x14ac:dyDescent="0.2">
      <c r="A11" s="238" t="s">
        <v>1563</v>
      </c>
      <c r="B11" s="241">
        <f>'DOE25'!G140</f>
        <v>24750.94</v>
      </c>
      <c r="F11" s="238" t="s">
        <v>1576</v>
      </c>
    </row>
    <row r="12" spans="1:9" ht="15" x14ac:dyDescent="0.2">
      <c r="A12" s="238" t="s">
        <v>1564</v>
      </c>
      <c r="B12" s="241">
        <f>'DOE25'!G170</f>
        <v>943712.79</v>
      </c>
      <c r="F12" s="238" t="s">
        <v>1577</v>
      </c>
    </row>
    <row r="13" spans="1:9" ht="15" x14ac:dyDescent="0.2">
      <c r="A13" s="238" t="s">
        <v>1565</v>
      </c>
      <c r="B13" s="241">
        <f>'DOE25'!G193-'DOE25'!G180</f>
        <v>0</v>
      </c>
      <c r="F13" s="238" t="s">
        <v>1587</v>
      </c>
    </row>
    <row r="14" spans="1:9" ht="18" x14ac:dyDescent="0.25">
      <c r="A14" s="240" t="s">
        <v>732</v>
      </c>
      <c r="B14" s="242">
        <f>SUM(B9:B13)</f>
        <v>1826472.4200000002</v>
      </c>
    </row>
    <row r="16" spans="1:9" ht="18" x14ac:dyDescent="0.25">
      <c r="A16" s="240" t="s">
        <v>786</v>
      </c>
      <c r="F16" s="247" t="s">
        <v>1579</v>
      </c>
    </row>
    <row r="17" spans="1:6" ht="15" x14ac:dyDescent="0.2">
      <c r="A17" s="238" t="s">
        <v>1566</v>
      </c>
      <c r="B17" s="241">
        <f>'DOE25'!L363-'DOE25'!L362</f>
        <v>2077929.3599999999</v>
      </c>
      <c r="F17" s="238" t="s">
        <v>1580</v>
      </c>
    </row>
    <row r="18" spans="1:6" ht="15" x14ac:dyDescent="0.2">
      <c r="A18" s="238" t="s">
        <v>1567</v>
      </c>
      <c r="B18" s="251"/>
      <c r="F18" s="247" t="s">
        <v>1604</v>
      </c>
    </row>
    <row r="19" spans="1:6" ht="18" x14ac:dyDescent="0.25">
      <c r="A19" s="240" t="s">
        <v>725</v>
      </c>
      <c r="B19" s="242">
        <f>SUM(B17:B18)</f>
        <v>2077929.3599999999</v>
      </c>
    </row>
    <row r="21" spans="1:6" ht="18.75" thickBot="1" x14ac:dyDescent="0.3">
      <c r="A21" s="240" t="s">
        <v>1568</v>
      </c>
    </row>
    <row r="22" spans="1:6" ht="18.75" thickTop="1" x14ac:dyDescent="0.25">
      <c r="A22" s="240" t="s">
        <v>1569</v>
      </c>
      <c r="B22" s="246">
        <f>B14-B19</f>
        <v>-251456.93999999971</v>
      </c>
      <c r="F22" s="238" t="s">
        <v>1581</v>
      </c>
    </row>
    <row r="26" spans="1:6" ht="18" x14ac:dyDescent="0.25">
      <c r="A26" s="240" t="s">
        <v>186</v>
      </c>
    </row>
    <row r="27" spans="1:6" ht="15" x14ac:dyDescent="0.2">
      <c r="A27" s="238" t="s">
        <v>1570</v>
      </c>
      <c r="B27" s="241">
        <f>'DOE25'!G180</f>
        <v>33736.620000000003</v>
      </c>
      <c r="F27" s="238" t="s">
        <v>1582</v>
      </c>
    </row>
    <row r="28" spans="1:6" ht="15" x14ac:dyDescent="0.2">
      <c r="A28" s="238" t="s">
        <v>1572</v>
      </c>
      <c r="B28" s="241">
        <f>'DOE25'!L362</f>
        <v>0</v>
      </c>
      <c r="F28" s="238" t="s">
        <v>1583</v>
      </c>
    </row>
    <row r="31" spans="1:6" ht="15" x14ac:dyDescent="0.2">
      <c r="A31" s="238" t="s">
        <v>1797</v>
      </c>
      <c r="B31" s="241">
        <f>'DOE25'!G466</f>
        <v>1249977.8399999999</v>
      </c>
      <c r="F31" s="238" t="s">
        <v>1584</v>
      </c>
    </row>
    <row r="33" spans="1:6" ht="15" x14ac:dyDescent="0.2">
      <c r="A33" s="238" t="s">
        <v>1798</v>
      </c>
      <c r="B33" s="241">
        <f>'DOE25'!G477</f>
        <v>1032257.52</v>
      </c>
      <c r="F33" s="238" t="s">
        <v>1585</v>
      </c>
    </row>
    <row r="36" spans="1:6" ht="15" x14ac:dyDescent="0.2">
      <c r="A36" s="238" t="s">
        <v>1571</v>
      </c>
      <c r="B36" s="252">
        <v>137455.60999999999</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F30" sqref="F3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Dover</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15778348.140000001</v>
      </c>
      <c r="C9" s="167">
        <f>'DOE25'!G198+'DOE25'!G216+'DOE25'!G234+'DOE25'!G277+'DOE25'!G296+'DOE25'!G315</f>
        <v>9505617.6799999997</v>
      </c>
    </row>
    <row r="10" spans="1:3" x14ac:dyDescent="0.2">
      <c r="A10" t="s">
        <v>775</v>
      </c>
      <c r="B10" s="177">
        <v>14939485.380000003</v>
      </c>
      <c r="C10" s="177">
        <v>9205666.8299999982</v>
      </c>
    </row>
    <row r="11" spans="1:3" x14ac:dyDescent="0.2">
      <c r="A11" t="s">
        <v>776</v>
      </c>
      <c r="B11" s="177">
        <v>611801.85999999987</v>
      </c>
      <c r="C11" s="177">
        <v>177874.25999999998</v>
      </c>
    </row>
    <row r="12" spans="1:3" x14ac:dyDescent="0.2">
      <c r="A12" t="s">
        <v>777</v>
      </c>
      <c r="B12" s="177">
        <v>227060.89999999851</v>
      </c>
      <c r="C12" s="177">
        <v>122076.59000000171</v>
      </c>
    </row>
    <row r="13" spans="1:3" x14ac:dyDescent="0.2">
      <c r="A13" t="str">
        <f>IF(B9=B13,IF(C9=C13,"Check Total OK","Check Total Error"),"Check Total Error")</f>
        <v>Check Total OK</v>
      </c>
      <c r="B13" s="169">
        <f>SUM(B10:B12)</f>
        <v>15778348.140000001</v>
      </c>
      <c r="C13" s="169">
        <f>SUM(C10:C12)</f>
        <v>9505617.6799999997</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7226139.9900000002</v>
      </c>
      <c r="C18" s="167">
        <f>'DOE25'!G199+'DOE25'!G217+'DOE25'!G235+'DOE25'!G278+'DOE25'!G297+'DOE25'!G316</f>
        <v>2998286.08</v>
      </c>
    </row>
    <row r="19" spans="1:3" x14ac:dyDescent="0.2">
      <c r="A19" t="s">
        <v>775</v>
      </c>
      <c r="B19" s="177">
        <v>3599402.9000000004</v>
      </c>
      <c r="C19" s="177">
        <v>2159388.63</v>
      </c>
    </row>
    <row r="20" spans="1:3" x14ac:dyDescent="0.2">
      <c r="A20" t="s">
        <v>776</v>
      </c>
      <c r="B20" s="177">
        <v>3010415.85</v>
      </c>
      <c r="C20" s="177">
        <v>509933.89</v>
      </c>
    </row>
    <row r="21" spans="1:3" x14ac:dyDescent="0.2">
      <c r="A21" t="s">
        <v>777</v>
      </c>
      <c r="B21" s="177">
        <v>616321.24000000022</v>
      </c>
      <c r="C21" s="177">
        <v>328963.56000000006</v>
      </c>
    </row>
    <row r="22" spans="1:3" x14ac:dyDescent="0.2">
      <c r="A22" t="str">
        <f>IF(B18=B22,IF(C18=C22,"Check Total OK","Check Total Error"),"Check Total Error")</f>
        <v>Check Total OK</v>
      </c>
      <c r="B22" s="169">
        <f>SUM(B19:B21)</f>
        <v>7226139.9900000002</v>
      </c>
      <c r="C22" s="169">
        <f>SUM(C19:C21)</f>
        <v>2998286.08</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1552954.8000000003</v>
      </c>
      <c r="C27" s="172">
        <f>'DOE25'!G200+'DOE25'!G218+'DOE25'!G236+'DOE25'!G279+'DOE25'!G298+'DOE25'!G317</f>
        <v>892671.44000000018</v>
      </c>
    </row>
    <row r="28" spans="1:3" x14ac:dyDescent="0.2">
      <c r="A28" t="s">
        <v>775</v>
      </c>
      <c r="B28" s="177">
        <v>1322328.8800000001</v>
      </c>
      <c r="C28" s="177">
        <v>805047.95</v>
      </c>
    </row>
    <row r="29" spans="1:3" x14ac:dyDescent="0.2">
      <c r="A29" t="s">
        <v>776</v>
      </c>
      <c r="B29" s="177">
        <v>0</v>
      </c>
      <c r="C29" s="177">
        <v>0</v>
      </c>
    </row>
    <row r="30" spans="1:3" x14ac:dyDescent="0.2">
      <c r="A30" t="s">
        <v>777</v>
      </c>
      <c r="B30" s="177">
        <v>230625.92000000016</v>
      </c>
      <c r="C30" s="177">
        <v>87623.490000000224</v>
      </c>
    </row>
    <row r="31" spans="1:3" x14ac:dyDescent="0.2">
      <c r="A31" t="str">
        <f>IF(B27=B31,IF(C27=C31,"Check Total OK","Check Total Error"),"Check Total Error")</f>
        <v>Check Total OK</v>
      </c>
      <c r="B31" s="169">
        <f>SUM(B28:B30)</f>
        <v>1552954.8000000003</v>
      </c>
      <c r="C31" s="169">
        <f>SUM(C28:C30)</f>
        <v>892671.44000000018</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399172.88000000006</v>
      </c>
      <c r="C36" s="173">
        <f>'DOE25'!G201+'DOE25'!G219+'DOE25'!G237+'DOE25'!G280+'DOE25'!G299+'DOE25'!G318</f>
        <v>139717.71999999997</v>
      </c>
    </row>
    <row r="37" spans="1:3" x14ac:dyDescent="0.2">
      <c r="A37" t="s">
        <v>775</v>
      </c>
      <c r="B37" s="177"/>
      <c r="C37" s="177"/>
    </row>
    <row r="38" spans="1:3" x14ac:dyDescent="0.2">
      <c r="A38" t="s">
        <v>776</v>
      </c>
      <c r="B38" s="177"/>
      <c r="C38" s="177"/>
    </row>
    <row r="39" spans="1:3" x14ac:dyDescent="0.2">
      <c r="A39" t="s">
        <v>777</v>
      </c>
      <c r="B39" s="177">
        <v>399172.88000000006</v>
      </c>
      <c r="C39" s="177">
        <v>139717.71999999997</v>
      </c>
    </row>
    <row r="40" spans="1:3" x14ac:dyDescent="0.2">
      <c r="A40" t="str">
        <f>IF(B36=B40,IF(C36=C40,"Check Total OK","Check Total Error"),"Check Total Error")</f>
        <v>Check Total OK</v>
      </c>
      <c r="B40" s="169">
        <f>SUM(B37:B39)</f>
        <v>399172.88000000006</v>
      </c>
      <c r="C40" s="169">
        <f>SUM(C37:C39)</f>
        <v>139717.71999999997</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Dover</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43956691.180000007</v>
      </c>
      <c r="D5" s="19">
        <f>SUM('DOE25'!L198:L201)+SUM('DOE25'!L216:L219)+SUM('DOE25'!L234:L237)-F5-G5-H5</f>
        <v>39723949.770000011</v>
      </c>
      <c r="E5" s="180"/>
      <c r="F5" s="181">
        <v>4084581.9699999993</v>
      </c>
      <c r="G5" s="19">
        <f>SUM('DOE25'!J198:J201)+SUM('DOE25'!J216:J219)+SUM('DOE25'!J234:J237)</f>
        <v>66064.22</v>
      </c>
      <c r="H5" s="19">
        <f>SUM('DOE25'!K198:K201)+SUM('DOE25'!K216:K219)+SUM('DOE25'!K234:K237)</f>
        <v>82095.22</v>
      </c>
      <c r="I5" s="192"/>
    </row>
    <row r="6" spans="1:9" x14ac:dyDescent="0.2">
      <c r="A6" s="31">
        <v>2100</v>
      </c>
      <c r="B6" t="s">
        <v>796</v>
      </c>
      <c r="C6" s="206">
        <f t="shared" si="0"/>
        <v>4744578.8100000005</v>
      </c>
      <c r="D6" s="19">
        <f>'DOE25'!L203+'DOE25'!L221+'DOE25'!L239-F6-G6-H6</f>
        <v>4470964.8000000007</v>
      </c>
      <c r="E6" s="180"/>
      <c r="F6" s="181">
        <v>268286.3</v>
      </c>
      <c r="G6" s="19">
        <f>'DOE25'!J203+'DOE25'!J221+'DOE25'!J239</f>
        <v>5327.71</v>
      </c>
      <c r="H6" s="19">
        <f>'DOE25'!K203+'DOE25'!K221+'DOE25'!K239</f>
        <v>0</v>
      </c>
      <c r="I6" s="192"/>
    </row>
    <row r="7" spans="1:9" x14ac:dyDescent="0.2">
      <c r="A7" s="31">
        <v>2200</v>
      </c>
      <c r="B7" t="s">
        <v>820</v>
      </c>
      <c r="C7" s="206">
        <f t="shared" si="0"/>
        <v>1161969.4099999999</v>
      </c>
      <c r="D7" s="19">
        <f>'DOE25'!L204+'DOE25'!L222+'DOE25'!L240-F7-G7-H7</f>
        <v>1160438.45</v>
      </c>
      <c r="E7" s="180"/>
      <c r="F7" s="181">
        <v>0</v>
      </c>
      <c r="G7" s="19">
        <f>'DOE25'!J204+'DOE25'!J222+'DOE25'!J240</f>
        <v>458.96</v>
      </c>
      <c r="H7" s="19">
        <f>'DOE25'!K204+'DOE25'!K222+'DOE25'!K240</f>
        <v>1072</v>
      </c>
      <c r="I7" s="192"/>
    </row>
    <row r="8" spans="1:9" x14ac:dyDescent="0.2">
      <c r="A8" s="31">
        <v>2300</v>
      </c>
      <c r="B8" t="s">
        <v>797</v>
      </c>
      <c r="C8" s="206">
        <f t="shared" si="0"/>
        <v>1277171.8599999999</v>
      </c>
      <c r="D8" s="180"/>
      <c r="E8" s="19">
        <f>'DOE25'!L205+'DOE25'!L223+'DOE25'!L241-F8-G8-H8-D9-D11</f>
        <v>692955.91999999993</v>
      </c>
      <c r="F8" s="181">
        <v>566957.14999999991</v>
      </c>
      <c r="G8" s="19">
        <f>'DOE25'!J205+'DOE25'!J223+'DOE25'!J241</f>
        <v>434.98</v>
      </c>
      <c r="H8" s="19">
        <f>'DOE25'!K205+'DOE25'!K223+'DOE25'!K241</f>
        <v>16823.810000000005</v>
      </c>
      <c r="I8" s="192"/>
    </row>
    <row r="9" spans="1:9" ht="14.25" x14ac:dyDescent="0.2">
      <c r="A9" s="31">
        <v>2310</v>
      </c>
      <c r="B9" s="71" t="s">
        <v>887</v>
      </c>
      <c r="C9" s="206">
        <f t="shared" si="0"/>
        <v>8809.01</v>
      </c>
      <c r="D9" s="181">
        <v>8809.01</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610954.03</v>
      </c>
      <c r="D11" s="181">
        <f>127729.06+71241.34+57210.95+160267.71+131470.94+63034.03</f>
        <v>610954.03</v>
      </c>
      <c r="E11" s="180"/>
      <c r="F11" s="180"/>
      <c r="G11" s="180"/>
      <c r="H11" s="180"/>
      <c r="I11" s="192"/>
    </row>
    <row r="12" spans="1:9" x14ac:dyDescent="0.2">
      <c r="A12" s="31">
        <v>2400</v>
      </c>
      <c r="B12" t="s">
        <v>711</v>
      </c>
      <c r="C12" s="206">
        <f t="shared" si="0"/>
        <v>3162017.6899999995</v>
      </c>
      <c r="D12" s="19">
        <f>'DOE25'!L206+'DOE25'!L224+'DOE25'!L242-F12-G12-H12</f>
        <v>3146871.3699999992</v>
      </c>
      <c r="E12" s="180"/>
      <c r="F12" s="181">
        <v>0</v>
      </c>
      <c r="G12" s="19">
        <f>'DOE25'!J206+'DOE25'!J224+'DOE25'!J242</f>
        <v>492.43</v>
      </c>
      <c r="H12" s="19">
        <f>'DOE25'!K206+'DOE25'!K224+'DOE25'!K242</f>
        <v>14653.89</v>
      </c>
      <c r="I12" s="192"/>
    </row>
    <row r="13" spans="1:9" x14ac:dyDescent="0.2">
      <c r="A13" s="31">
        <v>2500</v>
      </c>
      <c r="B13" t="s">
        <v>798</v>
      </c>
      <c r="C13" s="206">
        <f t="shared" si="0"/>
        <v>429.33000000000004</v>
      </c>
      <c r="D13" s="180"/>
      <c r="E13" s="19">
        <f>'DOE25'!L207+'DOE25'!L225+'DOE25'!L243-F13-G13-H13</f>
        <v>429.33000000000004</v>
      </c>
      <c r="F13" s="181">
        <v>0</v>
      </c>
      <c r="G13" s="19">
        <f>'DOE25'!J207+'DOE25'!J225+'DOE25'!J243</f>
        <v>0</v>
      </c>
      <c r="H13" s="19">
        <f>'DOE25'!K207+'DOE25'!K225+'DOE25'!K243</f>
        <v>0</v>
      </c>
      <c r="I13" s="192"/>
    </row>
    <row r="14" spans="1:9" x14ac:dyDescent="0.2">
      <c r="A14" s="31">
        <v>2600</v>
      </c>
      <c r="B14" t="s">
        <v>818</v>
      </c>
      <c r="C14" s="206">
        <f t="shared" si="0"/>
        <v>5779610.5300000003</v>
      </c>
      <c r="D14" s="19">
        <f>'DOE25'!L208+'DOE25'!L226+'DOE25'!L244-F14-G14-H14</f>
        <v>646868.93000000319</v>
      </c>
      <c r="E14" s="180"/>
      <c r="F14" s="181">
        <v>5094472.8799999971</v>
      </c>
      <c r="G14" s="19">
        <f>'DOE25'!J208+'DOE25'!J226+'DOE25'!J244</f>
        <v>38268.720000000001</v>
      </c>
      <c r="H14" s="19">
        <f>'DOE25'!K208+'DOE25'!K226+'DOE25'!K244</f>
        <v>0</v>
      </c>
      <c r="I14" s="192"/>
    </row>
    <row r="15" spans="1:9" x14ac:dyDescent="0.2">
      <c r="A15" s="31">
        <v>2700</v>
      </c>
      <c r="B15" t="s">
        <v>799</v>
      </c>
      <c r="C15" s="206">
        <f t="shared" si="0"/>
        <v>4058355.21</v>
      </c>
      <c r="D15" s="19">
        <f>'DOE25'!L209+'DOE25'!L227+'DOE25'!L245-F15-G15-H15</f>
        <v>1099634.5499999998</v>
      </c>
      <c r="E15" s="180"/>
      <c r="F15" s="181">
        <v>2958720.66</v>
      </c>
      <c r="G15" s="19">
        <f>'DOE25'!J209+'DOE25'!J227+'DOE25'!J245</f>
        <v>0</v>
      </c>
      <c r="H15" s="19">
        <f>'DOE25'!K209+'DOE25'!K227+'DOE25'!K245</f>
        <v>0</v>
      </c>
      <c r="I15" s="192"/>
    </row>
    <row r="16" spans="1:9" x14ac:dyDescent="0.2">
      <c r="A16" s="31">
        <v>2800</v>
      </c>
      <c r="B16" t="s">
        <v>800</v>
      </c>
      <c r="C16" s="206">
        <f t="shared" si="0"/>
        <v>1394042.96</v>
      </c>
      <c r="D16" s="180"/>
      <c r="E16" s="19">
        <f>'DOE25'!L210+'DOE25'!L228+'DOE25'!L246-F16-G16-H16</f>
        <v>964869.47999999986</v>
      </c>
      <c r="F16" s="181">
        <v>419032.9800000001</v>
      </c>
      <c r="G16" s="19">
        <f>'DOE25'!J210+'DOE25'!J228+'DOE25'!J246</f>
        <v>4190</v>
      </c>
      <c r="H16" s="19">
        <f>'DOE25'!K210+'DOE25'!K228+'DOE25'!K246</f>
        <v>5950.5</v>
      </c>
      <c r="I16" s="192"/>
    </row>
    <row r="17" spans="1:9" x14ac:dyDescent="0.2">
      <c r="A17" s="31">
        <v>1600</v>
      </c>
      <c r="B17" t="s">
        <v>801</v>
      </c>
      <c r="C17" s="206">
        <f t="shared" si="0"/>
        <v>247119.78</v>
      </c>
      <c r="D17" s="19">
        <f>'DOE25'!L252-F17-G17-H17</f>
        <v>247119.78</v>
      </c>
      <c r="E17" s="180"/>
      <c r="F17" s="181">
        <v>0</v>
      </c>
      <c r="G17" s="19">
        <f>'DOE25'!J252</f>
        <v>0</v>
      </c>
      <c r="H17" s="19">
        <f>'DOE25'!K252</f>
        <v>0</v>
      </c>
      <c r="I17" s="192"/>
    </row>
    <row r="18" spans="1:9" x14ac:dyDescent="0.2">
      <c r="A18" s="31">
        <v>1700</v>
      </c>
      <c r="B18" t="s">
        <v>802</v>
      </c>
      <c r="C18" s="206">
        <f t="shared" si="0"/>
        <v>0</v>
      </c>
      <c r="D18" s="19">
        <f>'DOE25'!L253-F18-G18-H18</f>
        <v>0</v>
      </c>
      <c r="E18" s="180"/>
      <c r="F18" s="181">
        <v>0</v>
      </c>
      <c r="G18" s="19">
        <f>'DOE25'!J253</f>
        <v>0</v>
      </c>
      <c r="H18" s="19">
        <f>'DOE25'!K253</f>
        <v>0</v>
      </c>
      <c r="I18" s="192"/>
    </row>
    <row r="19" spans="1:9" x14ac:dyDescent="0.2">
      <c r="A19" s="31">
        <v>1800</v>
      </c>
      <c r="B19" t="s">
        <v>803</v>
      </c>
      <c r="C19" s="206">
        <f t="shared" si="0"/>
        <v>0</v>
      </c>
      <c r="D19" s="19">
        <f>'DOE25'!L254-F19-G19-H19</f>
        <v>0</v>
      </c>
      <c r="E19" s="180"/>
      <c r="F19" s="181">
        <v>0</v>
      </c>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6362321.0999999996</v>
      </c>
      <c r="D25" s="180"/>
      <c r="E25" s="180"/>
      <c r="F25" s="191"/>
      <c r="G25" s="180"/>
      <c r="H25" s="180"/>
      <c r="I25" s="190">
        <f>'DOE25'!L261+'DOE25'!L262+'DOE25'!L342+'DOE25'!L343</f>
        <v>6362321.0999999996</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1794185.7544999998</v>
      </c>
      <c r="D29" s="212">
        <f>'DOE25'!L359+'DOE25'!L360+'DOE25'!L361-'DOE25'!I368-F29-G29-H29-F39</f>
        <v>1739584.9644999998</v>
      </c>
      <c r="E29" s="180"/>
      <c r="F29" s="180"/>
      <c r="G29" s="19">
        <f>'DOE25'!J359+'DOE25'!J360+'DOE25'!J361</f>
        <v>49644.06</v>
      </c>
      <c r="H29" s="19">
        <f>'DOE25'!K359+'DOE25'!K360+'DOE25'!K361</f>
        <v>4956.7299999999996</v>
      </c>
      <c r="I29" s="192"/>
    </row>
    <row r="30" spans="1:9" x14ac:dyDescent="0.2">
      <c r="A30" s="31"/>
      <c r="C30" s="207"/>
      <c r="D30" s="19"/>
      <c r="F30" s="201"/>
      <c r="G30" s="19"/>
      <c r="H30" s="19"/>
      <c r="I30" s="192"/>
    </row>
    <row r="31" spans="1:9" x14ac:dyDescent="0.2">
      <c r="A31" s="31" t="s">
        <v>817</v>
      </c>
      <c r="B31" t="s">
        <v>816</v>
      </c>
      <c r="C31" s="206">
        <f>SUM(D31:I31)</f>
        <v>5273513.6300000008</v>
      </c>
      <c r="D31" s="19">
        <f>'DOE25'!L291+'DOE25'!L310+'DOE25'!L329+'DOE25'!L334+'DOE25'!L335+'DOE25'!L336-F31-G31-H31</f>
        <v>4582768.3500000015</v>
      </c>
      <c r="E31" s="180"/>
      <c r="F31" s="181">
        <v>540831.46</v>
      </c>
      <c r="G31" s="19">
        <f>'DOE25'!J291+'DOE25'!J310+'DOE25'!J329+'DOE25'!J334+'DOE25'!J335+'DOE25'!J336</f>
        <v>104545.05</v>
      </c>
      <c r="H31" s="19">
        <f>'DOE25'!K291+'DOE25'!K310+'DOE25'!K329+'DOE25'!K334+'DOE25'!K335+'DOE25'!K336</f>
        <v>45368.770000000004</v>
      </c>
      <c r="I31" s="192"/>
    </row>
    <row r="32" spans="1:9" ht="12" thickBot="1" x14ac:dyDescent="0.25">
      <c r="C32" s="207"/>
      <c r="G32" s="188"/>
      <c r="H32" s="188"/>
      <c r="I32" s="194"/>
    </row>
    <row r="33" spans="1:9" ht="12" thickTop="1" x14ac:dyDescent="0.2">
      <c r="B33" t="s">
        <v>809</v>
      </c>
      <c r="D33" s="182">
        <f t="shared" ref="D33:I33" si="1">SUM(D5:D31)</f>
        <v>57437964.004500009</v>
      </c>
      <c r="E33" s="182">
        <f t="shared" si="1"/>
        <v>1658254.7299999997</v>
      </c>
      <c r="F33" s="182">
        <f t="shared" si="1"/>
        <v>13932883.399999999</v>
      </c>
      <c r="G33" s="182">
        <f t="shared" si="1"/>
        <v>269426.13</v>
      </c>
      <c r="H33" s="182">
        <f t="shared" si="1"/>
        <v>170920.91999999998</v>
      </c>
      <c r="I33" s="182">
        <f t="shared" si="1"/>
        <v>6362321.0999999996</v>
      </c>
    </row>
    <row r="34" spans="1:9" ht="12" thickBot="1" x14ac:dyDescent="0.25"/>
    <row r="35" spans="1:9" ht="12" thickBot="1" x14ac:dyDescent="0.25">
      <c r="B35" s="188" t="s">
        <v>830</v>
      </c>
      <c r="D35" s="189">
        <f>E33</f>
        <v>1658254.7299999997</v>
      </c>
      <c r="E35" s="185"/>
      <c r="F35" s="295" t="s">
        <v>1608</v>
      </c>
      <c r="G35" s="296"/>
      <c r="H35" s="296"/>
      <c r="I35" s="297"/>
    </row>
    <row r="36" spans="1:9" ht="12" thickTop="1" x14ac:dyDescent="0.2">
      <c r="B36" t="s">
        <v>810</v>
      </c>
      <c r="D36" s="19">
        <f>D33</f>
        <v>57437964.004500009</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141871.80275</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25000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disablePrompts="1"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B4" zoomScale="80" zoomScaleNormal="80" workbookViewId="0">
      <selection activeCell="E29" sqref="E2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Dover</v>
      </c>
      <c r="B2">
        <f>'DOE25'!B2</f>
        <v>141</v>
      </c>
      <c r="J2" s="224" t="s">
        <v>1808</v>
      </c>
      <c r="K2" s="309">
        <f>SUM('DOE25'!L198:L201)+SUM('DOE25'!L216:L219)+SUM('DOE25'!L234:L237)+SUM('DOE25'!L277:L280)+SUM('DOE25'!L296:L299)+SUM('DOE25'!L315:L318)</f>
        <v>46393777.050000012</v>
      </c>
      <c r="L2" s="309">
        <f>'DOE25'!L203+'DOE25'!L221+'DOE25'!L239+'DOE25'!L282+'DOE25'!L301+'DOE25'!L320</f>
        <v>4913028.0200000005</v>
      </c>
      <c r="M2" s="309">
        <f>'DOE25'!L204+'DOE25'!L222+'DOE25'!L240+'DOE25'!L283+'DOE25'!L302+'DOE25'!L321</f>
        <v>2535314.5</v>
      </c>
      <c r="N2" s="309">
        <f>'DOE25'!L206+'DOE25'!L224+'DOE25'!L242+'DOE25'!L285+'DOE25'!L304+'DOE25'!L323</f>
        <v>3235303.9899999998</v>
      </c>
      <c r="O2" s="309">
        <f>'Salaries-Benefits'!B10+'Salaries-Benefits'!B12+'Salaries-Benefits'!B19+'Salaries-Benefits'!B21+'Salaries-Benefits'!B28+'Salaries-Benefits'!B30+'Salaries-Benefits'!B37+'Salaries-Benefits'!B39</f>
        <v>21334398.100000001</v>
      </c>
      <c r="P2" s="309">
        <f>'Salaries-Benefits'!B11+'Salaries-Benefits'!B20+'Salaries-Benefits'!B29+'Salaries-Benefits'!B38</f>
        <v>3622217.71</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-46393777.050000012</v>
      </c>
      <c r="L3" s="311">
        <f t="shared" ref="L3:P3" si="0">L21+L33+L43-L2</f>
        <v>-4913028.0200000005</v>
      </c>
      <c r="M3" s="311">
        <f t="shared" si="0"/>
        <v>-2535314.5</v>
      </c>
      <c r="N3" s="311">
        <f t="shared" si="0"/>
        <v>-3235303.9899999998</v>
      </c>
      <c r="O3" s="311">
        <f t="shared" si="0"/>
        <v>-21334398.100000001</v>
      </c>
      <c r="P3" s="311">
        <f t="shared" si="0"/>
        <v>-3622217.71</v>
      </c>
      <c r="Q3" s="310"/>
      <c r="R3" s="306"/>
      <c r="S3" s="215"/>
      <c r="T3" s="215"/>
      <c r="U3" s="216"/>
    </row>
    <row r="4" spans="1:21" ht="55.5" customHeight="1" thickBot="1" x14ac:dyDescent="0.25">
      <c r="A4" s="224" t="s">
        <v>1522</v>
      </c>
      <c r="B4" s="224" t="s">
        <v>1523</v>
      </c>
      <c r="C4" s="224" t="s">
        <v>896</v>
      </c>
      <c r="D4" s="224" t="s">
        <v>786</v>
      </c>
      <c r="E4" s="224" t="s">
        <v>786</v>
      </c>
      <c r="F4" s="228">
        <f>SUM(F5:F20)</f>
        <v>24417130.483587213</v>
      </c>
      <c r="G4" s="229">
        <f>'DOE25'!L212+'DOE25'!L291</f>
        <v>24417130.483587209</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Garrison School</v>
      </c>
      <c r="B6" s="230">
        <f>IFERROR(VLOOKUP(A6,'School Tables'!$C$3:$D$365,2,FALSE),"")</f>
        <v>20430</v>
      </c>
      <c r="C6" s="223" t="str">
        <f>IFERROR(INDEX('School Tables'!$B$3:$B$365,MATCH('School Level Expenditures'!B6,'School Tables'!$D$3:$D$365,0)),"")</f>
        <v>Dover</v>
      </c>
      <c r="D6" s="220">
        <v>6811213.5568659576</v>
      </c>
      <c r="E6" s="220">
        <v>456027.24119270535</v>
      </c>
      <c r="F6" s="232">
        <f t="shared" ref="F6:F20" si="1">D6+E6</f>
        <v>7267240.7980586626</v>
      </c>
      <c r="G6" s="223"/>
      <c r="H6" s="223"/>
      <c r="J6" t="str">
        <f>A6</f>
        <v>Garrison School</v>
      </c>
      <c r="K6" s="20"/>
      <c r="L6" s="20"/>
      <c r="M6" s="308"/>
      <c r="N6" s="20"/>
      <c r="O6" s="20"/>
      <c r="P6" s="20"/>
      <c r="Q6" s="20"/>
    </row>
    <row r="7" spans="1:21" x14ac:dyDescent="0.2">
      <c r="A7" t="str" cm="1">
        <f t="array" ref="A7">IFERROR(INDEX('School Tables'!$A$4:$G$325,'School Tables'!$J5,3),"")</f>
        <v>Horne Street School</v>
      </c>
      <c r="B7" s="230">
        <f>IFERROR(VLOOKUP(A7,'School Tables'!$C$3:$D$365,2,FALSE),"")</f>
        <v>20445</v>
      </c>
      <c r="C7" s="223" t="str">
        <f>IFERROR(INDEX('School Tables'!$B$3:$B$365,MATCH('School Level Expenditures'!B7,'School Tables'!$D$3:$D$365,0)),"")</f>
        <v>Dover</v>
      </c>
      <c r="D7" s="220">
        <v>7746819.8146772152</v>
      </c>
      <c r="E7" s="220">
        <v>518668.34575214284</v>
      </c>
      <c r="F7" s="232">
        <f t="shared" si="1"/>
        <v>8265488.1604293585</v>
      </c>
      <c r="G7" s="223"/>
      <c r="H7" s="223"/>
      <c r="J7" t="str">
        <f t="shared" ref="J7:J20" si="2">A7</f>
        <v>Horne Street School</v>
      </c>
      <c r="K7" s="20"/>
      <c r="L7" s="20"/>
      <c r="M7" s="308"/>
      <c r="N7" s="20"/>
      <c r="O7" s="20"/>
      <c r="P7" s="20"/>
      <c r="Q7" s="20"/>
    </row>
    <row r="8" spans="1:21" x14ac:dyDescent="0.2">
      <c r="A8" t="str" cm="1">
        <f t="array" ref="A8">IFERROR(INDEX('School Tables'!$A$4:$G$325,'School Tables'!$J6,3),"")</f>
        <v>Woodman Park School</v>
      </c>
      <c r="B8" s="230">
        <f>IFERROR(VLOOKUP(A8,'School Tables'!$C$3:$D$365,2,FALSE),"")</f>
        <v>20460</v>
      </c>
      <c r="C8" s="223" t="str">
        <f>IFERROR(INDEX('School Tables'!$B$3:$B$365,MATCH('School Level Expenditures'!B8,'School Tables'!$D$3:$D$365,0)),"")</f>
        <v>Dover</v>
      </c>
      <c r="D8" s="220">
        <v>8326895.694520195</v>
      </c>
      <c r="E8" s="220">
        <v>557505.83057899412</v>
      </c>
      <c r="F8" s="232">
        <f t="shared" si="1"/>
        <v>8884401.52509919</v>
      </c>
      <c r="G8" s="223"/>
      <c r="H8" s="223"/>
      <c r="J8" t="str">
        <f t="shared" si="2"/>
        <v>Woodman Park School</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22884929.066063367</v>
      </c>
      <c r="E21" s="262">
        <f>SUM(E5:E20)</f>
        <v>1532201.4175238423</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18007258.818277981</v>
      </c>
      <c r="G24" s="229">
        <f>'DOE25'!L230+'DOE25'!L310</f>
        <v>18007258.818277981</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Dover Middle School</v>
      </c>
      <c r="B26" s="230">
        <f>IFERROR(VLOOKUP(A26,'School Tables'!$N$4:$O$75,2,FALSE),"")</f>
        <v>20435</v>
      </c>
      <c r="C26" s="223" t="str">
        <f>IFERROR(INDEX('School Tables'!$M$4:$M$75,MATCH('School Level Expenditures'!A26,'School Tables'!$N$4:$N$75,0)),"")</f>
        <v>Dover</v>
      </c>
      <c r="D26" s="220">
        <v>16874536.922782961</v>
      </c>
      <c r="E26" s="220">
        <v>1132721.8954950213</v>
      </c>
      <c r="F26" s="232">
        <f t="shared" ref="F26:F32" si="4">D26+E26</f>
        <v>18007258.818277981</v>
      </c>
      <c r="G26" s="223"/>
      <c r="H26" s="223"/>
      <c r="J26" t="str">
        <f t="shared" ref="J26:J32" si="5">A26</f>
        <v>Dover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16874536.922782961</v>
      </c>
      <c r="E33" s="262">
        <f>SUM(E25:E32)</f>
        <v>1132721.8954950213</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27976977.258134816</v>
      </c>
      <c r="G36" s="229">
        <f>'DOE25'!L248+'DOE25'!L329</f>
        <v>27976977.258134816</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Dover Senior High School</v>
      </c>
      <c r="B38" s="230">
        <f>IFERROR(VLOOKUP(A38,'School Tables'!$Y$4:$Z$100,2,FALSE),"")</f>
        <v>20455</v>
      </c>
      <c r="C38" s="223" t="str">
        <f>IFERROR(INDEX('School Tables'!$X$4:$X$100,MATCH('School Level Expenditures'!A38,'School Tables'!$Y$4:$Y$100,0)),"")</f>
        <v>Dover</v>
      </c>
      <c r="D38" s="220">
        <v>26395164.031153679</v>
      </c>
      <c r="E38" s="220">
        <v>1581813.2269811372</v>
      </c>
      <c r="F38" s="232">
        <f t="shared" si="7"/>
        <v>27976977.258134816</v>
      </c>
      <c r="G38" s="223"/>
      <c r="H38" s="223"/>
      <c r="J38" t="str">
        <f t="shared" ref="J38:J42" si="8">A38</f>
        <v>Dover Senior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26395164.031153679</v>
      </c>
      <c r="E43" s="263">
        <f>SUM(E37:E42)</f>
        <v>1581813.2269811372</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Dover</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0</v>
      </c>
      <c r="D8" s="73">
        <f>'DOE25'!G9</f>
        <v>0</v>
      </c>
      <c r="E8" s="73">
        <f>'DOE25'!H9</f>
        <v>0</v>
      </c>
      <c r="F8" s="73">
        <f>'DOE25'!I9</f>
        <v>0</v>
      </c>
      <c r="G8" s="73">
        <f>'DOE25'!J9</f>
        <v>0</v>
      </c>
      <c r="H8" s="13">
        <f>SUM(C8:G8)</f>
        <v>0</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1032257.52</v>
      </c>
      <c r="E17" s="73">
        <f>'DOE25'!H18</f>
        <v>1442086.0699999966</v>
      </c>
      <c r="F17" s="73">
        <f>'DOE25'!I18</f>
        <v>0</v>
      </c>
      <c r="G17" s="73">
        <f>'DOE25'!J18</f>
        <v>0</v>
      </c>
      <c r="H17" s="13">
        <f t="shared" si="0"/>
        <v>2474343.5899999966</v>
      </c>
      <c r="I17" s="90"/>
    </row>
    <row r="18" spans="1:9" ht="12" thickTop="1" x14ac:dyDescent="0.2">
      <c r="A18" s="35" t="s">
        <v>149</v>
      </c>
      <c r="B18" s="36"/>
      <c r="C18" s="38">
        <f>SUM(C8:C17)</f>
        <v>0</v>
      </c>
      <c r="D18" s="38">
        <f>SUM(D8:D17)</f>
        <v>1032257.52</v>
      </c>
      <c r="E18" s="38">
        <f>SUM(E8:E17)</f>
        <v>1442086.0699999966</v>
      </c>
      <c r="F18" s="38">
        <f>SUM(F8:F17)</f>
        <v>0</v>
      </c>
      <c r="G18" s="38">
        <f>SUM(G8:G17)</f>
        <v>0</v>
      </c>
      <c r="H18" s="38">
        <f t="shared" si="0"/>
        <v>2474343.5899999966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0</v>
      </c>
      <c r="D31" s="38">
        <f>SUM(D21:D30)</f>
        <v>0</v>
      </c>
      <c r="E31" s="38">
        <f>SUM(E21:E30)</f>
        <v>0</v>
      </c>
      <c r="F31" s="38">
        <f>SUM(F21:F30)</f>
        <v>0</v>
      </c>
      <c r="G31" s="38">
        <f>SUM(G21:G30)</f>
        <v>0</v>
      </c>
      <c r="H31" s="38">
        <f t="shared" si="1"/>
        <v>0</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1032257.52</v>
      </c>
      <c r="E39" s="23" t="s">
        <v>288</v>
      </c>
      <c r="F39" s="23" t="s">
        <v>288</v>
      </c>
      <c r="G39" s="23" t="s">
        <v>288</v>
      </c>
      <c r="H39" s="13">
        <f t="shared" si="2"/>
        <v>1032257.52</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1442086.0699999966</v>
      </c>
      <c r="F47" s="73">
        <f>'DOE25'!I48</f>
        <v>0</v>
      </c>
      <c r="G47" s="73">
        <f>'DOE25'!J48</f>
        <v>0</v>
      </c>
      <c r="H47" s="13">
        <f t="shared" si="2"/>
        <v>1442086.0699999966</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0</v>
      </c>
      <c r="D49" s="23" t="s">
        <v>288</v>
      </c>
      <c r="E49" s="23" t="s">
        <v>288</v>
      </c>
      <c r="F49" s="23" t="s">
        <v>288</v>
      </c>
      <c r="G49" s="23" t="s">
        <v>288</v>
      </c>
      <c r="H49" s="13">
        <f t="shared" si="2"/>
        <v>0</v>
      </c>
      <c r="I49" s="90"/>
    </row>
    <row r="50" spans="1:9" ht="12.75" thickTop="1" thickBot="1" x14ac:dyDescent="0.25">
      <c r="A50" s="35" t="s">
        <v>883</v>
      </c>
      <c r="B50" s="44"/>
      <c r="C50" s="38">
        <f>SUM(C34:C49)</f>
        <v>0</v>
      </c>
      <c r="D50" s="38">
        <f>SUM(D34:D49)</f>
        <v>1032257.52</v>
      </c>
      <c r="E50" s="38">
        <f>SUM(E34:E49)</f>
        <v>1442086.0699999966</v>
      </c>
      <c r="F50" s="38">
        <f>SUM(F34:F49)</f>
        <v>0</v>
      </c>
      <c r="G50" s="38">
        <f>SUM(G34:G49)</f>
        <v>0</v>
      </c>
      <c r="H50" s="38">
        <f t="shared" si="2"/>
        <v>2474343.5899999966</v>
      </c>
      <c r="I50" s="90"/>
    </row>
    <row r="51" spans="1:9" ht="12" thickTop="1" x14ac:dyDescent="0.2">
      <c r="A51" s="35" t="s">
        <v>884</v>
      </c>
      <c r="B51" s="2"/>
      <c r="C51" s="38">
        <f>C50+C31</f>
        <v>0</v>
      </c>
      <c r="D51" s="38">
        <f>D50+D31</f>
        <v>1032257.52</v>
      </c>
      <c r="E51" s="38">
        <f>E50+E31</f>
        <v>1442086.0699999966</v>
      </c>
      <c r="F51" s="38">
        <f>F50+F31</f>
        <v>0</v>
      </c>
      <c r="G51" s="38">
        <f>G50+G31</f>
        <v>0</v>
      </c>
      <c r="H51" s="38">
        <f t="shared" si="2"/>
        <v>2474343.5899999966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48960527</v>
      </c>
      <c r="D56" s="73">
        <f>'DOE25'!G60</f>
        <v>0</v>
      </c>
      <c r="E56" s="73">
        <f>'DOE25'!H60</f>
        <v>0</v>
      </c>
      <c r="F56" s="73">
        <f>'DOE25'!I60</f>
        <v>0</v>
      </c>
      <c r="G56" s="73">
        <f>'DOE25'!J60</f>
        <v>0</v>
      </c>
      <c r="H56" s="13">
        <f t="shared" ref="H56:H63" si="3">SUM(C56:G56)</f>
        <v>48960527</v>
      </c>
      <c r="I56"/>
    </row>
    <row r="57" spans="1:9" x14ac:dyDescent="0.2">
      <c r="A57" s="1" t="s">
        <v>164</v>
      </c>
      <c r="B57" s="6" t="s">
        <v>165</v>
      </c>
      <c r="C57" s="73">
        <f>'DOE25'!F79</f>
        <v>5681711.7199999997</v>
      </c>
      <c r="D57" s="23" t="s">
        <v>288</v>
      </c>
      <c r="E57" s="73">
        <f>'DOE25'!H79</f>
        <v>319605.63</v>
      </c>
      <c r="F57" s="23" t="s">
        <v>288</v>
      </c>
      <c r="G57" s="23" t="s">
        <v>288</v>
      </c>
      <c r="H57" s="13">
        <f t="shared" si="3"/>
        <v>6001317.3499999996</v>
      </c>
      <c r="I57"/>
    </row>
    <row r="58" spans="1:9" x14ac:dyDescent="0.2">
      <c r="A58" s="1" t="s">
        <v>166</v>
      </c>
      <c r="B58" s="6" t="s">
        <v>167</v>
      </c>
      <c r="C58" s="73">
        <f>'DOE25'!F94</f>
        <v>132200</v>
      </c>
      <c r="D58" s="23" t="s">
        <v>288</v>
      </c>
      <c r="E58" s="73">
        <f>'DOE25'!H94</f>
        <v>0</v>
      </c>
      <c r="F58" s="23" t="s">
        <v>288</v>
      </c>
      <c r="G58" s="23" t="s">
        <v>288</v>
      </c>
      <c r="H58" s="13">
        <f t="shared" si="3"/>
        <v>132200</v>
      </c>
      <c r="I58"/>
    </row>
    <row r="59" spans="1:9" x14ac:dyDescent="0.2">
      <c r="A59" s="1" t="s">
        <v>168</v>
      </c>
      <c r="B59" s="6" t="s">
        <v>169</v>
      </c>
      <c r="C59" s="73">
        <f>'DOE25'!F96</f>
        <v>0</v>
      </c>
      <c r="D59" s="73">
        <f>'DOE25'!G96</f>
        <v>0</v>
      </c>
      <c r="E59" s="73">
        <f>'DOE25'!H96</f>
        <v>0</v>
      </c>
      <c r="F59" s="73">
        <f>'DOE25'!I96</f>
        <v>0</v>
      </c>
      <c r="G59" s="73">
        <f>'DOE25'!J96</f>
        <v>0</v>
      </c>
      <c r="H59" s="13">
        <f t="shared" si="3"/>
        <v>0</v>
      </c>
      <c r="I59"/>
    </row>
    <row r="60" spans="1:9" x14ac:dyDescent="0.2">
      <c r="A60" s="1" t="s">
        <v>170</v>
      </c>
      <c r="B60" s="22" t="s">
        <v>171</v>
      </c>
      <c r="C60" s="23" t="s">
        <v>288</v>
      </c>
      <c r="D60" s="73">
        <f>'DOE25'!G97</f>
        <v>858008.69000000018</v>
      </c>
      <c r="E60" s="23" t="s">
        <v>288</v>
      </c>
      <c r="F60" s="23" t="s">
        <v>288</v>
      </c>
      <c r="G60" s="23" t="s">
        <v>288</v>
      </c>
      <c r="H60" s="13">
        <f t="shared" si="3"/>
        <v>858008.69000000018</v>
      </c>
      <c r="I60"/>
    </row>
    <row r="61" spans="1:9" ht="12" thickBot="1" x14ac:dyDescent="0.25">
      <c r="A61" s="1" t="s">
        <v>172</v>
      </c>
      <c r="B61" s="22" t="s">
        <v>173</v>
      </c>
      <c r="C61" s="73">
        <f>SUM('DOE25'!F98:F110)</f>
        <v>123277.66</v>
      </c>
      <c r="D61" s="73">
        <f>SUM('DOE25'!G98:G110)</f>
        <v>0</v>
      </c>
      <c r="E61" s="73">
        <f>SUM('DOE25'!H98:H110)</f>
        <v>219968.48</v>
      </c>
      <c r="F61" s="73">
        <f>SUM('DOE25'!I98:I110)</f>
        <v>0</v>
      </c>
      <c r="G61" s="73">
        <f>SUM('DOE25'!J98:J110)</f>
        <v>0</v>
      </c>
      <c r="H61" s="13">
        <f t="shared" si="3"/>
        <v>343246.14</v>
      </c>
      <c r="I61"/>
    </row>
    <row r="62" spans="1:9" ht="12.75" thickTop="1" thickBot="1" x14ac:dyDescent="0.25">
      <c r="A62" s="28" t="s">
        <v>174</v>
      </c>
      <c r="B62" s="6"/>
      <c r="C62" s="93">
        <f>SUM(C57:C61)</f>
        <v>5937189.3799999999</v>
      </c>
      <c r="D62" s="93">
        <f>SUM(D57:D61)</f>
        <v>858008.69000000018</v>
      </c>
      <c r="E62" s="93">
        <f>SUM(E57:E61)</f>
        <v>539574.11</v>
      </c>
      <c r="F62" s="93">
        <f>SUM(F57:F61)</f>
        <v>0</v>
      </c>
      <c r="G62" s="93">
        <f>SUM(G57:G61)</f>
        <v>0</v>
      </c>
      <c r="H62" s="13">
        <f t="shared" si="3"/>
        <v>7334772.1800000006</v>
      </c>
      <c r="I62"/>
    </row>
    <row r="63" spans="1:9" ht="12" thickTop="1" x14ac:dyDescent="0.2">
      <c r="A63" s="28" t="s">
        <v>175</v>
      </c>
      <c r="B63" s="6"/>
      <c r="C63" s="21">
        <f>C56+C62</f>
        <v>54897716.380000003</v>
      </c>
      <c r="D63" s="21">
        <f>D56+D62</f>
        <v>858008.69000000018</v>
      </c>
      <c r="E63" s="21">
        <f>E56+E62</f>
        <v>539574.11</v>
      </c>
      <c r="F63" s="21">
        <f>F56+F62</f>
        <v>0</v>
      </c>
      <c r="G63" s="21">
        <f>G56+G62</f>
        <v>0</v>
      </c>
      <c r="H63" s="13">
        <f t="shared" si="3"/>
        <v>56295299.18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11819078.879999999</v>
      </c>
      <c r="D66" s="23" t="s">
        <v>288</v>
      </c>
      <c r="E66" s="23" t="s">
        <v>288</v>
      </c>
      <c r="F66" s="23" t="s">
        <v>288</v>
      </c>
      <c r="G66" s="23" t="s">
        <v>288</v>
      </c>
      <c r="H66" s="13">
        <f t="shared" ref="H66:H81" si="4">SUM(C66:G66)</f>
        <v>11819078.879999999</v>
      </c>
      <c r="I66"/>
    </row>
    <row r="67" spans="1:9" x14ac:dyDescent="0.2">
      <c r="A67" s="1" t="s">
        <v>770</v>
      </c>
      <c r="B67" s="6">
        <v>3112</v>
      </c>
      <c r="C67" s="73">
        <f>'DOE25'!F118</f>
        <v>5076041</v>
      </c>
      <c r="D67" s="23"/>
      <c r="E67" s="23"/>
      <c r="F67" s="23"/>
      <c r="G67" s="23"/>
      <c r="H67" s="13">
        <f t="shared" si="4"/>
        <v>5076041</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354999.98</v>
      </c>
      <c r="D69" s="73">
        <f>'DOE25'!G120</f>
        <v>0</v>
      </c>
      <c r="E69" s="73">
        <f>'DOE25'!H120</f>
        <v>0</v>
      </c>
      <c r="F69" s="73">
        <f>'DOE25'!I120</f>
        <v>0</v>
      </c>
      <c r="G69" s="73">
        <f>'DOE25'!J120</f>
        <v>0</v>
      </c>
      <c r="H69" s="13">
        <f t="shared" si="4"/>
        <v>354999.98</v>
      </c>
      <c r="I69"/>
    </row>
    <row r="70" spans="1:9" ht="12" thickTop="1" x14ac:dyDescent="0.2">
      <c r="A70" s="28" t="s">
        <v>252</v>
      </c>
      <c r="B70" s="2"/>
      <c r="C70" s="97">
        <f>SUM(C66:C69)</f>
        <v>17250119.859999999</v>
      </c>
      <c r="D70" s="97">
        <f>D69</f>
        <v>0</v>
      </c>
      <c r="E70" s="97">
        <f>E69</f>
        <v>0</v>
      </c>
      <c r="F70" s="97">
        <f>F69</f>
        <v>0</v>
      </c>
      <c r="G70" s="97">
        <f>G69</f>
        <v>0</v>
      </c>
      <c r="H70" s="13">
        <f t="shared" si="4"/>
        <v>17250119.859999999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389462.17</v>
      </c>
      <c r="D72" s="23" t="s">
        <v>288</v>
      </c>
      <c r="E72" s="23" t="s">
        <v>288</v>
      </c>
      <c r="F72" s="73">
        <f>'DOE25'!I123</f>
        <v>0</v>
      </c>
      <c r="G72" s="23" t="s">
        <v>288</v>
      </c>
      <c r="H72" s="13">
        <f t="shared" si="4"/>
        <v>389462.17</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1310222.7</v>
      </c>
      <c r="D75" s="23" t="s">
        <v>288</v>
      </c>
      <c r="E75" s="23" t="s">
        <v>288</v>
      </c>
      <c r="F75" s="23" t="s">
        <v>288</v>
      </c>
      <c r="G75" s="23" t="s">
        <v>288</v>
      </c>
      <c r="H75" s="13">
        <f t="shared" si="4"/>
        <v>1310222.7</v>
      </c>
      <c r="I75"/>
    </row>
    <row r="76" spans="1:9" x14ac:dyDescent="0.2">
      <c r="A76" s="1" t="s">
        <v>257</v>
      </c>
      <c r="B76" s="6" t="s">
        <v>179</v>
      </c>
      <c r="C76" s="73">
        <f>SUM('DOE25'!F127:F130)</f>
        <v>421118.7</v>
      </c>
      <c r="D76" s="23" t="s">
        <v>288</v>
      </c>
      <c r="E76" s="73">
        <f>SUM('DOE25'!H127:H130)</f>
        <v>0</v>
      </c>
      <c r="F76" s="73">
        <f>SUM('DOE25'!I127:I130)</f>
        <v>0</v>
      </c>
      <c r="G76" s="23" t="s">
        <v>288</v>
      </c>
      <c r="H76" s="13">
        <f t="shared" si="4"/>
        <v>421118.7</v>
      </c>
      <c r="I76"/>
    </row>
    <row r="77" spans="1:9" ht="12" thickBot="1" x14ac:dyDescent="0.25">
      <c r="A77" s="1" t="s">
        <v>258</v>
      </c>
      <c r="B77" s="6" t="s">
        <v>180</v>
      </c>
      <c r="C77" s="73">
        <f>SUM('DOE25'!F131:F135)</f>
        <v>45270.29</v>
      </c>
      <c r="D77" s="73">
        <f>SUM('DOE25'!G131:G135)</f>
        <v>24750.94</v>
      </c>
      <c r="E77" s="73">
        <f>SUM('DOE25'!H131:H135)</f>
        <v>34153</v>
      </c>
      <c r="F77" s="73">
        <f>SUM('DOE25'!I131:I135)</f>
        <v>0</v>
      </c>
      <c r="G77" s="73">
        <f>SUM('DOE25'!J131:J135)</f>
        <v>0</v>
      </c>
      <c r="H77" s="13">
        <f t="shared" si="4"/>
        <v>104174.23</v>
      </c>
      <c r="I77"/>
    </row>
    <row r="78" spans="1:9" ht="12.75" thickTop="1" thickBot="1" x14ac:dyDescent="0.25">
      <c r="A78" s="28" t="s">
        <v>259</v>
      </c>
      <c r="B78" s="6"/>
      <c r="C78" s="93">
        <f>SUM(C72:C77)</f>
        <v>2166073.86</v>
      </c>
      <c r="D78" s="93">
        <f>SUM(D72:D77)</f>
        <v>24750.94</v>
      </c>
      <c r="E78" s="93">
        <f>SUM(E72:E77)</f>
        <v>34153</v>
      </c>
      <c r="F78" s="93">
        <f>SUM(F72:F77)</f>
        <v>0</v>
      </c>
      <c r="G78" s="93">
        <f>SUM(G72:G77)</f>
        <v>0</v>
      </c>
      <c r="H78" s="13">
        <f t="shared" si="4"/>
        <v>2224977.7999999998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19416193.719999999</v>
      </c>
      <c r="D81" s="93">
        <f>SUM(D79:D80)+D78+D70</f>
        <v>24750.94</v>
      </c>
      <c r="E81" s="93">
        <f>SUM(E79:E80)+E78+E70</f>
        <v>34153</v>
      </c>
      <c r="F81" s="93">
        <f>SUM(F79:F80)+F78+F70</f>
        <v>0</v>
      </c>
      <c r="G81" s="93">
        <f>SUM(G79:G80)+G78+G70</f>
        <v>0</v>
      </c>
      <c r="H81" s="93">
        <f t="shared" si="4"/>
        <v>19475097.66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245023.77</v>
      </c>
      <c r="D85" s="73">
        <f>'DOE25'!G147</f>
        <v>119450.4</v>
      </c>
      <c r="E85" s="73">
        <f>'DOE25'!H147</f>
        <v>0</v>
      </c>
      <c r="F85" s="73">
        <f>'DOE25'!I147</f>
        <v>0</v>
      </c>
      <c r="G85" s="23" t="s">
        <v>288</v>
      </c>
      <c r="H85" s="13">
        <f t="shared" ref="H85:H104" si="5">SUM(C85:G85)</f>
        <v>364474.17</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187865.15</v>
      </c>
      <c r="D88" s="253">
        <f>SUM('DOE25'!G153:G162)</f>
        <v>824262.39</v>
      </c>
      <c r="E88" s="253">
        <f>SUM('DOE25'!H153:H162)</f>
        <v>4696003.04</v>
      </c>
      <c r="F88" s="253">
        <f>SUM('DOE25'!I153:I162)</f>
        <v>0</v>
      </c>
      <c r="G88" s="23" t="s">
        <v>288</v>
      </c>
      <c r="H88" s="13">
        <f t="shared" si="5"/>
        <v>5708130.5800000001</v>
      </c>
    </row>
    <row r="89" spans="1:9" x14ac:dyDescent="0.2">
      <c r="A89" t="s">
        <v>748</v>
      </c>
      <c r="B89" s="31" t="s">
        <v>185</v>
      </c>
      <c r="C89" s="73">
        <f>'DOE25'!F164+'DOE25'!F167+'DOE25'!F169</f>
        <v>0</v>
      </c>
      <c r="D89" s="73">
        <f>'DOE25'!G164+'DOE25'!G169</f>
        <v>0</v>
      </c>
      <c r="E89" s="73">
        <f>'DOE25'!H164+'DOE25'!H169</f>
        <v>66299.39</v>
      </c>
      <c r="F89" s="73">
        <f>'DOE25'!I164</f>
        <v>0</v>
      </c>
      <c r="G89" s="23" t="s">
        <v>288</v>
      </c>
      <c r="H89" s="13">
        <f t="shared" si="5"/>
        <v>66299.39</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432888.92</v>
      </c>
      <c r="D91" s="94">
        <f>SUM(D85:D90)</f>
        <v>943712.79</v>
      </c>
      <c r="E91" s="94">
        <f>SUM(E85:E90)</f>
        <v>4762302.43</v>
      </c>
      <c r="F91" s="94">
        <f>SUM(F85:F90)</f>
        <v>0</v>
      </c>
      <c r="G91" s="23" t="s">
        <v>288</v>
      </c>
      <c r="H91" s="13">
        <f t="shared" si="5"/>
        <v>6138904.1399999997</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33736.620000000003</v>
      </c>
      <c r="E96" s="73">
        <f>'DOE25'!H180</f>
        <v>0</v>
      </c>
      <c r="F96" s="73">
        <f>'DOE25'!I180</f>
        <v>325000</v>
      </c>
      <c r="G96" s="73">
        <f>'DOE25'!J180</f>
        <v>0</v>
      </c>
      <c r="H96" s="13">
        <f t="shared" si="5"/>
        <v>358736.62</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33736.620000000003</v>
      </c>
      <c r="E103" s="68">
        <f>SUM(E93:E102)</f>
        <v>0</v>
      </c>
      <c r="F103" s="68">
        <f>SUM(F93:F102)</f>
        <v>325000</v>
      </c>
      <c r="G103" s="68">
        <f>SUM(G93:G102)</f>
        <v>0</v>
      </c>
      <c r="H103" s="68">
        <f t="shared" si="5"/>
        <v>358736.62</v>
      </c>
    </row>
    <row r="104" spans="1:8" ht="12.75" thickTop="1" thickBot="1" x14ac:dyDescent="0.25">
      <c r="A104" s="32" t="s">
        <v>761</v>
      </c>
      <c r="C104" s="68">
        <f>C63+C81+C91+C103</f>
        <v>74746799.019999996</v>
      </c>
      <c r="D104" s="68">
        <f>D63+D81+D91+D103</f>
        <v>1860209.0400000003</v>
      </c>
      <c r="E104" s="68">
        <f>E63+E81+E91+E103</f>
        <v>5336029.54</v>
      </c>
      <c r="F104" s="68">
        <f>F63+F81+F91+F103</f>
        <v>325000</v>
      </c>
      <c r="G104" s="68">
        <f>G63+G81+G103</f>
        <v>0</v>
      </c>
      <c r="H104" s="68">
        <f t="shared" si="5"/>
        <v>82268037.600000009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25246768.810000002</v>
      </c>
      <c r="D109" s="23" t="s">
        <v>288</v>
      </c>
      <c r="E109" s="73">
        <f>('DOE25'!L277)+('DOE25'!L296)+('DOE25'!L315)</f>
        <v>1096103.6599999999</v>
      </c>
      <c r="F109" s="23" t="s">
        <v>288</v>
      </c>
      <c r="G109" s="23" t="s">
        <v>288</v>
      </c>
      <c r="H109" s="13">
        <f t="shared" ref="H109:H115" si="6">SUM(C109:G109)</f>
        <v>26342872.470000003</v>
      </c>
    </row>
    <row r="110" spans="1:8" x14ac:dyDescent="0.2">
      <c r="A110" t="s">
        <v>198</v>
      </c>
      <c r="B110" s="31" t="s">
        <v>199</v>
      </c>
      <c r="C110" s="73">
        <f>('DOE25'!L199)+('DOE25'!L217)+('DOE25'!L235)</f>
        <v>15483559.190000001</v>
      </c>
      <c r="D110" s="23" t="s">
        <v>288</v>
      </c>
      <c r="E110" s="73">
        <f>('DOE25'!L278)+('DOE25'!L297)+('DOE25'!L316)</f>
        <v>1085547.1800000002</v>
      </c>
      <c r="F110" s="23" t="s">
        <v>288</v>
      </c>
      <c r="G110" s="23" t="s">
        <v>288</v>
      </c>
      <c r="H110" s="13">
        <f t="shared" si="6"/>
        <v>16569106.370000001</v>
      </c>
    </row>
    <row r="111" spans="1:8" x14ac:dyDescent="0.2">
      <c r="A111" t="s">
        <v>200</v>
      </c>
      <c r="B111" s="31" t="s">
        <v>165</v>
      </c>
      <c r="C111" s="73">
        <f>('DOE25'!L200)+('DOE25'!L218)+('DOE25'!L236)</f>
        <v>2526581.6200000006</v>
      </c>
      <c r="D111" s="23" t="s">
        <v>288</v>
      </c>
      <c r="E111" s="73">
        <f>('DOE25'!L279)+('DOE25'!L298)+('DOE25'!L317)</f>
        <v>207499.43000000002</v>
      </c>
      <c r="F111" s="23" t="s">
        <v>288</v>
      </c>
      <c r="G111" s="23" t="s">
        <v>288</v>
      </c>
      <c r="H111" s="13">
        <f t="shared" si="6"/>
        <v>2734081.0500000007</v>
      </c>
    </row>
    <row r="112" spans="1:8" x14ac:dyDescent="0.2">
      <c r="A112" t="s">
        <v>201</v>
      </c>
      <c r="B112" s="31" t="s">
        <v>167</v>
      </c>
      <c r="C112" s="73">
        <f>('DOE25'!L201)+('DOE25'!L219)+('DOE25'!L237)</f>
        <v>699781.56</v>
      </c>
      <c r="D112" s="23" t="s">
        <v>288</v>
      </c>
      <c r="E112" s="73">
        <f>+('DOE25'!L280)+('DOE25'!L299)+('DOE25'!L318)</f>
        <v>47935.6</v>
      </c>
      <c r="F112" s="23" t="s">
        <v>288</v>
      </c>
      <c r="G112" s="23" t="s">
        <v>288</v>
      </c>
      <c r="H112" s="13">
        <f t="shared" si="6"/>
        <v>747717.16</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247119.78</v>
      </c>
      <c r="D114" s="23" t="s">
        <v>288</v>
      </c>
      <c r="E114" s="73">
        <f>+ SUM('DOE25'!L334:L336)</f>
        <v>1026777.0900000002</v>
      </c>
      <c r="F114" s="23" t="s">
        <v>288</v>
      </c>
      <c r="G114" s="23" t="s">
        <v>288</v>
      </c>
      <c r="H114" s="13">
        <f t="shared" si="6"/>
        <v>1273896.8700000001</v>
      </c>
    </row>
    <row r="115" spans="1:8" ht="12.75" thickTop="1" thickBot="1" x14ac:dyDescent="0.25">
      <c r="A115" s="32" t="s">
        <v>205</v>
      </c>
      <c r="C115" s="68">
        <f>SUM(C109:C114)</f>
        <v>44203810.960000001</v>
      </c>
      <c r="D115" s="68">
        <f>SUM(D109:D114)</f>
        <v>0</v>
      </c>
      <c r="E115" s="68">
        <f>SUM(E109:E114)</f>
        <v>3463862.9600000004</v>
      </c>
      <c r="F115" s="68">
        <f>SUM(F109:F114)</f>
        <v>0</v>
      </c>
      <c r="G115" s="68">
        <f>SUM(G109:G114)</f>
        <v>0</v>
      </c>
      <c r="H115" s="68">
        <f t="shared" si="6"/>
        <v>47667673.920000002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4744578.8100000005</v>
      </c>
      <c r="D118" s="23" t="s">
        <v>288</v>
      </c>
      <c r="E118" s="73">
        <f>+('DOE25'!L282)+('DOE25'!L301)+('DOE25'!L320)</f>
        <v>168449.21</v>
      </c>
      <c r="F118" s="23" t="s">
        <v>288</v>
      </c>
      <c r="G118" s="23" t="s">
        <v>288</v>
      </c>
      <c r="H118" s="13">
        <f t="shared" ref="H118:H145" si="7">SUM(C118:G118)</f>
        <v>4913028.0200000005</v>
      </c>
    </row>
    <row r="119" spans="1:8" x14ac:dyDescent="0.2">
      <c r="A119" t="s">
        <v>208</v>
      </c>
      <c r="B119" s="31" t="s">
        <v>209</v>
      </c>
      <c r="C119" s="73">
        <f>('DOE25'!L204)+('DOE25'!L222)+('DOE25'!L240)</f>
        <v>1161969.4099999999</v>
      </c>
      <c r="D119" s="23" t="s">
        <v>288</v>
      </c>
      <c r="E119" s="73">
        <f>+('DOE25'!L283)+('DOE25'!L302)+('DOE25'!L321)</f>
        <v>1373345.0900000003</v>
      </c>
      <c r="F119" s="23" t="s">
        <v>288</v>
      </c>
      <c r="G119" s="23" t="s">
        <v>288</v>
      </c>
      <c r="H119" s="13">
        <f t="shared" si="7"/>
        <v>2535314.5</v>
      </c>
    </row>
    <row r="120" spans="1:8" x14ac:dyDescent="0.2">
      <c r="A120" t="s">
        <v>210</v>
      </c>
      <c r="B120" s="31" t="s">
        <v>211</v>
      </c>
      <c r="C120" s="73">
        <f>('DOE25'!L205)+('DOE25'!L223)+('DOE25'!L241)</f>
        <v>1896934.9</v>
      </c>
      <c r="D120" s="23" t="s">
        <v>288</v>
      </c>
      <c r="E120" s="73">
        <f>+('DOE25'!L284)+('DOE25'!L303)+('DOE25'!L322)</f>
        <v>35509.339999999997</v>
      </c>
      <c r="F120" s="23" t="s">
        <v>288</v>
      </c>
      <c r="G120" s="23" t="s">
        <v>288</v>
      </c>
      <c r="H120" s="13">
        <f t="shared" si="7"/>
        <v>1932444.24</v>
      </c>
    </row>
    <row r="121" spans="1:8" x14ac:dyDescent="0.2">
      <c r="A121" t="s">
        <v>212</v>
      </c>
      <c r="B121" s="31" t="s">
        <v>213</v>
      </c>
      <c r="C121" s="73">
        <f>('DOE25'!L206)+('DOE25'!L224)+('DOE25'!L242)</f>
        <v>3162017.6899999995</v>
      </c>
      <c r="D121" s="23" t="s">
        <v>288</v>
      </c>
      <c r="E121" s="73">
        <f>+('DOE25'!L285)+('DOE25'!L304)+('DOE25'!L323)</f>
        <v>73286.3</v>
      </c>
      <c r="F121" s="23" t="s">
        <v>288</v>
      </c>
      <c r="G121" s="23" t="s">
        <v>288</v>
      </c>
      <c r="H121" s="13">
        <f t="shared" si="7"/>
        <v>3235303.9899999993</v>
      </c>
    </row>
    <row r="122" spans="1:8" x14ac:dyDescent="0.2">
      <c r="A122" t="s">
        <v>214</v>
      </c>
      <c r="B122" s="31" t="s">
        <v>215</v>
      </c>
      <c r="C122" s="73">
        <f>('DOE25'!L207)+('DOE25'!L225)+('DOE25'!L243)</f>
        <v>429.33000000000004</v>
      </c>
      <c r="D122" s="23" t="s">
        <v>288</v>
      </c>
      <c r="E122" s="73">
        <f>+('DOE25'!L286)+('DOE25'!L305)+('DOE25'!L324)</f>
        <v>0</v>
      </c>
      <c r="F122" s="23" t="s">
        <v>288</v>
      </c>
      <c r="G122" s="23" t="s">
        <v>288</v>
      </c>
      <c r="H122" s="13">
        <f t="shared" si="7"/>
        <v>429.33000000000004</v>
      </c>
    </row>
    <row r="123" spans="1:8" x14ac:dyDescent="0.2">
      <c r="A123" t="s">
        <v>216</v>
      </c>
      <c r="B123" s="31" t="s">
        <v>217</v>
      </c>
      <c r="C123" s="73">
        <f>('DOE25'!L208)+('DOE25'!L226)+('DOE25'!L244)</f>
        <v>5779610.5300000003</v>
      </c>
      <c r="D123" s="23" t="s">
        <v>288</v>
      </c>
      <c r="E123" s="73">
        <f>+('DOE25'!L287)+('DOE25'!L306)+('DOE25'!L325)</f>
        <v>156643.14000000001</v>
      </c>
      <c r="F123" s="23" t="s">
        <v>288</v>
      </c>
      <c r="G123" s="23" t="s">
        <v>288</v>
      </c>
      <c r="H123" s="13">
        <f t="shared" si="7"/>
        <v>5936253.6699999999</v>
      </c>
    </row>
    <row r="124" spans="1:8" x14ac:dyDescent="0.2">
      <c r="A124" t="s">
        <v>218</v>
      </c>
      <c r="B124" s="31" t="s">
        <v>219</v>
      </c>
      <c r="C124" s="73">
        <f>('DOE25'!L209)+('DOE25'!L227)+('DOE25'!L245+'DOE25'!L255)</f>
        <v>4059220.01</v>
      </c>
      <c r="D124" s="23" t="s">
        <v>288</v>
      </c>
      <c r="E124" s="73">
        <f>+('DOE25'!L288)+('DOE25'!L307)+('DOE25'!L326)</f>
        <v>2417.59</v>
      </c>
      <c r="F124" s="23" t="s">
        <v>288</v>
      </c>
      <c r="G124" s="23" t="s">
        <v>288</v>
      </c>
      <c r="H124" s="13">
        <f t="shared" si="7"/>
        <v>4061637.5999999996</v>
      </c>
    </row>
    <row r="125" spans="1:8" x14ac:dyDescent="0.2">
      <c r="A125" t="s">
        <v>220</v>
      </c>
      <c r="B125" s="31" t="s">
        <v>221</v>
      </c>
      <c r="C125" s="73">
        <f>('DOE25'!L210)+('DOE25'!L228)+('DOE25'!L246)</f>
        <v>1394042.96</v>
      </c>
      <c r="D125" s="23" t="s">
        <v>288</v>
      </c>
      <c r="E125" s="73">
        <f>+('DOE25'!L289)+('DOE25'!L308)+('DOE25'!L327)</f>
        <v>0</v>
      </c>
      <c r="F125" s="23" t="s">
        <v>288</v>
      </c>
      <c r="G125" s="23" t="s">
        <v>288</v>
      </c>
      <c r="H125" s="13">
        <f t="shared" si="7"/>
        <v>1394042.96</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2077929.3599999999</v>
      </c>
      <c r="E127" s="23" t="s">
        <v>288</v>
      </c>
      <c r="F127" s="23" t="s">
        <v>288</v>
      </c>
      <c r="G127" s="23" t="s">
        <v>288</v>
      </c>
      <c r="H127" s="13">
        <f t="shared" si="7"/>
        <v>2077929.3599999999</v>
      </c>
    </row>
    <row r="128" spans="1:8" ht="12.75" thickTop="1" thickBot="1" x14ac:dyDescent="0.25">
      <c r="A128" s="32" t="s">
        <v>226</v>
      </c>
      <c r="C128" s="68">
        <f>SUM(C118:C127)</f>
        <v>22198803.640000001</v>
      </c>
      <c r="D128" s="68">
        <f>SUM(D118:D127)</f>
        <v>2077929.3599999999</v>
      </c>
      <c r="E128" s="68">
        <f>SUM(E118:E127)</f>
        <v>1809650.6700000006</v>
      </c>
      <c r="F128" s="68">
        <f>SUM(F118:F127)</f>
        <v>0</v>
      </c>
      <c r="G128" s="68">
        <f>SUM(G118:G127)</f>
        <v>0</v>
      </c>
      <c r="H128" s="68">
        <f t="shared" si="7"/>
        <v>26086383.670000002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33903.64</v>
      </c>
      <c r="G130" s="23" t="s">
        <v>288</v>
      </c>
      <c r="H130" s="13">
        <f t="shared" si="7"/>
        <v>33903.64</v>
      </c>
    </row>
    <row r="131" spans="1:8" x14ac:dyDescent="0.2">
      <c r="A131" t="s">
        <v>229</v>
      </c>
      <c r="B131" s="31">
        <v>5110</v>
      </c>
      <c r="C131" s="73">
        <f>'DOE25'!L261</f>
        <v>3344745.53</v>
      </c>
      <c r="D131" s="23" t="s">
        <v>288</v>
      </c>
      <c r="E131" s="92">
        <f>'DOE25'!L342</f>
        <v>0</v>
      </c>
      <c r="F131" s="23" t="s">
        <v>288</v>
      </c>
      <c r="G131" s="23" t="s">
        <v>288</v>
      </c>
      <c r="H131" s="13">
        <f t="shared" si="7"/>
        <v>3344745.53</v>
      </c>
    </row>
    <row r="132" spans="1:8" x14ac:dyDescent="0.2">
      <c r="A132" t="s">
        <v>230</v>
      </c>
      <c r="B132" s="31">
        <v>5120</v>
      </c>
      <c r="C132" s="73">
        <f>'DOE25'!L262</f>
        <v>3017575.57</v>
      </c>
      <c r="D132" s="23" t="s">
        <v>288</v>
      </c>
      <c r="E132" s="92">
        <f>'DOE25'!L343</f>
        <v>0</v>
      </c>
      <c r="F132" s="23" t="s">
        <v>288</v>
      </c>
      <c r="G132" s="23" t="s">
        <v>288</v>
      </c>
      <c r="H132" s="13">
        <f t="shared" si="7"/>
        <v>3017575.57</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171977.61000000002</v>
      </c>
      <c r="F134" s="73">
        <f>'DOE25'!K382</f>
        <v>0</v>
      </c>
      <c r="G134" s="73">
        <f>'DOE25'!K435</f>
        <v>0</v>
      </c>
      <c r="H134" s="13">
        <f t="shared" si="7"/>
        <v>171977.61000000002</v>
      </c>
    </row>
    <row r="135" spans="1:8" x14ac:dyDescent="0.2">
      <c r="A135" t="s">
        <v>233</v>
      </c>
      <c r="B135" s="31" t="s">
        <v>234</v>
      </c>
      <c r="C135" s="73">
        <f>'DOE25'!L264</f>
        <v>33736.620000000003</v>
      </c>
      <c r="D135" s="23" t="s">
        <v>288</v>
      </c>
      <c r="E135" s="92">
        <f>'DOE25'!L346</f>
        <v>0</v>
      </c>
      <c r="F135" s="23" t="s">
        <v>288</v>
      </c>
      <c r="G135" s="23" t="s">
        <v>288</v>
      </c>
      <c r="H135" s="13">
        <f t="shared" si="7"/>
        <v>33736.620000000003</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325000</v>
      </c>
      <c r="D137" s="23" t="s">
        <v>288</v>
      </c>
      <c r="E137" s="92">
        <f>'DOE25'!L347</f>
        <v>0</v>
      </c>
      <c r="F137" s="23" t="s">
        <v>288</v>
      </c>
      <c r="G137" s="23" t="s">
        <v>288</v>
      </c>
      <c r="H137" s="13">
        <f t="shared" si="7"/>
        <v>325000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6721057.7199999997</v>
      </c>
      <c r="D144" s="98">
        <f>SUM(D130:D143)</f>
        <v>0</v>
      </c>
      <c r="E144" s="98">
        <f>SUM(E130:E143)</f>
        <v>171977.61000000002</v>
      </c>
      <c r="F144" s="98">
        <f>SUM(F130:F143)</f>
        <v>33903.64</v>
      </c>
      <c r="G144" s="98">
        <f>SUM(G130:G143)</f>
        <v>0</v>
      </c>
      <c r="H144" s="98">
        <f t="shared" si="7"/>
        <v>6926938.9699999997</v>
      </c>
    </row>
    <row r="145" spans="1:9" ht="12.75" thickTop="1" thickBot="1" x14ac:dyDescent="0.25">
      <c r="A145" s="32" t="s">
        <v>244</v>
      </c>
      <c r="C145" s="68">
        <f>(C115+C128+C144)</f>
        <v>73123672.320000008</v>
      </c>
      <c r="D145" s="68">
        <f>(D115+D128+D144)</f>
        <v>2077929.3599999999</v>
      </c>
      <c r="E145" s="68">
        <f>(E115+E128+E144)</f>
        <v>5445491.2400000012</v>
      </c>
      <c r="F145" s="68">
        <f>(F115+F128+F144)</f>
        <v>33903.64</v>
      </c>
      <c r="G145" s="68">
        <f>(G115+G128+G144)</f>
        <v>0</v>
      </c>
      <c r="H145" s="68">
        <f t="shared" si="7"/>
        <v>80680996.560000002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85543305.599999994</v>
      </c>
      <c r="C156" s="19">
        <f>'DOE25'!G496</f>
        <v>0</v>
      </c>
      <c r="D156" s="19">
        <f>'DOE25'!H496</f>
        <v>0</v>
      </c>
      <c r="E156" s="19">
        <f>'DOE25'!I496</f>
        <v>0</v>
      </c>
      <c r="F156" s="19">
        <f>'DOE25'!J496</f>
        <v>0</v>
      </c>
      <c r="G156" s="96">
        <f>SUM(B156:F156)</f>
        <v>85543305.599999994</v>
      </c>
    </row>
    <row r="157" spans="1:9" x14ac:dyDescent="0.2">
      <c r="A157" s="21" t="s">
        <v>33</v>
      </c>
      <c r="B157" s="19">
        <f>'DOE25'!F497</f>
        <v>465500</v>
      </c>
      <c r="C157" s="19">
        <f>'DOE25'!G497</f>
        <v>0</v>
      </c>
      <c r="D157" s="19">
        <f>'DOE25'!H497</f>
        <v>0</v>
      </c>
      <c r="E157" s="19">
        <f>'DOE25'!I497</f>
        <v>0</v>
      </c>
      <c r="F157" s="19">
        <f>'DOE25'!J497</f>
        <v>0</v>
      </c>
      <c r="G157" s="96">
        <f t="shared" ref="G157:G164" si="8">SUM(B157:F157)</f>
        <v>465500</v>
      </c>
    </row>
    <row r="158" spans="1:9" x14ac:dyDescent="0.2">
      <c r="A158" s="21" t="s">
        <v>34</v>
      </c>
      <c r="B158" s="19">
        <f>'DOE25'!F498</f>
        <v>3224673.84</v>
      </c>
      <c r="C158" s="19">
        <f>'DOE25'!G498</f>
        <v>0</v>
      </c>
      <c r="D158" s="19">
        <f>'DOE25'!H498</f>
        <v>0</v>
      </c>
      <c r="E158" s="19">
        <f>'DOE25'!I498</f>
        <v>0</v>
      </c>
      <c r="F158" s="19">
        <f>'DOE25'!J498</f>
        <v>0</v>
      </c>
      <c r="G158" s="96">
        <f t="shared" si="8"/>
        <v>3224673.84</v>
      </c>
    </row>
    <row r="159" spans="1:9" x14ac:dyDescent="0.2">
      <c r="A159" s="21" t="s">
        <v>35</v>
      </c>
      <c r="B159" s="19">
        <f>'DOE25'!F499</f>
        <v>82784131.760000005</v>
      </c>
      <c r="C159" s="19">
        <f>'DOE25'!G499</f>
        <v>0</v>
      </c>
      <c r="D159" s="19">
        <f>'DOE25'!H499</f>
        <v>0</v>
      </c>
      <c r="E159" s="19">
        <f>'DOE25'!I499</f>
        <v>0</v>
      </c>
      <c r="F159" s="19">
        <f>'DOE25'!J499</f>
        <v>0</v>
      </c>
      <c r="G159" s="96">
        <f t="shared" si="8"/>
        <v>82784131.760000005</v>
      </c>
    </row>
    <row r="160" spans="1:9" x14ac:dyDescent="0.2">
      <c r="A160" s="21" t="s">
        <v>36</v>
      </c>
      <c r="B160" s="19">
        <f>'DOE25'!F500</f>
        <v>29993089.010000002</v>
      </c>
      <c r="C160" s="19">
        <f>'DOE25'!G500</f>
        <v>0</v>
      </c>
      <c r="D160" s="19">
        <f>'DOE25'!H500</f>
        <v>0</v>
      </c>
      <c r="E160" s="19">
        <f>'DOE25'!I500</f>
        <v>0</v>
      </c>
      <c r="F160" s="19">
        <f>'DOE25'!J500</f>
        <v>0</v>
      </c>
      <c r="G160" s="96">
        <f t="shared" si="8"/>
        <v>29993089.010000002</v>
      </c>
    </row>
    <row r="161" spans="1:7" x14ac:dyDescent="0.2">
      <c r="A161" s="21" t="s">
        <v>37</v>
      </c>
      <c r="B161" s="19">
        <f>'DOE25'!F501</f>
        <v>112777220.77000001</v>
      </c>
      <c r="C161" s="19">
        <f>'DOE25'!G501</f>
        <v>0</v>
      </c>
      <c r="D161" s="19">
        <f>'DOE25'!H501</f>
        <v>0</v>
      </c>
      <c r="E161" s="19">
        <f>'DOE25'!I501</f>
        <v>0</v>
      </c>
      <c r="F161" s="19">
        <f>'DOE25'!J501</f>
        <v>0</v>
      </c>
      <c r="G161" s="96">
        <f t="shared" si="8"/>
        <v>112777220.77000001</v>
      </c>
    </row>
    <row r="162" spans="1:7" x14ac:dyDescent="0.2">
      <c r="A162" s="21" t="s">
        <v>38</v>
      </c>
      <c r="B162" s="19">
        <f>'DOE25'!F502</f>
        <v>3344745.53</v>
      </c>
      <c r="C162" s="19">
        <f>'DOE25'!G502</f>
        <v>0</v>
      </c>
      <c r="D162" s="19">
        <f>'DOE25'!H502</f>
        <v>0</v>
      </c>
      <c r="E162" s="19">
        <f>'DOE25'!I502</f>
        <v>0</v>
      </c>
      <c r="F162" s="19">
        <f>'DOE25'!J502</f>
        <v>0</v>
      </c>
      <c r="G162" s="96">
        <f t="shared" si="8"/>
        <v>3344745.53</v>
      </c>
    </row>
    <row r="163" spans="1:7" x14ac:dyDescent="0.2">
      <c r="A163" s="21" t="s">
        <v>39</v>
      </c>
      <c r="B163" s="19">
        <f>'DOE25'!F503</f>
        <v>3017575.57</v>
      </c>
      <c r="C163" s="19">
        <f>'DOE25'!G503</f>
        <v>0</v>
      </c>
      <c r="D163" s="19">
        <f>'DOE25'!H503</f>
        <v>0</v>
      </c>
      <c r="E163" s="19">
        <f>'DOE25'!I503</f>
        <v>0</v>
      </c>
      <c r="F163" s="19">
        <f>'DOE25'!J503</f>
        <v>0</v>
      </c>
      <c r="G163" s="96">
        <f t="shared" si="8"/>
        <v>3017575.57</v>
      </c>
    </row>
    <row r="164" spans="1:7" x14ac:dyDescent="0.2">
      <c r="A164" s="21" t="s">
        <v>246</v>
      </c>
      <c r="B164" s="19">
        <f>'DOE25'!F504</f>
        <v>6362321.0999999996</v>
      </c>
      <c r="C164" s="19">
        <f>'DOE25'!G504</f>
        <v>0</v>
      </c>
      <c r="D164" s="19">
        <f>'DOE25'!H504</f>
        <v>0</v>
      </c>
      <c r="E164" s="19">
        <f>'DOE25'!I504</f>
        <v>0</v>
      </c>
      <c r="F164" s="19">
        <f>'DOE25'!J504</f>
        <v>0</v>
      </c>
      <c r="G164" s="96">
        <f t="shared" si="8"/>
        <v>6362321.0999999996</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Dover</v>
      </c>
    </row>
    <row r="3" spans="1:4" x14ac:dyDescent="0.2">
      <c r="B3" s="137" t="s">
        <v>1799</v>
      </c>
    </row>
    <row r="4" spans="1:4" x14ac:dyDescent="0.2">
      <c r="B4" t="s">
        <v>61</v>
      </c>
      <c r="C4" s="129">
        <f>IF('DOE25'!F666+'DOE25'!F671=0,0,ROUND('DOE25'!F673,0))</f>
        <v>19050</v>
      </c>
    </row>
    <row r="5" spans="1:4" x14ac:dyDescent="0.2">
      <c r="B5" t="s">
        <v>700</v>
      </c>
      <c r="C5" s="129">
        <f>IF('DOE25'!G666+'DOE25'!G671=0,0,ROUND('DOE25'!G673,0))</f>
        <v>15658</v>
      </c>
    </row>
    <row r="6" spans="1:4" x14ac:dyDescent="0.2">
      <c r="B6" t="s">
        <v>62</v>
      </c>
      <c r="C6" s="129">
        <f>IF('DOE25'!H666+'DOE25'!H671=0,0,ROUND('DOE25'!H673,0))</f>
        <v>15901</v>
      </c>
    </row>
    <row r="7" spans="1:4" x14ac:dyDescent="0.2">
      <c r="B7" t="s">
        <v>701</v>
      </c>
      <c r="C7" s="129">
        <f>IF('DOE25'!I666+'DOE25'!I671=0,0,ROUND('DOE25'!I673,0))</f>
        <v>16847</v>
      </c>
    </row>
    <row r="9" spans="1:4" x14ac:dyDescent="0.2">
      <c r="A9" s="136" t="s">
        <v>94</v>
      </c>
      <c r="B9" s="137" t="s">
        <v>1800</v>
      </c>
      <c r="C9" s="131" t="s">
        <v>720</v>
      </c>
      <c r="D9" s="131" t="s">
        <v>721</v>
      </c>
    </row>
    <row r="10" spans="1:4" x14ac:dyDescent="0.2">
      <c r="A10">
        <v>1100</v>
      </c>
      <c r="B10" t="s">
        <v>702</v>
      </c>
      <c r="C10" s="129">
        <f>ROUND('DOE25'!L198+'DOE25'!L216+'DOE25'!L234+'DOE25'!L277+'DOE25'!L296+'DOE25'!L315,0)</f>
        <v>26342872</v>
      </c>
      <c r="D10" s="132">
        <f>ROUND((C10/$C$28)*100,1)</f>
        <v>34.700000000000003</v>
      </c>
    </row>
    <row r="11" spans="1:4" x14ac:dyDescent="0.2">
      <c r="A11">
        <v>1200</v>
      </c>
      <c r="B11" t="s">
        <v>703</v>
      </c>
      <c r="C11" s="129">
        <f>ROUND('DOE25'!L199+'DOE25'!L217+'DOE25'!L235+'DOE25'!L278+'DOE25'!L297+'DOE25'!L316,0)</f>
        <v>16569106</v>
      </c>
      <c r="D11" s="132">
        <f>ROUND((C11/$C$28)*100,1)</f>
        <v>21.8</v>
      </c>
    </row>
    <row r="12" spans="1:4" x14ac:dyDescent="0.2">
      <c r="A12">
        <v>1300</v>
      </c>
      <c r="B12" t="s">
        <v>704</v>
      </c>
      <c r="C12" s="129">
        <f>ROUND('DOE25'!L200+'DOE25'!L218+'DOE25'!L236+'DOE25'!L279+'DOE25'!L298+'DOE25'!L317,0)</f>
        <v>2734081</v>
      </c>
      <c r="D12" s="132">
        <f>ROUND((C12/$C$28)*100,1)</f>
        <v>3.6</v>
      </c>
    </row>
    <row r="13" spans="1:4" x14ac:dyDescent="0.2">
      <c r="A13">
        <v>1400</v>
      </c>
      <c r="B13" t="s">
        <v>705</v>
      </c>
      <c r="C13" s="129">
        <f>ROUND('DOE25'!L201+'DOE25'!L219+'DOE25'!L237+'DOE25'!L280+'DOE25'!L299+'DOE25'!L318,0)</f>
        <v>747717</v>
      </c>
      <c r="D13" s="132">
        <f>ROUND((C13/$C$28)*100,1)</f>
        <v>1</v>
      </c>
    </row>
    <row r="14" spans="1:4" x14ac:dyDescent="0.2">
      <c r="D14" s="132"/>
    </row>
    <row r="15" spans="1:4" x14ac:dyDescent="0.2">
      <c r="A15">
        <v>2100</v>
      </c>
      <c r="B15" t="s">
        <v>706</v>
      </c>
      <c r="C15" s="129">
        <f>ROUND('DOE25'!L203+'DOE25'!L221+'DOE25'!L239+'DOE25'!L282+'DOE25'!L301+'DOE25'!L320,0)</f>
        <v>4913028</v>
      </c>
      <c r="D15" s="132">
        <f t="shared" ref="D15:D27" si="0">ROUND((C15/$C$28)*100,1)</f>
        <v>6.5</v>
      </c>
    </row>
    <row r="16" spans="1:4" x14ac:dyDescent="0.2">
      <c r="A16">
        <v>2200</v>
      </c>
      <c r="B16" t="s">
        <v>707</v>
      </c>
      <c r="C16" s="129">
        <f>ROUND('DOE25'!L204+'DOE25'!L222+'DOE25'!L240+'DOE25'!L283+'DOE25'!L302+'DOE25'!L321,0)</f>
        <v>2535315</v>
      </c>
      <c r="D16" s="132">
        <f t="shared" si="0"/>
        <v>3.3</v>
      </c>
    </row>
    <row r="17" spans="1:4" x14ac:dyDescent="0.2">
      <c r="A17" s="133" t="s">
        <v>723</v>
      </c>
      <c r="B17" t="s">
        <v>738</v>
      </c>
      <c r="C17" s="129">
        <f>ROUND('DOE25'!L205+'DOE25'!L210+'DOE25'!L223+'DOE25'!L228+'DOE25'!L241+'DOE25'!L246+'DOE25'!L284+'DOE25'!L289+'DOE25'!L303+'DOE25'!L308+'DOE25'!L322+'DOE25'!L327,0)</f>
        <v>3326487</v>
      </c>
      <c r="D17" s="132">
        <f t="shared" si="0"/>
        <v>4.4000000000000004</v>
      </c>
    </row>
    <row r="18" spans="1:4" x14ac:dyDescent="0.2">
      <c r="A18">
        <v>2400</v>
      </c>
      <c r="B18" t="s">
        <v>711</v>
      </c>
      <c r="C18" s="129">
        <f>ROUND('DOE25'!L206+'DOE25'!L224+'DOE25'!L242+'DOE25'!L285+'DOE25'!L304+'DOE25'!L323,0)</f>
        <v>3235304</v>
      </c>
      <c r="D18" s="132">
        <f t="shared" si="0"/>
        <v>4.3</v>
      </c>
    </row>
    <row r="19" spans="1:4" x14ac:dyDescent="0.2">
      <c r="A19">
        <v>2500</v>
      </c>
      <c r="B19" t="s">
        <v>708</v>
      </c>
      <c r="C19" s="129">
        <f>ROUND('DOE25'!L207+'DOE25'!L225+'DOE25'!L243+'DOE25'!L286+'DOE25'!L305+'DOE25'!L324,0)</f>
        <v>429</v>
      </c>
      <c r="D19" s="132">
        <f t="shared" si="0"/>
        <v>0</v>
      </c>
    </row>
    <row r="20" spans="1:4" x14ac:dyDescent="0.2">
      <c r="A20">
        <v>2600</v>
      </c>
      <c r="B20" t="s">
        <v>709</v>
      </c>
      <c r="C20" s="129">
        <f>ROUND('DOE25'!L208+'DOE25'!L226+'DOE25'!L244+'DOE25'!L287+'DOE25'!L306+'DOE25'!L325,0)</f>
        <v>5936254</v>
      </c>
      <c r="D20" s="132">
        <f t="shared" si="0"/>
        <v>7.8</v>
      </c>
    </row>
    <row r="21" spans="1:4" x14ac:dyDescent="0.2">
      <c r="A21">
        <v>2700</v>
      </c>
      <c r="B21" t="s">
        <v>710</v>
      </c>
      <c r="C21" s="129">
        <f>ROUND('DOE25'!L209+'DOE25'!L227+'DOE25'!L245+'DOE25'!L288+'DOE25'!L307+'DOE25'!L326,0)</f>
        <v>4060773</v>
      </c>
      <c r="D21" s="132">
        <f t="shared" si="0"/>
        <v>5.3</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1274762</v>
      </c>
      <c r="D24" s="132">
        <f t="shared" si="0"/>
        <v>1.7</v>
      </c>
    </row>
    <row r="25" spans="1:4" x14ac:dyDescent="0.2">
      <c r="A25">
        <v>5120</v>
      </c>
      <c r="B25" t="s">
        <v>716</v>
      </c>
      <c r="C25" s="129">
        <f>ROUND('DOE25'!L262+'DOE25'!L343,0)</f>
        <v>3017576</v>
      </c>
      <c r="D25" s="132">
        <f t="shared" si="0"/>
        <v>4</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1219920.3099999998</v>
      </c>
      <c r="D27" s="132">
        <f t="shared" si="0"/>
        <v>1.6</v>
      </c>
    </row>
    <row r="28" spans="1:4" x14ac:dyDescent="0.2">
      <c r="B28" s="136" t="s">
        <v>719</v>
      </c>
      <c r="C28" s="130">
        <f>SUM(C10:C27)</f>
        <v>75913624.310000002</v>
      </c>
      <c r="D28" s="134">
        <f>ROUND(SUM(D10:D27),0)</f>
        <v>100</v>
      </c>
    </row>
    <row r="29" spans="1:4" x14ac:dyDescent="0.2">
      <c r="A29">
        <v>4000</v>
      </c>
      <c r="B29" t="s">
        <v>724</v>
      </c>
      <c r="C29" s="129">
        <f>ROUND('DOE25'!L256+'DOE25'!L337+'DOE25'!L375+'DOE25'!L376+'DOE25'!L377+'DOE25'!L378+'DOE25'!L379+'DOE25'!L380+'DOE25'!L381,0)</f>
        <v>33904</v>
      </c>
    </row>
    <row r="30" spans="1:4" x14ac:dyDescent="0.2">
      <c r="B30" s="136" t="s">
        <v>725</v>
      </c>
      <c r="C30" s="130">
        <f>SUM(C28:C29)</f>
        <v>75947528.310000002</v>
      </c>
    </row>
    <row r="31" spans="1:4" x14ac:dyDescent="0.2">
      <c r="B31" s="32"/>
      <c r="C31" s="130"/>
    </row>
    <row r="32" spans="1:4" x14ac:dyDescent="0.2">
      <c r="A32">
        <v>5100</v>
      </c>
      <c r="B32" s="32" t="s">
        <v>726</v>
      </c>
      <c r="C32" s="130">
        <f>ROUND('DOE25'!L261+'DOE25'!L342,0)</f>
        <v>3344746</v>
      </c>
    </row>
    <row r="34" spans="1:4" x14ac:dyDescent="0.2">
      <c r="A34" s="136" t="s">
        <v>94</v>
      </c>
      <c r="B34" s="137" t="s">
        <v>1801</v>
      </c>
      <c r="C34" s="131" t="s">
        <v>720</v>
      </c>
      <c r="D34" s="131" t="s">
        <v>721</v>
      </c>
    </row>
    <row r="35" spans="1:4" x14ac:dyDescent="0.2">
      <c r="A35">
        <v>1100</v>
      </c>
      <c r="B35" s="71" t="s">
        <v>727</v>
      </c>
      <c r="C35" s="129">
        <f>ROUND('DOE25'!F60+'DOE25'!G60+'DOE25'!H60+'DOE25'!I60+'DOE25'!J60,0)</f>
        <v>48960527</v>
      </c>
      <c r="D35" s="132">
        <f t="shared" ref="D35:D40" si="1">ROUND((C35/$C$41)*100,1)</f>
        <v>60.4</v>
      </c>
    </row>
    <row r="36" spans="1:4" x14ac:dyDescent="0.2">
      <c r="B36" s="71" t="s">
        <v>739</v>
      </c>
      <c r="C36" s="129">
        <f>SUM('DOE25'!F112:J112)-SUM('DOE25'!G97:G110)+('DOE25'!F175+'DOE25'!F176+'DOE25'!I175+'DOE25'!I176)-C35</f>
        <v>6476763.4899999946</v>
      </c>
      <c r="D36" s="132">
        <f t="shared" si="1"/>
        <v>8</v>
      </c>
    </row>
    <row r="37" spans="1:4" x14ac:dyDescent="0.2">
      <c r="A37" s="133" t="s">
        <v>834</v>
      </c>
      <c r="B37" s="71" t="s">
        <v>728</v>
      </c>
      <c r="C37" s="129">
        <f>ROUND('DOE25'!F117+'DOE25'!F118,0)</f>
        <v>16895120</v>
      </c>
      <c r="D37" s="132">
        <f t="shared" si="1"/>
        <v>20.8</v>
      </c>
    </row>
    <row r="38" spans="1:4" x14ac:dyDescent="0.2">
      <c r="A38" s="133" t="s">
        <v>734</v>
      </c>
      <c r="B38" s="71" t="s">
        <v>729</v>
      </c>
      <c r="C38" s="129">
        <f>ROUND(SUM('DOE25'!F140:J140)-SUM('DOE25'!F117:F119),0)</f>
        <v>2579978</v>
      </c>
      <c r="D38" s="132">
        <f t="shared" si="1"/>
        <v>3.2</v>
      </c>
    </row>
    <row r="39" spans="1:4" x14ac:dyDescent="0.2">
      <c r="A39">
        <v>4000</v>
      </c>
      <c r="B39" s="71" t="s">
        <v>730</v>
      </c>
      <c r="C39" s="129">
        <f>ROUND('DOE25'!F170+'DOE25'!G170+'DOE25'!H170+'DOE25'!I170,0)</f>
        <v>6138904</v>
      </c>
      <c r="D39" s="132">
        <f t="shared" si="1"/>
        <v>7.6</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81051292.489999995</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Dover</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93</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13</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17</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131</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f>IFERROR(SMALL($I$4:$I$325,ROWS($I$4:I6)),"")</f>
        <v>321</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f>IF('School Level Expenditures'!$B$2='School Tables'!L16,'School Tables'!S16,"")</f>
        <v>13</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f>IF('School Level Expenditures'!$B$2='School Tables'!W20,'School Tables'!AD20,"")</f>
        <v>17</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f>IF('School Level Expenditures'!$B$2=A96,'School Tables'!H96,"")</f>
        <v>93</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f>IF('School Level Expenditures'!$B$2=A134,'School Tables'!H134,"")</f>
        <v>131</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f>IF('School Level Expenditures'!$B$2=A324,'School Tables'!H324,"")</f>
        <v>321</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2023-12-28T16:37:08Z</dcterms:modified>
</cp:coreProperties>
</file>