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B90245A0-07F6-4DA2-9756-C384E40CA952}"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8" i="14" l="1"/>
  <c r="D37" i="14" l="1"/>
  <c r="F57" i="1" l="1"/>
  <c r="C12" i="12" l="1"/>
  <c r="B11" i="12"/>
  <c r="F198" i="1"/>
  <c r="J499" i="1"/>
  <c r="F499" i="1"/>
  <c r="G499" i="1"/>
  <c r="H499" i="1"/>
  <c r="G97" i="1"/>
  <c r="E13" i="17"/>
  <c r="E9" i="17"/>
  <c r="H470" i="1"/>
  <c r="H155" i="1"/>
  <c r="H162" i="1"/>
  <c r="H98" i="1"/>
  <c r="E61" i="2" s="1"/>
  <c r="F110" i="1"/>
  <c r="F29" i="1"/>
  <c r="F23" i="1"/>
  <c r="F14" i="1"/>
  <c r="F13" i="1"/>
  <c r="F9" i="1"/>
  <c r="L266" i="1"/>
  <c r="C137" i="2"/>
  <c r="H137" i="2" s="1"/>
  <c r="L401" i="1"/>
  <c r="P2" i="14"/>
  <c r="O2" i="14"/>
  <c r="L206" i="1"/>
  <c r="L242" i="1"/>
  <c r="L204" i="1"/>
  <c r="L240" i="1"/>
  <c r="L283" i="1"/>
  <c r="L321" i="1"/>
  <c r="Q43" i="14"/>
  <c r="P43" i="14"/>
  <c r="O43" i="14"/>
  <c r="O3" i="14" s="1"/>
  <c r="N43" i="14"/>
  <c r="M43" i="14"/>
  <c r="L43" i="14"/>
  <c r="K43" i="14"/>
  <c r="Q33" i="14"/>
  <c r="P33" i="14"/>
  <c r="O33" i="14"/>
  <c r="N33" i="14"/>
  <c r="M33" i="14"/>
  <c r="L33" i="14"/>
  <c r="K33" i="14"/>
  <c r="Q21" i="14"/>
  <c r="P21" i="14"/>
  <c r="P3" i="14" s="1"/>
  <c r="O21" i="14"/>
  <c r="N21" i="14"/>
  <c r="M21" i="14"/>
  <c r="L21" i="14"/>
  <c r="L203" i="1"/>
  <c r="L239" i="1"/>
  <c r="K21" i="14"/>
  <c r="L245" i="1"/>
  <c r="G652" i="1"/>
  <c r="J599" i="1"/>
  <c r="H652" i="1" s="1"/>
  <c r="L359" i="1"/>
  <c r="L361" i="1"/>
  <c r="C2" i="1"/>
  <c r="B2" i="1"/>
  <c r="G42" i="13"/>
  <c r="L264" i="1"/>
  <c r="C135" i="2" s="1"/>
  <c r="L262" i="1"/>
  <c r="C132" i="2"/>
  <c r="L261" i="1"/>
  <c r="C131" i="2"/>
  <c r="L205" i="1"/>
  <c r="L241" i="1"/>
  <c r="L208" i="1"/>
  <c r="L244" i="1"/>
  <c r="L209" i="1"/>
  <c r="L200" i="1"/>
  <c r="L236" i="1"/>
  <c r="L201" i="1"/>
  <c r="L237" i="1"/>
  <c r="C93" i="2"/>
  <c r="F96" i="2"/>
  <c r="D96" i="2"/>
  <c r="F60" i="1"/>
  <c r="C56" i="2" s="1"/>
  <c r="F79" i="1"/>
  <c r="C57" i="2"/>
  <c r="C59" i="2"/>
  <c r="C61" i="2"/>
  <c r="C67" i="2"/>
  <c r="C69" i="2"/>
  <c r="C72" i="2"/>
  <c r="C76" i="2"/>
  <c r="E59" i="2"/>
  <c r="E88" i="2"/>
  <c r="G59" i="2"/>
  <c r="J60" i="1"/>
  <c r="G56" i="2"/>
  <c r="H67" i="2"/>
  <c r="C21" i="2"/>
  <c r="C22" i="2"/>
  <c r="C27" i="2"/>
  <c r="C29" i="2"/>
  <c r="C30" i="2"/>
  <c r="C34" i="2"/>
  <c r="C44" i="2"/>
  <c r="C49" i="2"/>
  <c r="C45" i="2"/>
  <c r="E21" i="2"/>
  <c r="E23" i="2"/>
  <c r="E42" i="2"/>
  <c r="E48" i="2"/>
  <c r="D21" i="2"/>
  <c r="D22" i="2"/>
  <c r="D23" i="2"/>
  <c r="D29" i="2"/>
  <c r="D48" i="2"/>
  <c r="F21" i="2"/>
  <c r="F48" i="2"/>
  <c r="I460" i="1"/>
  <c r="J48" i="1"/>
  <c r="G47" i="2"/>
  <c r="H49" i="2"/>
  <c r="H45" i="2"/>
  <c r="C9" i="2"/>
  <c r="C12" i="2"/>
  <c r="E12" i="2"/>
  <c r="F12" i="2"/>
  <c r="C13" i="2"/>
  <c r="E13" i="2"/>
  <c r="C17" i="2"/>
  <c r="C8" i="2"/>
  <c r="E8" i="2"/>
  <c r="I440" i="1"/>
  <c r="J9" i="1"/>
  <c r="G8" i="2"/>
  <c r="G655" i="1"/>
  <c r="E7" i="17"/>
  <c r="AG5" i="15"/>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c r="G653" i="1"/>
  <c r="E43" i="14"/>
  <c r="D43" i="14"/>
  <c r="E33" i="14"/>
  <c r="D33" i="14"/>
  <c r="E21" i="14"/>
  <c r="D21" i="14"/>
  <c r="G36" i="13"/>
  <c r="G29" i="13"/>
  <c r="B22" i="12"/>
  <c r="B5" i="14"/>
  <c r="C5" i="14" s="1"/>
  <c r="F88" i="2"/>
  <c r="D88" i="2"/>
  <c r="C88" i="2"/>
  <c r="H88" i="2" s="1"/>
  <c r="I163" i="1"/>
  <c r="H163" i="1"/>
  <c r="G163" i="1"/>
  <c r="F163" i="1"/>
  <c r="B31" i="16"/>
  <c r="B27" i="16"/>
  <c r="B5" i="16"/>
  <c r="F42" i="14"/>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24" i="14"/>
  <c r="B2" i="14"/>
  <c r="T16" i="15" s="1"/>
  <c r="A2" i="14"/>
  <c r="AE58" i="15"/>
  <c r="AE66" i="15"/>
  <c r="AE78" i="15"/>
  <c r="T8" i="15"/>
  <c r="T61" i="15"/>
  <c r="T50" i="15"/>
  <c r="T63" i="15"/>
  <c r="I6" i="15"/>
  <c r="I159" i="15"/>
  <c r="I171" i="15"/>
  <c r="I20" i="15"/>
  <c r="I28" i="15"/>
  <c r="I13" i="15"/>
  <c r="I29" i="15"/>
  <c r="I61" i="15"/>
  <c r="I264" i="15"/>
  <c r="I186" i="15"/>
  <c r="I118" i="15"/>
  <c r="I126" i="15"/>
  <c r="I150" i="15"/>
  <c r="I121" i="15"/>
  <c r="I137" i="15"/>
  <c r="I278" i="15"/>
  <c r="I282" i="15"/>
  <c r="F33" i="13"/>
  <c r="G51" i="1"/>
  <c r="F51" i="1"/>
  <c r="C37" i="10"/>
  <c r="F40" i="2"/>
  <c r="H40" i="2" s="1"/>
  <c r="D39" i="2"/>
  <c r="H39" i="2" s="1"/>
  <c r="G656" i="1"/>
  <c r="C48" i="2"/>
  <c r="F47" i="2"/>
  <c r="E47" i="2"/>
  <c r="D47" i="2"/>
  <c r="C47" i="2"/>
  <c r="F44" i="2"/>
  <c r="E44" i="2"/>
  <c r="D44" i="2"/>
  <c r="F43" i="2"/>
  <c r="E43" i="2"/>
  <c r="D43" i="2"/>
  <c r="C43" i="2"/>
  <c r="F42" i="2"/>
  <c r="D42" i="2"/>
  <c r="C42" i="2"/>
  <c r="F38" i="2"/>
  <c r="E38" i="2"/>
  <c r="D38" i="2"/>
  <c r="C38" i="2"/>
  <c r="F36" i="2"/>
  <c r="E36" i="2"/>
  <c r="D36" i="2"/>
  <c r="C36" i="2"/>
  <c r="I456" i="1"/>
  <c r="J45" i="1" s="1"/>
  <c r="G44" i="2" s="1"/>
  <c r="I459" i="1"/>
  <c r="J39" i="1"/>
  <c r="G38" i="2" s="1"/>
  <c r="C68" i="2"/>
  <c r="B2" i="13"/>
  <c r="G8" i="13"/>
  <c r="H8" i="13"/>
  <c r="L223" i="1"/>
  <c r="C120" i="2" s="1"/>
  <c r="D39" i="13"/>
  <c r="G13" i="13"/>
  <c r="H13" i="13"/>
  <c r="L207" i="1"/>
  <c r="L225" i="1"/>
  <c r="L243" i="1"/>
  <c r="G16" i="13"/>
  <c r="H16" i="13"/>
  <c r="L210" i="1"/>
  <c r="L228" i="1"/>
  <c r="L246" i="1"/>
  <c r="G5" i="13"/>
  <c r="H5" i="13"/>
  <c r="L198" i="1"/>
  <c r="L199" i="1"/>
  <c r="L216" i="1"/>
  <c r="L217" i="1"/>
  <c r="L218" i="1"/>
  <c r="C111" i="2" s="1"/>
  <c r="L219" i="1"/>
  <c r="L234" i="1"/>
  <c r="L235" i="1"/>
  <c r="C110" i="2" s="1"/>
  <c r="G6" i="13"/>
  <c r="H6" i="13"/>
  <c r="L221" i="1"/>
  <c r="C118" i="2" s="1"/>
  <c r="G7" i="13"/>
  <c r="H7" i="13"/>
  <c r="L222" i="1"/>
  <c r="D7" i="13" s="1"/>
  <c r="C7" i="13" s="1"/>
  <c r="G12" i="13"/>
  <c r="H12" i="13"/>
  <c r="L224" i="1"/>
  <c r="G14" i="13"/>
  <c r="H14" i="13"/>
  <c r="L226" i="1"/>
  <c r="G15" i="13"/>
  <c r="H15" i="13"/>
  <c r="L227" i="1"/>
  <c r="G17" i="13"/>
  <c r="H17" i="13"/>
  <c r="L252" i="1"/>
  <c r="G18" i="13"/>
  <c r="D18" i="13" s="1"/>
  <c r="C18" i="13" s="1"/>
  <c r="H18" i="13"/>
  <c r="L253" i="1"/>
  <c r="G19" i="13"/>
  <c r="H19" i="13"/>
  <c r="L254" i="1"/>
  <c r="H29" i="13"/>
  <c r="I368" i="1"/>
  <c r="L360" i="1"/>
  <c r="D127" i="2" s="1"/>
  <c r="J291" i="1"/>
  <c r="J310" i="1"/>
  <c r="J329" i="1"/>
  <c r="K291" i="1"/>
  <c r="K310" i="1"/>
  <c r="K339" i="1" s="1"/>
  <c r="K353" i="1" s="1"/>
  <c r="K329" i="1"/>
  <c r="L277" i="1"/>
  <c r="L278" i="1"/>
  <c r="L279" i="1"/>
  <c r="L280" i="1"/>
  <c r="L282" i="1"/>
  <c r="L284" i="1"/>
  <c r="L285" i="1"/>
  <c r="L286" i="1"/>
  <c r="L287" i="1"/>
  <c r="L288" i="1"/>
  <c r="L289" i="1"/>
  <c r="L296" i="1"/>
  <c r="L297" i="1"/>
  <c r="L298" i="1"/>
  <c r="C12" i="10" s="1"/>
  <c r="L299" i="1"/>
  <c r="L301" i="1"/>
  <c r="L302" i="1"/>
  <c r="E119" i="2" s="1"/>
  <c r="L303" i="1"/>
  <c r="L304" i="1"/>
  <c r="L305" i="1"/>
  <c r="L306" i="1"/>
  <c r="L307" i="1"/>
  <c r="G663" i="1" s="1"/>
  <c r="L308" i="1"/>
  <c r="L315" i="1"/>
  <c r="L316" i="1"/>
  <c r="L317" i="1"/>
  <c r="L318" i="1"/>
  <c r="L320" i="1"/>
  <c r="E118" i="2" s="1"/>
  <c r="L322" i="1"/>
  <c r="L323" i="1"/>
  <c r="L324" i="1"/>
  <c r="L325" i="1"/>
  <c r="L326" i="1"/>
  <c r="L327" i="1"/>
  <c r="L334" i="1"/>
  <c r="L335" i="1"/>
  <c r="L336" i="1"/>
  <c r="L342" i="1"/>
  <c r="C32" i="10"/>
  <c r="L343" i="1"/>
  <c r="L256" i="1"/>
  <c r="L337" i="1"/>
  <c r="E130" i="2"/>
  <c r="C11" i="13"/>
  <c r="C10" i="13"/>
  <c r="C9" i="13"/>
  <c r="L362" i="1"/>
  <c r="B4" i="12"/>
  <c r="B36" i="12"/>
  <c r="C36" i="12"/>
  <c r="B40" i="12"/>
  <c r="C40" i="12"/>
  <c r="A40" i="12"/>
  <c r="B27" i="12"/>
  <c r="C27" i="12"/>
  <c r="B31" i="12"/>
  <c r="C31" i="12"/>
  <c r="B9" i="12"/>
  <c r="B13" i="12"/>
  <c r="C9" i="12"/>
  <c r="C13" i="12"/>
  <c r="B18" i="12"/>
  <c r="C18" i="12"/>
  <c r="C22" i="12"/>
  <c r="B1" i="12"/>
  <c r="L388" i="1"/>
  <c r="L389" i="1"/>
  <c r="L390" i="1"/>
  <c r="L391" i="1"/>
  <c r="L394" i="1" s="1"/>
  <c r="L392" i="1"/>
  <c r="L393" i="1"/>
  <c r="L396" i="1"/>
  <c r="L397" i="1"/>
  <c r="L398" i="1"/>
  <c r="L399" i="1"/>
  <c r="L400" i="1"/>
  <c r="L404" i="1"/>
  <c r="L408" i="1" s="1"/>
  <c r="C140" i="2" s="1"/>
  <c r="H140" i="2" s="1"/>
  <c r="L405" i="1"/>
  <c r="L406" i="1"/>
  <c r="L407" i="1"/>
  <c r="L267" i="1"/>
  <c r="G61" i="2"/>
  <c r="G62" i="2" s="1"/>
  <c r="F2" i="11"/>
  <c r="L614" i="1"/>
  <c r="L615" i="1" s="1"/>
  <c r="H664" i="1"/>
  <c r="I664" i="1" s="1"/>
  <c r="L613" i="1"/>
  <c r="G664" i="1"/>
  <c r="L612" i="1"/>
  <c r="F664" i="1"/>
  <c r="C40" i="10"/>
  <c r="G60" i="1"/>
  <c r="D56" i="2"/>
  <c r="H60" i="1"/>
  <c r="I60" i="1"/>
  <c r="F56" i="2" s="1"/>
  <c r="F94" i="1"/>
  <c r="F111" i="1"/>
  <c r="H79" i="1"/>
  <c r="H94" i="1"/>
  <c r="I111" i="1"/>
  <c r="J111" i="1"/>
  <c r="J112" i="1"/>
  <c r="F121" i="1"/>
  <c r="F136" i="1"/>
  <c r="G121" i="1"/>
  <c r="G136" i="1"/>
  <c r="H121" i="1"/>
  <c r="H136" i="1"/>
  <c r="H140" i="1" s="1"/>
  <c r="I121" i="1"/>
  <c r="I136" i="1"/>
  <c r="J121" i="1"/>
  <c r="J140" i="1" s="1"/>
  <c r="J136" i="1"/>
  <c r="F147" i="1"/>
  <c r="F170" i="1"/>
  <c r="G147" i="1"/>
  <c r="D85" i="2"/>
  <c r="H147" i="1"/>
  <c r="H170" i="1"/>
  <c r="I147" i="1"/>
  <c r="L251" i="1"/>
  <c r="C113" i="2"/>
  <c r="H113" i="2" s="1"/>
  <c r="L333" i="1"/>
  <c r="E113" i="2"/>
  <c r="L255" i="1"/>
  <c r="L269" i="1"/>
  <c r="L270" i="1"/>
  <c r="C143" i="2" s="1"/>
  <c r="H143" i="2" s="1"/>
  <c r="L350" i="1"/>
  <c r="E142" i="2"/>
  <c r="L351" i="1"/>
  <c r="E143" i="2"/>
  <c r="I666" i="1"/>
  <c r="I671" i="1"/>
  <c r="C42" i="10"/>
  <c r="L375" i="1"/>
  <c r="L376" i="1"/>
  <c r="L377" i="1"/>
  <c r="L378" i="1"/>
  <c r="L379" i="1"/>
  <c r="L380" i="1"/>
  <c r="L381" i="1"/>
  <c r="B2" i="10"/>
  <c r="L345" i="1"/>
  <c r="E134" i="2"/>
  <c r="L346" i="1"/>
  <c r="E135" i="2"/>
  <c r="H135" i="2" s="1"/>
  <c r="L347" i="1"/>
  <c r="E137" i="2"/>
  <c r="L348" i="1"/>
  <c r="K352" i="1"/>
  <c r="L522" i="1"/>
  <c r="F550" i="1"/>
  <c r="L523" i="1"/>
  <c r="F551" i="1"/>
  <c r="L524" i="1"/>
  <c r="F552" i="1"/>
  <c r="L527" i="1"/>
  <c r="G550" i="1" s="1"/>
  <c r="L528" i="1"/>
  <c r="G551" i="1"/>
  <c r="L529" i="1"/>
  <c r="G552" i="1"/>
  <c r="L532" i="1"/>
  <c r="H550" i="1" s="1"/>
  <c r="H553" i="1" s="1"/>
  <c r="L533" i="1"/>
  <c r="H551" i="1" s="1"/>
  <c r="L534" i="1"/>
  <c r="H552" i="1"/>
  <c r="L537" i="1"/>
  <c r="I550" i="1"/>
  <c r="L538" i="1"/>
  <c r="I551" i="1" s="1"/>
  <c r="L539" i="1"/>
  <c r="I552" i="1" s="1"/>
  <c r="L542" i="1"/>
  <c r="J550" i="1"/>
  <c r="L543" i="1"/>
  <c r="J551" i="1"/>
  <c r="L544" i="1"/>
  <c r="J552" i="1" s="1"/>
  <c r="J553" i="1" s="1"/>
  <c r="E132" i="2"/>
  <c r="H132" i="2" s="1"/>
  <c r="K271" i="1"/>
  <c r="J271" i="1"/>
  <c r="I271" i="1"/>
  <c r="H271" i="1"/>
  <c r="G271" i="1"/>
  <c r="F271" i="1"/>
  <c r="A1" i="2"/>
  <c r="A2" i="2"/>
  <c r="D8" i="2"/>
  <c r="F8" i="2"/>
  <c r="D9" i="2"/>
  <c r="D18" i="2" s="1"/>
  <c r="E9" i="2"/>
  <c r="F9" i="2"/>
  <c r="I441" i="1"/>
  <c r="J10" i="1" s="1"/>
  <c r="C10" i="2"/>
  <c r="H10" i="2" s="1"/>
  <c r="C11" i="2"/>
  <c r="D11" i="2"/>
  <c r="E11" i="2"/>
  <c r="F11" i="2"/>
  <c r="I442" i="1"/>
  <c r="J12" i="1" s="1"/>
  <c r="G11" i="2" s="1"/>
  <c r="D12" i="2"/>
  <c r="I443" i="1"/>
  <c r="J13" i="1"/>
  <c r="G12" i="2" s="1"/>
  <c r="D13" i="2"/>
  <c r="F13" i="2"/>
  <c r="I444" i="1"/>
  <c r="J14" i="1" s="1"/>
  <c r="G13" i="2" s="1"/>
  <c r="F14" i="2"/>
  <c r="H14" i="2" s="1"/>
  <c r="C15" i="2"/>
  <c r="D15" i="2"/>
  <c r="E15" i="2"/>
  <c r="F15" i="2"/>
  <c r="C16" i="2"/>
  <c r="D16" i="2"/>
  <c r="E16" i="2"/>
  <c r="F16" i="2"/>
  <c r="I445" i="1"/>
  <c r="J17" i="1" s="1"/>
  <c r="D17" i="2"/>
  <c r="E17" i="2"/>
  <c r="F17" i="2"/>
  <c r="I446" i="1"/>
  <c r="J18" i="1" s="1"/>
  <c r="G17" i="2" s="1"/>
  <c r="I449" i="1"/>
  <c r="J22" i="1" s="1"/>
  <c r="E22" i="2"/>
  <c r="F22" i="2"/>
  <c r="F31" i="2" s="1"/>
  <c r="I450" i="1"/>
  <c r="J23" i="1" s="1"/>
  <c r="G22" i="2" s="1"/>
  <c r="C23" i="2"/>
  <c r="F23" i="2"/>
  <c r="I451" i="1"/>
  <c r="J24" i="1"/>
  <c r="G23" i="2"/>
  <c r="C24" i="2"/>
  <c r="H24" i="2" s="1"/>
  <c r="D24" i="2"/>
  <c r="E24" i="2"/>
  <c r="F24" i="2"/>
  <c r="C25" i="2"/>
  <c r="H25" i="2" s="1"/>
  <c r="F25" i="2"/>
  <c r="C26" i="2"/>
  <c r="F26" i="2"/>
  <c r="D27" i="2"/>
  <c r="H27" i="2" s="1"/>
  <c r="E27" i="2"/>
  <c r="F27" i="2"/>
  <c r="D28" i="2"/>
  <c r="E28" i="2"/>
  <c r="F28" i="2"/>
  <c r="E29" i="2"/>
  <c r="F29" i="2"/>
  <c r="D30" i="2"/>
  <c r="H30" i="2" s="1"/>
  <c r="E30" i="2"/>
  <c r="F30" i="2"/>
  <c r="I452" i="1"/>
  <c r="J31" i="1"/>
  <c r="G30" i="2" s="1"/>
  <c r="D34" i="2"/>
  <c r="E34" i="2"/>
  <c r="E50" i="2" s="1"/>
  <c r="F34" i="2"/>
  <c r="F50" i="2" s="1"/>
  <c r="C35" i="2"/>
  <c r="D35" i="2"/>
  <c r="E35" i="2"/>
  <c r="F35" i="2"/>
  <c r="I455" i="1"/>
  <c r="J49" i="1"/>
  <c r="G48" i="2"/>
  <c r="I457" i="1"/>
  <c r="I461" i="1" s="1"/>
  <c r="J43" i="1"/>
  <c r="G42" i="2" s="1"/>
  <c r="I458" i="1"/>
  <c r="J37" i="1" s="1"/>
  <c r="C58" i="2"/>
  <c r="E58" i="2"/>
  <c r="D59" i="2"/>
  <c r="F59" i="2"/>
  <c r="F62" i="2" s="1"/>
  <c r="D61" i="2"/>
  <c r="F61" i="2"/>
  <c r="C66" i="2"/>
  <c r="D69" i="2"/>
  <c r="D70" i="2"/>
  <c r="E69" i="2"/>
  <c r="E70" i="2"/>
  <c r="F69" i="2"/>
  <c r="F70" i="2" s="1"/>
  <c r="G69" i="2"/>
  <c r="G70" i="2"/>
  <c r="F72" i="2"/>
  <c r="C73" i="2"/>
  <c r="F73" i="2"/>
  <c r="C74" i="2"/>
  <c r="H74" i="2" s="1"/>
  <c r="C75" i="2"/>
  <c r="H75" i="2" s="1"/>
  <c r="E76" i="2"/>
  <c r="F76" i="2"/>
  <c r="C77" i="2"/>
  <c r="D77" i="2"/>
  <c r="D78" i="2"/>
  <c r="E77" i="2"/>
  <c r="E78" i="2" s="1"/>
  <c r="F77" i="2"/>
  <c r="G77" i="2"/>
  <c r="G78" i="2" s="1"/>
  <c r="C79" i="2"/>
  <c r="D79" i="2"/>
  <c r="E79" i="2"/>
  <c r="C80" i="2"/>
  <c r="E80" i="2"/>
  <c r="C85" i="2"/>
  <c r="F85" i="2"/>
  <c r="F91" i="2" s="1"/>
  <c r="C87" i="2"/>
  <c r="H87" i="2" s="1"/>
  <c r="E87" i="2"/>
  <c r="F87" i="2"/>
  <c r="C89" i="2"/>
  <c r="D89" i="2"/>
  <c r="E89" i="2"/>
  <c r="F89" i="2"/>
  <c r="C90" i="2"/>
  <c r="H90" i="2" s="1"/>
  <c r="F93" i="2"/>
  <c r="C94" i="2"/>
  <c r="F94" i="2"/>
  <c r="E96" i="2"/>
  <c r="G96" i="2"/>
  <c r="C97" i="2"/>
  <c r="D97" i="2"/>
  <c r="E97" i="2"/>
  <c r="F97" i="2"/>
  <c r="G97" i="2"/>
  <c r="C98" i="2"/>
  <c r="D98" i="2"/>
  <c r="E98" i="2"/>
  <c r="G98" i="2"/>
  <c r="G103" i="2" s="1"/>
  <c r="C99" i="2"/>
  <c r="D99" i="2"/>
  <c r="E99" i="2"/>
  <c r="F99" i="2"/>
  <c r="C100" i="2"/>
  <c r="D100" i="2"/>
  <c r="E100" i="2"/>
  <c r="F100" i="2"/>
  <c r="C101" i="2"/>
  <c r="D101" i="2"/>
  <c r="E101" i="2"/>
  <c r="F101" i="2"/>
  <c r="C102" i="2"/>
  <c r="D102" i="2"/>
  <c r="E102" i="2"/>
  <c r="F102" i="2"/>
  <c r="E111" i="2"/>
  <c r="E112" i="2"/>
  <c r="D115" i="2"/>
  <c r="F115" i="2"/>
  <c r="G115" i="2"/>
  <c r="E124" i="2"/>
  <c r="C125" i="2"/>
  <c r="H125" i="2" s="1"/>
  <c r="E125" i="2"/>
  <c r="F128" i="2"/>
  <c r="G128" i="2"/>
  <c r="C130" i="2"/>
  <c r="D134" i="2"/>
  <c r="D144" i="2"/>
  <c r="F134" i="2"/>
  <c r="K420" i="1"/>
  <c r="K435" i="1" s="1"/>
  <c r="K428" i="1"/>
  <c r="K434" i="1"/>
  <c r="L265" i="1"/>
  <c r="C136" i="2"/>
  <c r="H136"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G156" i="2" s="1"/>
  <c r="D156" i="2"/>
  <c r="E156" i="2"/>
  <c r="F156" i="2"/>
  <c r="B157" i="2"/>
  <c r="C157" i="2"/>
  <c r="D157" i="2"/>
  <c r="E157" i="2"/>
  <c r="F157" i="2"/>
  <c r="G157" i="2" s="1"/>
  <c r="B158" i="2"/>
  <c r="G158" i="2" s="1"/>
  <c r="C158" i="2"/>
  <c r="D158" i="2"/>
  <c r="E158" i="2"/>
  <c r="F158" i="2"/>
  <c r="B159" i="2"/>
  <c r="C159" i="2"/>
  <c r="D159" i="2"/>
  <c r="G159" i="2" s="1"/>
  <c r="E159" i="2"/>
  <c r="F159" i="2"/>
  <c r="B160" i="2"/>
  <c r="C160" i="2"/>
  <c r="D160" i="2"/>
  <c r="E160" i="2"/>
  <c r="F160" i="2"/>
  <c r="F501" i="1"/>
  <c r="K501" i="1" s="1"/>
  <c r="G501" i="1"/>
  <c r="C161" i="2" s="1"/>
  <c r="H501" i="1"/>
  <c r="D161" i="2"/>
  <c r="I501" i="1"/>
  <c r="E161" i="2"/>
  <c r="J501" i="1"/>
  <c r="F161" i="2"/>
  <c r="B162" i="2"/>
  <c r="C162" i="2"/>
  <c r="D162" i="2"/>
  <c r="E162" i="2"/>
  <c r="F162" i="2"/>
  <c r="B163" i="2"/>
  <c r="C163" i="2"/>
  <c r="D163" i="2"/>
  <c r="E163" i="2"/>
  <c r="F163" i="2"/>
  <c r="F504" i="1"/>
  <c r="B164" i="2"/>
  <c r="G504" i="1"/>
  <c r="C164" i="2" s="1"/>
  <c r="H504" i="1"/>
  <c r="D164" i="2"/>
  <c r="I504" i="1"/>
  <c r="E164" i="2" s="1"/>
  <c r="J504" i="1"/>
  <c r="F164" i="2"/>
  <c r="F19" i="1"/>
  <c r="G618" i="1"/>
  <c r="G19" i="1"/>
  <c r="G619" i="1" s="1"/>
  <c r="H19" i="1"/>
  <c r="G620" i="1"/>
  <c r="I19" i="1"/>
  <c r="G621" i="1" s="1"/>
  <c r="J621" i="1" s="1"/>
  <c r="G32" i="1"/>
  <c r="G52" i="1" s="1"/>
  <c r="H619" i="1" s="1"/>
  <c r="J619" i="1" s="1"/>
  <c r="H32" i="1"/>
  <c r="I32" i="1"/>
  <c r="H51" i="1"/>
  <c r="I51" i="1"/>
  <c r="F178" i="1"/>
  <c r="I178" i="1"/>
  <c r="I193" i="1" s="1"/>
  <c r="F184" i="1"/>
  <c r="G184" i="1"/>
  <c r="H184" i="1"/>
  <c r="I184" i="1"/>
  <c r="J184" i="1"/>
  <c r="J193" i="1" s="1"/>
  <c r="F189" i="1"/>
  <c r="G189" i="1"/>
  <c r="H189" i="1"/>
  <c r="H193" i="1" s="1"/>
  <c r="I189" i="1"/>
  <c r="F212" i="1"/>
  <c r="G212" i="1"/>
  <c r="H212" i="1"/>
  <c r="I212" i="1"/>
  <c r="J212" i="1"/>
  <c r="K212" i="1"/>
  <c r="K258" i="1" s="1"/>
  <c r="K272" i="1" s="1"/>
  <c r="F230" i="1"/>
  <c r="G230" i="1"/>
  <c r="H230" i="1"/>
  <c r="I230" i="1"/>
  <c r="J230" i="1"/>
  <c r="K230" i="1"/>
  <c r="F248" i="1"/>
  <c r="G248" i="1"/>
  <c r="H248" i="1"/>
  <c r="I248" i="1"/>
  <c r="J248" i="1"/>
  <c r="K248" i="1"/>
  <c r="F257" i="1"/>
  <c r="G257" i="1"/>
  <c r="H257" i="1"/>
  <c r="I257" i="1"/>
  <c r="L257" i="1" s="1"/>
  <c r="J257" i="1"/>
  <c r="J258" i="1" s="1"/>
  <c r="J272" i="1" s="1"/>
  <c r="K257" i="1"/>
  <c r="F291" i="1"/>
  <c r="G291" i="1"/>
  <c r="H291" i="1"/>
  <c r="I291" i="1"/>
  <c r="F310" i="1"/>
  <c r="G310" i="1"/>
  <c r="H310" i="1"/>
  <c r="I310" i="1"/>
  <c r="F329" i="1"/>
  <c r="G329" i="1"/>
  <c r="H329" i="1"/>
  <c r="I329" i="1"/>
  <c r="F338" i="1"/>
  <c r="G338" i="1"/>
  <c r="L338" i="1" s="1"/>
  <c r="H338" i="1"/>
  <c r="I338" i="1"/>
  <c r="J338" i="1"/>
  <c r="K338" i="1"/>
  <c r="F363" i="1"/>
  <c r="G363" i="1"/>
  <c r="H363" i="1"/>
  <c r="I363" i="1"/>
  <c r="G635" i="1" s="1"/>
  <c r="J635" i="1" s="1"/>
  <c r="J363" i="1"/>
  <c r="K363" i="1"/>
  <c r="I369" i="1"/>
  <c r="F370" i="1"/>
  <c r="G370" i="1"/>
  <c r="H370" i="1"/>
  <c r="L382" i="1"/>
  <c r="F383" i="1"/>
  <c r="G383" i="1"/>
  <c r="H383" i="1"/>
  <c r="I383" i="1"/>
  <c r="J383" i="1"/>
  <c r="K383" i="1"/>
  <c r="F394" i="1"/>
  <c r="G394" i="1"/>
  <c r="G409" i="1" s="1"/>
  <c r="H646" i="1" s="1"/>
  <c r="J646" i="1" s="1"/>
  <c r="H394" i="1"/>
  <c r="I394" i="1"/>
  <c r="I409" i="1" s="1"/>
  <c r="F402" i="1"/>
  <c r="G402" i="1"/>
  <c r="H402" i="1"/>
  <c r="I402" i="1"/>
  <c r="F408" i="1"/>
  <c r="G408" i="1"/>
  <c r="H408" i="1"/>
  <c r="I408" i="1"/>
  <c r="L414" i="1"/>
  <c r="L420" i="1" s="1"/>
  <c r="L435" i="1" s="1"/>
  <c r="G639" i="1" s="1"/>
  <c r="J639" i="1" s="1"/>
  <c r="L415" i="1"/>
  <c r="L416" i="1"/>
  <c r="L417" i="1"/>
  <c r="L418" i="1"/>
  <c r="L419" i="1"/>
  <c r="F420" i="1"/>
  <c r="G420" i="1"/>
  <c r="H420" i="1"/>
  <c r="I420" i="1"/>
  <c r="I435" i="1" s="1"/>
  <c r="J420" i="1"/>
  <c r="J435" i="1" s="1"/>
  <c r="L422" i="1"/>
  <c r="L423" i="1"/>
  <c r="L424" i="1"/>
  <c r="L425" i="1"/>
  <c r="L426" i="1"/>
  <c r="L427" i="1"/>
  <c r="F428" i="1"/>
  <c r="G428" i="1"/>
  <c r="G435" i="1" s="1"/>
  <c r="H428" i="1"/>
  <c r="I428" i="1"/>
  <c r="J428" i="1"/>
  <c r="L430" i="1"/>
  <c r="L431" i="1"/>
  <c r="L432" i="1"/>
  <c r="L433" i="1"/>
  <c r="F434" i="1"/>
  <c r="G434" i="1"/>
  <c r="H434" i="1"/>
  <c r="I434" i="1"/>
  <c r="J434" i="1"/>
  <c r="F447" i="1"/>
  <c r="G640" i="1"/>
  <c r="J640" i="1" s="1"/>
  <c r="G447" i="1"/>
  <c r="G641" i="1" s="1"/>
  <c r="J641" i="1" s="1"/>
  <c r="H447" i="1"/>
  <c r="G642" i="1" s="1"/>
  <c r="F453" i="1"/>
  <c r="G453" i="1"/>
  <c r="H453" i="1"/>
  <c r="F461" i="1"/>
  <c r="G461" i="1"/>
  <c r="G462" i="1" s="1"/>
  <c r="H641" i="1" s="1"/>
  <c r="H461" i="1"/>
  <c r="H462" i="1" s="1"/>
  <c r="F471" i="1"/>
  <c r="F477" i="1" s="1"/>
  <c r="H623" i="1" s="1"/>
  <c r="G471" i="1"/>
  <c r="G477" i="1" s="1"/>
  <c r="G475" i="1"/>
  <c r="H471" i="1"/>
  <c r="I471" i="1"/>
  <c r="J471" i="1"/>
  <c r="J477" i="1" s="1"/>
  <c r="H627" i="1" s="1"/>
  <c r="F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G546" i="1" s="1"/>
  <c r="H530" i="1"/>
  <c r="I530" i="1"/>
  <c r="J530" i="1"/>
  <c r="K530" i="1"/>
  <c r="F535" i="1"/>
  <c r="G535" i="1"/>
  <c r="H535" i="1"/>
  <c r="I535" i="1"/>
  <c r="J535" i="1"/>
  <c r="K535" i="1"/>
  <c r="F540" i="1"/>
  <c r="G540" i="1"/>
  <c r="H540" i="1"/>
  <c r="I540" i="1"/>
  <c r="J540" i="1"/>
  <c r="J546" i="1" s="1"/>
  <c r="K540" i="1"/>
  <c r="K546" i="1" s="1"/>
  <c r="F545" i="1"/>
  <c r="G545" i="1"/>
  <c r="H545" i="1"/>
  <c r="I545" i="1"/>
  <c r="J545" i="1"/>
  <c r="K545" i="1"/>
  <c r="L558" i="1"/>
  <c r="L561" i="1" s="1"/>
  <c r="L572" i="1" s="1"/>
  <c r="L559" i="1"/>
  <c r="L560" i="1"/>
  <c r="F561" i="1"/>
  <c r="G561" i="1"/>
  <c r="H561" i="1"/>
  <c r="I561" i="1"/>
  <c r="J561" i="1"/>
  <c r="K561" i="1"/>
  <c r="K572" i="1" s="1"/>
  <c r="L563" i="1"/>
  <c r="L566" i="1" s="1"/>
  <c r="L564" i="1"/>
  <c r="L565" i="1"/>
  <c r="F566" i="1"/>
  <c r="G566" i="1"/>
  <c r="H566" i="1"/>
  <c r="I566" i="1"/>
  <c r="J566" i="1"/>
  <c r="J572" i="1" s="1"/>
  <c r="K566" i="1"/>
  <c r="L568" i="1"/>
  <c r="L569" i="1"/>
  <c r="L570" i="1"/>
  <c r="F571" i="1"/>
  <c r="G571" i="1"/>
  <c r="H571" i="1"/>
  <c r="I571" i="1"/>
  <c r="I572" i="1" s="1"/>
  <c r="J571" i="1"/>
  <c r="K571" i="1"/>
  <c r="I576" i="1"/>
  <c r="I577" i="1"/>
  <c r="I578" i="1"/>
  <c r="I579" i="1"/>
  <c r="I580" i="1"/>
  <c r="I581" i="1"/>
  <c r="I582" i="1"/>
  <c r="I583" i="1"/>
  <c r="I584" i="1"/>
  <c r="I585" i="1"/>
  <c r="I586" i="1"/>
  <c r="I587" i="1"/>
  <c r="I588" i="1"/>
  <c r="K592" i="1"/>
  <c r="K599" i="1" s="1"/>
  <c r="G648" i="1" s="1"/>
  <c r="J648" i="1" s="1"/>
  <c r="K593" i="1"/>
  <c r="K594" i="1"/>
  <c r="K595" i="1"/>
  <c r="K596" i="1"/>
  <c r="K597" i="1"/>
  <c r="K598" i="1"/>
  <c r="H599" i="1"/>
  <c r="H650" i="1"/>
  <c r="I599" i="1"/>
  <c r="H651" i="1" s="1"/>
  <c r="K603" i="1"/>
  <c r="K604" i="1"/>
  <c r="K605" i="1"/>
  <c r="H606" i="1"/>
  <c r="I606" i="1"/>
  <c r="J606" i="1"/>
  <c r="F615" i="1"/>
  <c r="G615" i="1"/>
  <c r="H615" i="1"/>
  <c r="I615" i="1"/>
  <c r="J615" i="1"/>
  <c r="K615" i="1"/>
  <c r="G623" i="1"/>
  <c r="J623" i="1" s="1"/>
  <c r="G624" i="1"/>
  <c r="G625" i="1"/>
  <c r="H628" i="1"/>
  <c r="H629" i="1"/>
  <c r="H630" i="1"/>
  <c r="H631" i="1"/>
  <c r="H632" i="1"/>
  <c r="H633" i="1"/>
  <c r="H634" i="1"/>
  <c r="H636" i="1"/>
  <c r="H637" i="1"/>
  <c r="H638" i="1"/>
  <c r="H639" i="1"/>
  <c r="G644" i="1"/>
  <c r="G645" i="1"/>
  <c r="J645" i="1" s="1"/>
  <c r="G646" i="1"/>
  <c r="G651" i="1"/>
  <c r="H653" i="1"/>
  <c r="G654" i="1"/>
  <c r="H654" i="1"/>
  <c r="H655" i="1"/>
  <c r="H656" i="1"/>
  <c r="I170" i="1"/>
  <c r="C39" i="10" s="1"/>
  <c r="H409" i="1"/>
  <c r="H645" i="1"/>
  <c r="J656" i="1"/>
  <c r="E131" i="2"/>
  <c r="H663" i="1"/>
  <c r="F258" i="1"/>
  <c r="F272" i="1"/>
  <c r="I370" i="1"/>
  <c r="H635" i="1"/>
  <c r="C11" i="10"/>
  <c r="A31" i="12"/>
  <c r="E85" i="2"/>
  <c r="H642" i="1"/>
  <c r="J642" i="1"/>
  <c r="F339" i="1"/>
  <c r="F353" i="1" s="1"/>
  <c r="E103" i="2"/>
  <c r="F462" i="1"/>
  <c r="H640" i="1"/>
  <c r="K606" i="1"/>
  <c r="G649" i="1"/>
  <c r="J649" i="1" s="1"/>
  <c r="H258" i="1"/>
  <c r="H272" i="1" s="1"/>
  <c r="I52" i="1"/>
  <c r="H621" i="1"/>
  <c r="F572" i="1"/>
  <c r="D91" i="2"/>
  <c r="D81" i="2"/>
  <c r="F112" i="1"/>
  <c r="L363" i="1"/>
  <c r="B17" i="16"/>
  <c r="B19" i="16"/>
  <c r="B28" i="16"/>
  <c r="L329" i="1"/>
  <c r="E122" i="2"/>
  <c r="L571" i="1"/>
  <c r="H572" i="1"/>
  <c r="H52" i="1"/>
  <c r="H620" i="1"/>
  <c r="J620" i="1"/>
  <c r="L212" i="1"/>
  <c r="H648" i="1"/>
  <c r="G626" i="1"/>
  <c r="L530" i="1"/>
  <c r="G81" i="2"/>
  <c r="E57" i="2"/>
  <c r="C26" i="10"/>
  <c r="I477" i="1"/>
  <c r="H626" i="1" s="1"/>
  <c r="J626" i="1" s="1"/>
  <c r="L434" i="1"/>
  <c r="L428" i="1"/>
  <c r="F193" i="1"/>
  <c r="L352" i="1"/>
  <c r="G170" i="1"/>
  <c r="B12" i="16"/>
  <c r="I25" i="13"/>
  <c r="L535" i="1"/>
  <c r="I453" i="1"/>
  <c r="I447" i="1"/>
  <c r="G643" i="1" s="1"/>
  <c r="E109" i="2"/>
  <c r="F663" i="1"/>
  <c r="I663" i="1"/>
  <c r="C25" i="10"/>
  <c r="C21" i="10"/>
  <c r="D14" i="13"/>
  <c r="C14" i="13"/>
  <c r="G22" i="13"/>
  <c r="C22" i="13" s="1"/>
  <c r="L540" i="1"/>
  <c r="C142" i="2"/>
  <c r="H142" i="2" s="1"/>
  <c r="C15" i="10"/>
  <c r="D12" i="13"/>
  <c r="C12" i="13" s="1"/>
  <c r="E8" i="13"/>
  <c r="G650" i="1"/>
  <c r="L545" i="1"/>
  <c r="L525" i="1"/>
  <c r="L546" i="1" s="1"/>
  <c r="J339" i="1"/>
  <c r="J353" i="1" s="1"/>
  <c r="D17" i="13"/>
  <c r="C17" i="13"/>
  <c r="E16" i="13"/>
  <c r="C16" i="13" s="1"/>
  <c r="C23" i="10"/>
  <c r="G162" i="2"/>
  <c r="G160" i="2"/>
  <c r="H31" i="13"/>
  <c r="H33" i="13"/>
  <c r="I339" i="1"/>
  <c r="I353" i="1" s="1"/>
  <c r="J655" i="1"/>
  <c r="J654" i="1"/>
  <c r="G134" i="2"/>
  <c r="G144" i="2"/>
  <c r="G145" i="2"/>
  <c r="G31" i="13"/>
  <c r="G140" i="1"/>
  <c r="B11" i="16"/>
  <c r="F140" i="1"/>
  <c r="G16" i="2"/>
  <c r="H435" i="1"/>
  <c r="I140" i="1"/>
  <c r="A22" i="12"/>
  <c r="J653" i="1"/>
  <c r="G572" i="1"/>
  <c r="H649" i="1"/>
  <c r="G636" i="1"/>
  <c r="J636" i="1"/>
  <c r="C25" i="13"/>
  <c r="I33" i="13"/>
  <c r="C38" i="10"/>
  <c r="C5" i="10"/>
  <c r="C138" i="2" l="1"/>
  <c r="H138" i="2" s="1"/>
  <c r="L409" i="1"/>
  <c r="F661" i="1"/>
  <c r="J651" i="1"/>
  <c r="D60" i="2"/>
  <c r="H60" i="2" s="1"/>
  <c r="B9" i="16"/>
  <c r="G111" i="1"/>
  <c r="G112" i="1" s="1"/>
  <c r="C27" i="10"/>
  <c r="J650" i="1"/>
  <c r="E51" i="2"/>
  <c r="J32" i="1"/>
  <c r="K550" i="1"/>
  <c r="F553" i="1"/>
  <c r="E144" i="2"/>
  <c r="L383" i="1"/>
  <c r="G637" i="1" s="1"/>
  <c r="J637" i="1" s="1"/>
  <c r="C29" i="10"/>
  <c r="F130" i="2"/>
  <c r="F144" i="2" s="1"/>
  <c r="F145" i="2" s="1"/>
  <c r="J194" i="1"/>
  <c r="E121" i="2"/>
  <c r="C18" i="10"/>
  <c r="C114" i="2"/>
  <c r="D19" i="13"/>
  <c r="C19" i="13" s="1"/>
  <c r="C24" i="10"/>
  <c r="E13" i="13"/>
  <c r="C13" i="13" s="1"/>
  <c r="C122" i="2"/>
  <c r="H122" i="2" s="1"/>
  <c r="C19" i="10"/>
  <c r="C8" i="13"/>
  <c r="F435" i="1"/>
  <c r="G164" i="2"/>
  <c r="I553" i="1"/>
  <c r="K551" i="1"/>
  <c r="F63" i="2"/>
  <c r="C17" i="10"/>
  <c r="E120" i="2"/>
  <c r="H120" i="2" s="1"/>
  <c r="C10" i="10"/>
  <c r="C109" i="2"/>
  <c r="L248" i="1"/>
  <c r="G33" i="13"/>
  <c r="D5" i="13"/>
  <c r="G339" i="1"/>
  <c r="G353" i="1" s="1"/>
  <c r="C50" i="2"/>
  <c r="H35" i="2"/>
  <c r="C28" i="2"/>
  <c r="H28" i="2" s="1"/>
  <c r="F32" i="1"/>
  <c r="F52" i="1" s="1"/>
  <c r="H618" i="1" s="1"/>
  <c r="J618" i="1" s="1"/>
  <c r="H624" i="1"/>
  <c r="B33" i="16"/>
  <c r="K504" i="1"/>
  <c r="E56" i="2"/>
  <c r="E63" i="2" s="1"/>
  <c r="E104" i="2" s="1"/>
  <c r="C35" i="10"/>
  <c r="C20" i="10"/>
  <c r="E123" i="2"/>
  <c r="C13" i="10"/>
  <c r="L230" i="1"/>
  <c r="I462" i="1"/>
  <c r="H643" i="1" s="1"/>
  <c r="J643" i="1" s="1"/>
  <c r="I546" i="1"/>
  <c r="F409" i="1"/>
  <c r="H644" i="1" s="1"/>
  <c r="J644" i="1" s="1"/>
  <c r="G193" i="1"/>
  <c r="B13" i="16" s="1"/>
  <c r="G9" i="2"/>
  <c r="J19" i="1"/>
  <c r="G622" i="1" s="1"/>
  <c r="G553" i="1"/>
  <c r="I112" i="1"/>
  <c r="I194" i="1" s="1"/>
  <c r="G631" i="1" s="1"/>
  <c r="J631" i="1" s="1"/>
  <c r="D63" i="2"/>
  <c r="D104" i="2" s="1"/>
  <c r="A13" i="12"/>
  <c r="E114" i="2"/>
  <c r="J624" i="1"/>
  <c r="H21" i="2"/>
  <c r="C31" i="2"/>
  <c r="F51" i="2"/>
  <c r="K552" i="1"/>
  <c r="G21" i="2"/>
  <c r="G31" i="2" s="1"/>
  <c r="D62" i="2"/>
  <c r="H59" i="2"/>
  <c r="L310" i="1"/>
  <c r="C119" i="2"/>
  <c r="H119" i="2" s="1"/>
  <c r="C16" i="10"/>
  <c r="H546" i="1"/>
  <c r="F546" i="1"/>
  <c r="I258" i="1"/>
  <c r="I272" i="1" s="1"/>
  <c r="G258" i="1"/>
  <c r="G272" i="1" s="1"/>
  <c r="H101" i="2"/>
  <c r="H99" i="2"/>
  <c r="H85" i="2"/>
  <c r="C91" i="2"/>
  <c r="E81" i="2"/>
  <c r="F78" i="2"/>
  <c r="F81" i="2" s="1"/>
  <c r="L271" i="1"/>
  <c r="G163" i="2"/>
  <c r="L291" i="1"/>
  <c r="E110" i="2"/>
  <c r="E115" i="2" s="1"/>
  <c r="J625" i="1"/>
  <c r="H339" i="1"/>
  <c r="H353" i="1" s="1"/>
  <c r="B161" i="2"/>
  <c r="G161" i="2" s="1"/>
  <c r="H97" i="2"/>
  <c r="J51" i="1"/>
  <c r="G36" i="2"/>
  <c r="G50" i="2" s="1"/>
  <c r="G51" i="2" s="1"/>
  <c r="H80" i="2"/>
  <c r="H73" i="2"/>
  <c r="H58" i="2"/>
  <c r="D50" i="2"/>
  <c r="H26" i="2"/>
  <c r="H22" i="2"/>
  <c r="H15" i="2"/>
  <c r="H111" i="1"/>
  <c r="H112" i="1" s="1"/>
  <c r="D15" i="13"/>
  <c r="C15" i="13" s="1"/>
  <c r="I113" i="15"/>
  <c r="I178" i="15"/>
  <c r="I148" i="15"/>
  <c r="I155" i="15"/>
  <c r="T30" i="15"/>
  <c r="AE49" i="15"/>
  <c r="H134" i="2"/>
  <c r="H89" i="2"/>
  <c r="H12" i="2"/>
  <c r="I297" i="15"/>
  <c r="I170" i="15"/>
  <c r="I144" i="15"/>
  <c r="I39" i="15"/>
  <c r="T22" i="15"/>
  <c r="AE33" i="15"/>
  <c r="E62" i="2"/>
  <c r="H102" i="2"/>
  <c r="H100" i="2"/>
  <c r="H98" i="2"/>
  <c r="H77" i="2"/>
  <c r="C70" i="2"/>
  <c r="H70" i="2" s="1"/>
  <c r="H66" i="2"/>
  <c r="D128" i="2"/>
  <c r="D145" i="2" s="1"/>
  <c r="H127" i="2"/>
  <c r="I285" i="15"/>
  <c r="I284" i="15"/>
  <c r="I136" i="15"/>
  <c r="I31" i="15"/>
  <c r="T20" i="15"/>
  <c r="AE25" i="15"/>
  <c r="E91" i="2"/>
  <c r="H94" i="2"/>
  <c r="C103" i="2"/>
  <c r="H103" i="2" s="1"/>
  <c r="H79" i="2"/>
  <c r="H48" i="2"/>
  <c r="I294" i="15"/>
  <c r="I281" i="15"/>
  <c r="I272" i="15"/>
  <c r="I36" i="15"/>
  <c r="I27" i="15"/>
  <c r="H93" i="2"/>
  <c r="F103" i="2"/>
  <c r="H16" i="2"/>
  <c r="K2" i="14"/>
  <c r="K3" i="14" s="1"/>
  <c r="S2" i="14"/>
  <c r="AE32" i="15"/>
  <c r="AF32" i="15" s="1"/>
  <c r="AE64" i="15"/>
  <c r="AE96" i="15"/>
  <c r="AE29" i="15"/>
  <c r="AE73" i="15"/>
  <c r="AE65" i="15"/>
  <c r="AE22" i="15"/>
  <c r="AE54" i="15"/>
  <c r="AE86" i="15"/>
  <c r="AF86" i="15" s="1"/>
  <c r="AE79" i="15"/>
  <c r="AE7" i="15"/>
  <c r="AE43" i="15"/>
  <c r="T24" i="15"/>
  <c r="T56" i="15"/>
  <c r="T13" i="15"/>
  <c r="T45" i="15"/>
  <c r="T38" i="15"/>
  <c r="T51" i="15"/>
  <c r="T39" i="15"/>
  <c r="T43" i="15"/>
  <c r="T58" i="15"/>
  <c r="I22" i="15"/>
  <c r="I54" i="15"/>
  <c r="I86" i="15"/>
  <c r="I15" i="15"/>
  <c r="I47" i="15"/>
  <c r="I79" i="15"/>
  <c r="I111" i="15"/>
  <c r="I143" i="15"/>
  <c r="I175" i="15"/>
  <c r="I207" i="15"/>
  <c r="I239" i="15"/>
  <c r="I24" i="15"/>
  <c r="I56" i="15"/>
  <c r="I88" i="15"/>
  <c r="I120" i="15"/>
  <c r="I152" i="15"/>
  <c r="I184" i="15"/>
  <c r="I216" i="15"/>
  <c r="I248" i="15"/>
  <c r="I117" i="15"/>
  <c r="I181" i="15"/>
  <c r="I245" i="15"/>
  <c r="I280" i="15"/>
  <c r="I312" i="15"/>
  <c r="I73" i="15"/>
  <c r="I154" i="15"/>
  <c r="AE8" i="15"/>
  <c r="AE40" i="15"/>
  <c r="AE72" i="15"/>
  <c r="AE37" i="15"/>
  <c r="AE85" i="15"/>
  <c r="AE89" i="15"/>
  <c r="AE30" i="15"/>
  <c r="AE62" i="15"/>
  <c r="AE94" i="15"/>
  <c r="AE19" i="15"/>
  <c r="AF19" i="15" s="1"/>
  <c r="AE39" i="15"/>
  <c r="AE75" i="15"/>
  <c r="T32" i="15"/>
  <c r="T64" i="15"/>
  <c r="T21" i="15"/>
  <c r="T53" i="15"/>
  <c r="T54" i="15"/>
  <c r="T65" i="15"/>
  <c r="T55" i="15"/>
  <c r="T10" i="15"/>
  <c r="T69" i="15"/>
  <c r="I30" i="15"/>
  <c r="I62" i="15"/>
  <c r="I94" i="15"/>
  <c r="I23" i="15"/>
  <c r="I55" i="15"/>
  <c r="I87" i="15"/>
  <c r="I119" i="15"/>
  <c r="AE20" i="15"/>
  <c r="AE52" i="15"/>
  <c r="AE84" i="15"/>
  <c r="AE13" i="15"/>
  <c r="AE53" i="15"/>
  <c r="AE21" i="15"/>
  <c r="AF21" i="15" s="1"/>
  <c r="AE10" i="15"/>
  <c r="AE42" i="15"/>
  <c r="AE74" i="15"/>
  <c r="AE31" i="15"/>
  <c r="AE67" i="15"/>
  <c r="AE87" i="15"/>
  <c r="T12" i="15"/>
  <c r="T44" i="15"/>
  <c r="T4" i="15"/>
  <c r="T33" i="15"/>
  <c r="T14" i="15"/>
  <c r="T71" i="15"/>
  <c r="T15" i="15"/>
  <c r="T73" i="15"/>
  <c r="T34" i="15"/>
  <c r="I10" i="15"/>
  <c r="I42" i="15"/>
  <c r="I74" i="15"/>
  <c r="I106" i="15"/>
  <c r="I35" i="15"/>
  <c r="I67" i="15"/>
  <c r="I99" i="15"/>
  <c r="I131" i="15"/>
  <c r="I163" i="15"/>
  <c r="I195" i="15"/>
  <c r="I227" i="15"/>
  <c r="I12" i="15"/>
  <c r="I44" i="15"/>
  <c r="I76" i="15"/>
  <c r="I108" i="15"/>
  <c r="I140" i="15"/>
  <c r="I172" i="15"/>
  <c r="I204" i="15"/>
  <c r="I236" i="15"/>
  <c r="I77" i="15"/>
  <c r="I157" i="15"/>
  <c r="I221" i="15"/>
  <c r="I268" i="15"/>
  <c r="I300" i="15"/>
  <c r="I25" i="15"/>
  <c r="I130" i="15"/>
  <c r="I194" i="15"/>
  <c r="I263" i="15"/>
  <c r="I49" i="15"/>
  <c r="I142" i="15"/>
  <c r="I206" i="15"/>
  <c r="I261" i="15"/>
  <c r="I293" i="15"/>
  <c r="I325" i="15"/>
  <c r="I21" i="15"/>
  <c r="I129" i="15"/>
  <c r="I193" i="15"/>
  <c r="I254" i="15"/>
  <c r="I286" i="15"/>
  <c r="I318" i="15"/>
  <c r="AE16" i="15"/>
  <c r="AF16" i="15" s="1"/>
  <c r="AE68" i="15"/>
  <c r="AE17" i="15"/>
  <c r="AE93" i="15"/>
  <c r="AE18" i="15"/>
  <c r="AE70" i="15"/>
  <c r="AE95" i="15"/>
  <c r="AE11" i="15"/>
  <c r="T36" i="15"/>
  <c r="T9" i="15"/>
  <c r="T6" i="15"/>
  <c r="T59" i="15"/>
  <c r="T19" i="15"/>
  <c r="T74" i="15"/>
  <c r="I50" i="15"/>
  <c r="I102" i="15"/>
  <c r="I51" i="15"/>
  <c r="I103" i="15"/>
  <c r="I151" i="15"/>
  <c r="I191" i="15"/>
  <c r="I235" i="15"/>
  <c r="I32" i="15"/>
  <c r="I72" i="15"/>
  <c r="I116" i="15"/>
  <c r="I160" i="15"/>
  <c r="I200" i="15"/>
  <c r="I244" i="15"/>
  <c r="I133" i="15"/>
  <c r="I213" i="15"/>
  <c r="I276" i="15"/>
  <c r="I320" i="15"/>
  <c r="I122" i="15"/>
  <c r="I210" i="15"/>
  <c r="I291" i="15"/>
  <c r="I110" i="15"/>
  <c r="I182" i="15"/>
  <c r="I253" i="15"/>
  <c r="I289" i="15"/>
  <c r="I226" i="15"/>
  <c r="I53" i="15"/>
  <c r="I153" i="15"/>
  <c r="I225" i="15"/>
  <c r="I274" i="15"/>
  <c r="I310" i="15"/>
  <c r="I311" i="15"/>
  <c r="AE36" i="15"/>
  <c r="AE88" i="15"/>
  <c r="AE41" i="15"/>
  <c r="AE57" i="15"/>
  <c r="AE38" i="15"/>
  <c r="AE90" i="15"/>
  <c r="AE83" i="15"/>
  <c r="AE91" i="15"/>
  <c r="T52" i="15"/>
  <c r="T29" i="15"/>
  <c r="T46" i="15"/>
  <c r="T23" i="15"/>
  <c r="T18" i="15"/>
  <c r="I18" i="15"/>
  <c r="I70" i="15"/>
  <c r="I19" i="15"/>
  <c r="I71" i="15"/>
  <c r="I123" i="15"/>
  <c r="I167" i="15"/>
  <c r="I211" i="15"/>
  <c r="I251" i="15"/>
  <c r="I48" i="15"/>
  <c r="I92" i="15"/>
  <c r="I132" i="15"/>
  <c r="I176" i="15"/>
  <c r="I220" i="15"/>
  <c r="I45" i="15"/>
  <c r="I165" i="15"/>
  <c r="I252" i="15"/>
  <c r="I292" i="15"/>
  <c r="I41" i="15"/>
  <c r="I162" i="15"/>
  <c r="I250" i="15"/>
  <c r="I17" i="15"/>
  <c r="I134" i="15"/>
  <c r="I214" i="15"/>
  <c r="I269" i="15"/>
  <c r="I305" i="15"/>
  <c r="I295" i="15"/>
  <c r="I101" i="15"/>
  <c r="I177" i="15"/>
  <c r="I249" i="15"/>
  <c r="I290" i="15"/>
  <c r="I4" i="15"/>
  <c r="AE12" i="15"/>
  <c r="AE80" i="15"/>
  <c r="AE61" i="15"/>
  <c r="AE14" i="15"/>
  <c r="AE82" i="15"/>
  <c r="AE23" i="15"/>
  <c r="T28" i="15"/>
  <c r="T25" i="15"/>
  <c r="T66" i="15"/>
  <c r="T67" i="15"/>
  <c r="I14" i="15"/>
  <c r="I82" i="15"/>
  <c r="I43" i="15"/>
  <c r="I115" i="15"/>
  <c r="I179" i="15"/>
  <c r="I231" i="15"/>
  <c r="I40" i="15"/>
  <c r="I100" i="15"/>
  <c r="I156" i="15"/>
  <c r="I212" i="15"/>
  <c r="I93" i="15"/>
  <c r="I205" i="15"/>
  <c r="I288" i="15"/>
  <c r="I89" i="15"/>
  <c r="I202" i="15"/>
  <c r="I315" i="15"/>
  <c r="I158" i="15"/>
  <c r="I246" i="15"/>
  <c r="I301" i="15"/>
  <c r="I323" i="15"/>
  <c r="I145" i="15"/>
  <c r="I241" i="15"/>
  <c r="I298" i="15"/>
  <c r="I299" i="15"/>
  <c r="AE24" i="15"/>
  <c r="AE92" i="15"/>
  <c r="AE69" i="15"/>
  <c r="AE26" i="15"/>
  <c r="AE98" i="15"/>
  <c r="AF98" i="15" s="1"/>
  <c r="AE55" i="15"/>
  <c r="T40" i="15"/>
  <c r="T37" i="15"/>
  <c r="T11" i="15"/>
  <c r="T27" i="15"/>
  <c r="I26" i="15"/>
  <c r="I90" i="15"/>
  <c r="I59" i="15"/>
  <c r="I127" i="15"/>
  <c r="I183" i="15"/>
  <c r="I243" i="15"/>
  <c r="I52" i="15"/>
  <c r="I104" i="15"/>
  <c r="I164" i="15"/>
  <c r="I224" i="15"/>
  <c r="I109" i="15"/>
  <c r="I229" i="15"/>
  <c r="I296" i="15"/>
  <c r="I105" i="15"/>
  <c r="I218" i="15"/>
  <c r="I33" i="15"/>
  <c r="I166" i="15"/>
  <c r="I257" i="15"/>
  <c r="I309" i="15"/>
  <c r="I5" i="15"/>
  <c r="I161" i="15"/>
  <c r="I258" i="15"/>
  <c r="I302" i="15"/>
  <c r="I319" i="15"/>
  <c r="AE44" i="15"/>
  <c r="AE5" i="15"/>
  <c r="AE4" i="15"/>
  <c r="AE46" i="15"/>
  <c r="AE47" i="15"/>
  <c r="AE27" i="15"/>
  <c r="T60" i="15"/>
  <c r="T49" i="15"/>
  <c r="T75" i="15"/>
  <c r="T26" i="15"/>
  <c r="I38" i="15"/>
  <c r="I7" i="15"/>
  <c r="I75" i="15"/>
  <c r="I139" i="15"/>
  <c r="I199" i="15"/>
  <c r="I8" i="15"/>
  <c r="I64" i="15"/>
  <c r="I124" i="15"/>
  <c r="I180" i="15"/>
  <c r="I232" i="15"/>
  <c r="I141" i="15"/>
  <c r="I256" i="15"/>
  <c r="I308" i="15"/>
  <c r="I138" i="15"/>
  <c r="I255" i="15"/>
  <c r="I81" i="15"/>
  <c r="I190" i="15"/>
  <c r="I273" i="15"/>
  <c r="I317" i="15"/>
  <c r="I69" i="15"/>
  <c r="I185" i="15"/>
  <c r="I266" i="15"/>
  <c r="I314" i="15"/>
  <c r="AE48" i="15"/>
  <c r="AE9" i="15"/>
  <c r="AE45" i="15"/>
  <c r="AE50" i="15"/>
  <c r="AE63" i="15"/>
  <c r="AE59" i="15"/>
  <c r="AF58" i="15" s="1"/>
  <c r="T68" i="15"/>
  <c r="T57" i="15"/>
  <c r="T7" i="15"/>
  <c r="T42" i="15"/>
  <c r="I46" i="15"/>
  <c r="I11" i="15"/>
  <c r="I83" i="15"/>
  <c r="I147" i="15"/>
  <c r="I203" i="15"/>
  <c r="I16" i="15"/>
  <c r="I68" i="15"/>
  <c r="I128" i="15"/>
  <c r="I188" i="15"/>
  <c r="I240" i="15"/>
  <c r="I149" i="15"/>
  <c r="I260" i="15"/>
  <c r="I316" i="15"/>
  <c r="I146" i="15"/>
  <c r="I259" i="15"/>
  <c r="I97" i="15"/>
  <c r="I198" i="15"/>
  <c r="I277" i="15"/>
  <c r="I321" i="15"/>
  <c r="I85" i="15"/>
  <c r="I201" i="15"/>
  <c r="I270" i="15"/>
  <c r="I322" i="15"/>
  <c r="AE28" i="15"/>
  <c r="AE81" i="15"/>
  <c r="AF81" i="15" s="1"/>
  <c r="AE15" i="15"/>
  <c r="T48" i="15"/>
  <c r="T35" i="15"/>
  <c r="I34" i="15"/>
  <c r="I63" i="15"/>
  <c r="I187" i="15"/>
  <c r="I60" i="15"/>
  <c r="I168" i="15"/>
  <c r="I125" i="15"/>
  <c r="I304" i="15"/>
  <c r="I234" i="15"/>
  <c r="I174" i="15"/>
  <c r="I313" i="15"/>
  <c r="I169" i="15"/>
  <c r="I306" i="15"/>
  <c r="AE56" i="15"/>
  <c r="AF56" i="15" s="1"/>
  <c r="AE77" i="15"/>
  <c r="AE35" i="15"/>
  <c r="T72" i="15"/>
  <c r="T31" i="15"/>
  <c r="I58" i="15"/>
  <c r="I91" i="15"/>
  <c r="I215" i="15"/>
  <c r="I80" i="15"/>
  <c r="I192" i="15"/>
  <c r="I173" i="15"/>
  <c r="I324" i="15"/>
  <c r="I275" i="15"/>
  <c r="I222" i="15"/>
  <c r="I267" i="15"/>
  <c r="I209" i="15"/>
  <c r="I242" i="15"/>
  <c r="AE60" i="15"/>
  <c r="AE97" i="15"/>
  <c r="AE51" i="15"/>
  <c r="T5" i="15"/>
  <c r="T47" i="15"/>
  <c r="I66" i="15"/>
  <c r="I95" i="15"/>
  <c r="I219" i="15"/>
  <c r="I84" i="15"/>
  <c r="I196" i="15"/>
  <c r="I189" i="15"/>
  <c r="I9" i="15"/>
  <c r="I279" i="15"/>
  <c r="I230" i="15"/>
  <c r="I283" i="15"/>
  <c r="I217" i="15"/>
  <c r="I271" i="15"/>
  <c r="AE76" i="15"/>
  <c r="AE6" i="15"/>
  <c r="AE99" i="15"/>
  <c r="T17" i="15"/>
  <c r="T62" i="15"/>
  <c r="I78" i="15"/>
  <c r="I107" i="15"/>
  <c r="I223" i="15"/>
  <c r="I96" i="15"/>
  <c r="I208" i="15"/>
  <c r="I197" i="15"/>
  <c r="I57" i="15"/>
  <c r="I303" i="15"/>
  <c r="I238" i="15"/>
  <c r="I307" i="15"/>
  <c r="I233" i="15"/>
  <c r="I287" i="15"/>
  <c r="AE100" i="15"/>
  <c r="AF100" i="15" s="1"/>
  <c r="AE34" i="15"/>
  <c r="AE71" i="15"/>
  <c r="T41" i="15"/>
  <c r="T70" i="15"/>
  <c r="I98" i="15"/>
  <c r="I135" i="15"/>
  <c r="I247" i="15"/>
  <c r="I112" i="15"/>
  <c r="I228" i="15"/>
  <c r="I237" i="15"/>
  <c r="I114" i="15"/>
  <c r="I65" i="15"/>
  <c r="I265" i="15"/>
  <c r="I37" i="15"/>
  <c r="I262" i="15"/>
  <c r="H118" i="2"/>
  <c r="H111" i="2"/>
  <c r="H36" i="2"/>
  <c r="H42" i="2"/>
  <c r="D31" i="2"/>
  <c r="H72" i="2"/>
  <c r="D103" i="2"/>
  <c r="H96" i="2"/>
  <c r="E18" i="2"/>
  <c r="L402" i="1"/>
  <c r="C139" i="2" s="1"/>
  <c r="H139" i="2" s="1"/>
  <c r="N2" i="14"/>
  <c r="N3" i="14" s="1"/>
  <c r="C121" i="2"/>
  <c r="H121" i="2" s="1"/>
  <c r="D6" i="13"/>
  <c r="C6" i="13" s="1"/>
  <c r="H47" i="2"/>
  <c r="H69" i="2"/>
  <c r="G662" i="1"/>
  <c r="F662" i="1"/>
  <c r="H662" i="1"/>
  <c r="H43" i="2"/>
  <c r="H23" i="2"/>
  <c r="H11" i="2"/>
  <c r="F18" i="2"/>
  <c r="D29" i="13"/>
  <c r="C29" i="13" s="1"/>
  <c r="H38" i="2"/>
  <c r="H9" i="2"/>
  <c r="H44" i="2"/>
  <c r="M2" i="14"/>
  <c r="M3" i="14" s="1"/>
  <c r="H17" i="2"/>
  <c r="H34" i="2"/>
  <c r="C112" i="2"/>
  <c r="H112" i="2" s="1"/>
  <c r="F36" i="14"/>
  <c r="G18" i="2"/>
  <c r="H76" i="2"/>
  <c r="C63" i="2"/>
  <c r="H56" i="2"/>
  <c r="H13" i="2"/>
  <c r="H131" i="2"/>
  <c r="J652" i="1"/>
  <c r="C124" i="2"/>
  <c r="H124" i="2" s="1"/>
  <c r="H29" i="2"/>
  <c r="E31" i="2"/>
  <c r="H61" i="2"/>
  <c r="G63" i="2"/>
  <c r="G104" i="2" s="1"/>
  <c r="C123" i="2"/>
  <c r="H123" i="2" s="1"/>
  <c r="C18" i="2"/>
  <c r="H18" i="2" s="1"/>
  <c r="H8" i="2"/>
  <c r="C62" i="2"/>
  <c r="H57" i="2"/>
  <c r="L2" i="14"/>
  <c r="L3" i="14" s="1"/>
  <c r="C78" i="2"/>
  <c r="F4" i="14"/>
  <c r="F194" i="1"/>
  <c r="G628" i="1" s="1"/>
  <c r="H194" i="1" l="1"/>
  <c r="G630" i="1" s="1"/>
  <c r="J630" i="1" s="1"/>
  <c r="C36" i="10"/>
  <c r="AF4" i="15"/>
  <c r="A38" i="14" s="1" a="1"/>
  <c r="A38" i="14" s="1"/>
  <c r="AF11" i="15"/>
  <c r="AF94" i="15"/>
  <c r="AF87" i="15"/>
  <c r="AF62" i="15"/>
  <c r="G661" i="1"/>
  <c r="G665" i="1" s="1"/>
  <c r="G24" i="14"/>
  <c r="H24" i="14" s="1"/>
  <c r="AF78" i="15"/>
  <c r="H63" i="2"/>
  <c r="AF71" i="15"/>
  <c r="AF44" i="15"/>
  <c r="AF69" i="15"/>
  <c r="AF82" i="15"/>
  <c r="AF36" i="15"/>
  <c r="AF70" i="15"/>
  <c r="AF67" i="15"/>
  <c r="AF84" i="15"/>
  <c r="AF30" i="15"/>
  <c r="AF65" i="15"/>
  <c r="AF33" i="15"/>
  <c r="D31" i="13"/>
  <c r="C31" i="13" s="1"/>
  <c r="L339" i="1"/>
  <c r="L353" i="1" s="1"/>
  <c r="G634" i="1" s="1"/>
  <c r="J634" i="1" s="1"/>
  <c r="D33" i="13"/>
  <c r="D36" i="13" s="1"/>
  <c r="C5" i="13"/>
  <c r="F104" i="2"/>
  <c r="H110" i="2"/>
  <c r="AF45" i="15"/>
  <c r="AF46" i="15"/>
  <c r="AF55" i="15"/>
  <c r="J39" i="15"/>
  <c r="J71" i="15"/>
  <c r="J11" i="15"/>
  <c r="A13" i="14" s="1" a="1"/>
  <c r="A13" i="14" s="1"/>
  <c r="J19" i="15"/>
  <c r="J51" i="15"/>
  <c r="J83" i="15"/>
  <c r="J115" i="15"/>
  <c r="J147" i="15"/>
  <c r="J179" i="15"/>
  <c r="J211" i="15"/>
  <c r="J35" i="15"/>
  <c r="J79" i="15"/>
  <c r="J43" i="15"/>
  <c r="J87" i="15"/>
  <c r="J123" i="15"/>
  <c r="J159" i="15"/>
  <c r="J195" i="15"/>
  <c r="J231" i="15"/>
  <c r="J263" i="15"/>
  <c r="J295" i="15"/>
  <c r="J44" i="15"/>
  <c r="J76" i="15"/>
  <c r="J108" i="15"/>
  <c r="J55" i="15"/>
  <c r="J95" i="15"/>
  <c r="J131" i="15"/>
  <c r="J167" i="15"/>
  <c r="J203" i="15"/>
  <c r="J239" i="15"/>
  <c r="J271" i="15"/>
  <c r="J303" i="15"/>
  <c r="J12" i="15"/>
  <c r="A14" i="14" s="1" a="1"/>
  <c r="A14" i="14" s="1"/>
  <c r="J20" i="15"/>
  <c r="J52" i="15"/>
  <c r="J84" i="15"/>
  <c r="J116" i="15"/>
  <c r="J148" i="15"/>
  <c r="J41" i="15"/>
  <c r="J73" i="15"/>
  <c r="J105" i="15"/>
  <c r="J137" i="15"/>
  <c r="J169" i="15"/>
  <c r="J201" i="15"/>
  <c r="J233" i="15"/>
  <c r="J265" i="15"/>
  <c r="J7" i="15"/>
  <c r="A9" i="14" s="1" a="1"/>
  <c r="A9" i="14" s="1"/>
  <c r="J31" i="15"/>
  <c r="J103" i="15"/>
  <c r="J151" i="15"/>
  <c r="J199" i="15"/>
  <c r="J247" i="15"/>
  <c r="J287" i="15"/>
  <c r="J28" i="15"/>
  <c r="J68" i="15"/>
  <c r="J112" i="15"/>
  <c r="J152" i="15"/>
  <c r="J21" i="15"/>
  <c r="J57" i="15"/>
  <c r="J93" i="15"/>
  <c r="J129" i="15"/>
  <c r="J165" i="15"/>
  <c r="J205" i="15"/>
  <c r="J241" i="15"/>
  <c r="J277" i="15"/>
  <c r="J26" i="15"/>
  <c r="J58" i="15"/>
  <c r="J90" i="15"/>
  <c r="J122" i="15"/>
  <c r="J154" i="15"/>
  <c r="J160" i="15"/>
  <c r="J236" i="15"/>
  <c r="J294" i="15"/>
  <c r="J180" i="15"/>
  <c r="J246" i="15"/>
  <c r="J301" i="15"/>
  <c r="J192" i="15"/>
  <c r="J256" i="15"/>
  <c r="J308" i="15"/>
  <c r="J274" i="15"/>
  <c r="J250" i="15"/>
  <c r="J288" i="15"/>
  <c r="J47" i="15"/>
  <c r="J107" i="15"/>
  <c r="J155" i="15"/>
  <c r="J207" i="15"/>
  <c r="J251" i="15"/>
  <c r="J291" i="15"/>
  <c r="J32" i="15"/>
  <c r="J72" i="15"/>
  <c r="J120" i="15"/>
  <c r="J156" i="15"/>
  <c r="J13" i="15"/>
  <c r="A15" i="14" s="1" a="1"/>
  <c r="A15" i="14" s="1"/>
  <c r="J25" i="15"/>
  <c r="J61" i="15"/>
  <c r="J97" i="15"/>
  <c r="J133" i="15"/>
  <c r="J173" i="15"/>
  <c r="J209" i="15"/>
  <c r="J245" i="15"/>
  <c r="J281" i="15"/>
  <c r="J30" i="15"/>
  <c r="J62" i="15"/>
  <c r="J94" i="15"/>
  <c r="J126" i="15"/>
  <c r="J158" i="15"/>
  <c r="J176" i="15"/>
  <c r="J244" i="15"/>
  <c r="J300" i="15"/>
  <c r="J190" i="15"/>
  <c r="J254" i="15"/>
  <c r="J306" i="15"/>
  <c r="J200" i="15"/>
  <c r="J264" i="15"/>
  <c r="J313" i="15"/>
  <c r="J298" i="15"/>
  <c r="J282" i="15"/>
  <c r="J309" i="15"/>
  <c r="J59" i="15"/>
  <c r="J111" i="15"/>
  <c r="J163" i="15"/>
  <c r="J215" i="15"/>
  <c r="J255" i="15"/>
  <c r="J299" i="15"/>
  <c r="J36" i="15"/>
  <c r="J80" i="15"/>
  <c r="J124" i="15"/>
  <c r="J5" i="15"/>
  <c r="A7" i="14" s="1" a="1"/>
  <c r="A7" i="14" s="1"/>
  <c r="J29" i="15"/>
  <c r="J65" i="15"/>
  <c r="J101" i="15"/>
  <c r="J141" i="15"/>
  <c r="J177" i="15"/>
  <c r="J213" i="15"/>
  <c r="J249" i="15"/>
  <c r="J6" i="15"/>
  <c r="A8" i="14" s="1" a="1"/>
  <c r="A8" i="14" s="1"/>
  <c r="J14" i="15"/>
  <c r="A16" i="14" s="1" a="1"/>
  <c r="A16" i="14" s="1"/>
  <c r="J34" i="15"/>
  <c r="J66" i="15"/>
  <c r="J98" i="15"/>
  <c r="J130" i="15"/>
  <c r="J162" i="15"/>
  <c r="J188" i="15"/>
  <c r="J252" i="15"/>
  <c r="J305" i="15"/>
  <c r="J198" i="15"/>
  <c r="J262" i="15"/>
  <c r="J312" i="15"/>
  <c r="J208" i="15"/>
  <c r="J272" i="15"/>
  <c r="J318" i="15"/>
  <c r="J319" i="15"/>
  <c r="J304" i="15"/>
  <c r="J266" i="15"/>
  <c r="J63" i="15"/>
  <c r="J119" i="15"/>
  <c r="J171" i="15"/>
  <c r="J219" i="15"/>
  <c r="J259" i="15"/>
  <c r="J307" i="15"/>
  <c r="J40" i="15"/>
  <c r="J88" i="15"/>
  <c r="J128" i="15"/>
  <c r="J33" i="15"/>
  <c r="J69" i="15"/>
  <c r="J109" i="15"/>
  <c r="J145" i="15"/>
  <c r="J181" i="15"/>
  <c r="J217" i="15"/>
  <c r="J253" i="15"/>
  <c r="J38" i="15"/>
  <c r="J70" i="15"/>
  <c r="J102" i="15"/>
  <c r="J134" i="15"/>
  <c r="J166" i="15"/>
  <c r="J196" i="15"/>
  <c r="J260" i="15"/>
  <c r="J310" i="15"/>
  <c r="J206" i="15"/>
  <c r="J270" i="15"/>
  <c r="J317" i="15"/>
  <c r="J216" i="15"/>
  <c r="J280" i="15"/>
  <c r="J322" i="15"/>
  <c r="J202" i="15"/>
  <c r="J323" i="15"/>
  <c r="J15" i="15"/>
  <c r="A17" i="14" s="1" a="1"/>
  <c r="A17" i="14" s="1"/>
  <c r="J67" i="15"/>
  <c r="J127" i="15"/>
  <c r="J175" i="15"/>
  <c r="J223" i="15"/>
  <c r="J267" i="15"/>
  <c r="J311" i="15"/>
  <c r="J16" i="15"/>
  <c r="A18" i="14" s="1" a="1"/>
  <c r="A18" i="14" s="1"/>
  <c r="J48" i="15"/>
  <c r="J92" i="15"/>
  <c r="J132" i="15"/>
  <c r="J37" i="15"/>
  <c r="J77" i="15"/>
  <c r="J113" i="15"/>
  <c r="J149" i="15"/>
  <c r="J185" i="15"/>
  <c r="J221" i="15"/>
  <c r="J257" i="15"/>
  <c r="J42" i="15"/>
  <c r="J74" i="15"/>
  <c r="J106" i="15"/>
  <c r="J138" i="15"/>
  <c r="J170" i="15"/>
  <c r="J204" i="15"/>
  <c r="J268" i="15"/>
  <c r="J316" i="15"/>
  <c r="J214" i="15"/>
  <c r="J278" i="15"/>
  <c r="J321" i="15"/>
  <c r="J224" i="15"/>
  <c r="J286" i="15"/>
  <c r="J4" i="15"/>
  <c r="A6" i="14" s="1" a="1"/>
  <c r="A6" i="14" s="1"/>
  <c r="J234" i="15"/>
  <c r="J293" i="15"/>
  <c r="J139" i="15"/>
  <c r="J275" i="15"/>
  <c r="J24" i="15"/>
  <c r="J140" i="15"/>
  <c r="J45" i="15"/>
  <c r="J125" i="15"/>
  <c r="J229" i="15"/>
  <c r="J86" i="15"/>
  <c r="J178" i="15"/>
  <c r="J320" i="15"/>
  <c r="J296" i="15"/>
  <c r="J297" i="15"/>
  <c r="J194" i="15"/>
  <c r="J143" i="15"/>
  <c r="J279" i="15"/>
  <c r="J56" i="15"/>
  <c r="J144" i="15"/>
  <c r="J49" i="15"/>
  <c r="J153" i="15"/>
  <c r="J237" i="15"/>
  <c r="J18" i="15"/>
  <c r="A20" i="14" s="1" a="1"/>
  <c r="A20" i="14" s="1"/>
  <c r="J110" i="15"/>
  <c r="J182" i="15"/>
  <c r="J324" i="15"/>
  <c r="J325" i="15"/>
  <c r="J302" i="15"/>
  <c r="J226" i="15"/>
  <c r="J91" i="15"/>
  <c r="J17" i="15"/>
  <c r="A19" i="14" s="1" a="1"/>
  <c r="A19" i="14" s="1"/>
  <c r="J193" i="15"/>
  <c r="J146" i="15"/>
  <c r="J23" i="15"/>
  <c r="J183" i="15"/>
  <c r="J283" i="15"/>
  <c r="J60" i="15"/>
  <c r="J53" i="15"/>
  <c r="J157" i="15"/>
  <c r="J261" i="15"/>
  <c r="J22" i="15"/>
  <c r="J114" i="15"/>
  <c r="J212" i="15"/>
  <c r="J164" i="15"/>
  <c r="J168" i="15"/>
  <c r="J172" i="15"/>
  <c r="J258" i="15"/>
  <c r="J100" i="15"/>
  <c r="J27" i="15"/>
  <c r="J187" i="15"/>
  <c r="J315" i="15"/>
  <c r="J64" i="15"/>
  <c r="J9" i="15"/>
  <c r="A11" i="14" s="1" a="1"/>
  <c r="A11" i="14" s="1"/>
  <c r="J81" i="15"/>
  <c r="J161" i="15"/>
  <c r="J269" i="15"/>
  <c r="J46" i="15"/>
  <c r="J118" i="15"/>
  <c r="J220" i="15"/>
  <c r="J222" i="15"/>
  <c r="J184" i="15"/>
  <c r="J210" i="15"/>
  <c r="J276" i="15"/>
  <c r="J75" i="15"/>
  <c r="J191" i="15"/>
  <c r="J8" i="15"/>
  <c r="A10" i="14" s="1" a="1"/>
  <c r="A10" i="14" s="1"/>
  <c r="J96" i="15"/>
  <c r="J85" i="15"/>
  <c r="J189" i="15"/>
  <c r="J273" i="15"/>
  <c r="J50" i="15"/>
  <c r="J142" i="15"/>
  <c r="J228" i="15"/>
  <c r="J230" i="15"/>
  <c r="J232" i="15"/>
  <c r="J242" i="15"/>
  <c r="J227" i="15"/>
  <c r="J89" i="15"/>
  <c r="J54" i="15"/>
  <c r="J238" i="15"/>
  <c r="J225" i="15"/>
  <c r="J289" i="15"/>
  <c r="J218" i="15"/>
  <c r="J104" i="15"/>
  <c r="J10" i="15"/>
  <c r="A12" i="14" s="1" a="1"/>
  <c r="A12" i="14" s="1"/>
  <c r="J285" i="15"/>
  <c r="J240" i="15"/>
  <c r="J243" i="15"/>
  <c r="J314" i="15"/>
  <c r="J284" i="15"/>
  <c r="J136" i="15"/>
  <c r="J290" i="15"/>
  <c r="J99" i="15"/>
  <c r="J78" i="15"/>
  <c r="J174" i="15"/>
  <c r="J197" i="15"/>
  <c r="J186" i="15"/>
  <c r="J135" i="15"/>
  <c r="J82" i="15"/>
  <c r="J248" i="15"/>
  <c r="J235" i="15"/>
  <c r="J117" i="15"/>
  <c r="J150" i="15"/>
  <c r="J292" i="15"/>
  <c r="J121" i="15"/>
  <c r="AF57" i="15"/>
  <c r="C51" i="2"/>
  <c r="H50" i="2"/>
  <c r="AF28" i="15"/>
  <c r="AF66" i="15"/>
  <c r="H647" i="1"/>
  <c r="G638" i="1"/>
  <c r="J638" i="1" s="1"/>
  <c r="AF48" i="15"/>
  <c r="E145" i="2"/>
  <c r="H91" i="2"/>
  <c r="H31" i="2"/>
  <c r="I662" i="1"/>
  <c r="H62" i="2"/>
  <c r="H36" i="14"/>
  <c r="AF34" i="15"/>
  <c r="AF99" i="15"/>
  <c r="AF92" i="15"/>
  <c r="AF14" i="15"/>
  <c r="AF91" i="15"/>
  <c r="AF18" i="15"/>
  <c r="AF31" i="15"/>
  <c r="AF52" i="15"/>
  <c r="AF89" i="15"/>
  <c r="AF73" i="15"/>
  <c r="AF25" i="15"/>
  <c r="L258" i="1"/>
  <c r="L272" i="1" s="1"/>
  <c r="G633" i="1" s="1"/>
  <c r="J633" i="1" s="1"/>
  <c r="B10" i="16"/>
  <c r="G194" i="1"/>
  <c r="G629" i="1" s="1"/>
  <c r="J629" i="1" s="1"/>
  <c r="AF40" i="15"/>
  <c r="I661" i="1"/>
  <c r="I665" i="1" s="1"/>
  <c r="F665" i="1"/>
  <c r="H78" i="2"/>
  <c r="C81" i="2"/>
  <c r="H81" i="2" s="1"/>
  <c r="AF9" i="15"/>
  <c r="AF8" i="15"/>
  <c r="A42" i="14" s="1" a="1"/>
  <c r="A42" i="14" s="1"/>
  <c r="AF26" i="15"/>
  <c r="AF95" i="15"/>
  <c r="C128" i="2"/>
  <c r="H128" i="2" s="1"/>
  <c r="AF6" i="15"/>
  <c r="A40" i="14" s="1" a="1"/>
  <c r="A40" i="14" s="1"/>
  <c r="AF51" i="15"/>
  <c r="AF59" i="15"/>
  <c r="AF24" i="15"/>
  <c r="AF61" i="15"/>
  <c r="AF83" i="15"/>
  <c r="AF93" i="15"/>
  <c r="AF74" i="15"/>
  <c r="AF20" i="15"/>
  <c r="AF85" i="15"/>
  <c r="AF43" i="15"/>
  <c r="AF29" i="15"/>
  <c r="AF49" i="15"/>
  <c r="G627" i="1"/>
  <c r="J627" i="1" s="1"/>
  <c r="J52" i="1"/>
  <c r="H622" i="1" s="1"/>
  <c r="J622" i="1" s="1"/>
  <c r="G4" i="14"/>
  <c r="H4" i="14" s="1"/>
  <c r="I4" i="14" s="1"/>
  <c r="E128" i="2"/>
  <c r="H661" i="1"/>
  <c r="H665" i="1" s="1"/>
  <c r="G36" i="14"/>
  <c r="B14" i="16"/>
  <c r="B22" i="16" s="1"/>
  <c r="AF41" i="15"/>
  <c r="AF27" i="15"/>
  <c r="AF80" i="15"/>
  <c r="AF90" i="15"/>
  <c r="AF17" i="15"/>
  <c r="AF42" i="15"/>
  <c r="AF75" i="15"/>
  <c r="AF37" i="15"/>
  <c r="AF7" i="15"/>
  <c r="A41" i="14" s="1" a="1"/>
  <c r="A41" i="14" s="1"/>
  <c r="AF96" i="15"/>
  <c r="H109" i="2"/>
  <c r="C115" i="2"/>
  <c r="H114" i="2"/>
  <c r="D51" i="2"/>
  <c r="AF53" i="15"/>
  <c r="AF54" i="15"/>
  <c r="G647" i="1"/>
  <c r="G632" i="1"/>
  <c r="J632" i="1" s="1"/>
  <c r="AF5" i="15"/>
  <c r="A39" i="14" s="1" a="1"/>
  <c r="A39" i="14" s="1"/>
  <c r="AF23" i="15"/>
  <c r="AF88" i="15"/>
  <c r="AF13" i="15"/>
  <c r="AF22" i="15"/>
  <c r="AF76" i="15"/>
  <c r="AF97" i="15"/>
  <c r="AF35" i="15"/>
  <c r="AF63" i="15"/>
  <c r="H130" i="2"/>
  <c r="C141" i="2"/>
  <c r="H141" i="2" s="1"/>
  <c r="AF60" i="15"/>
  <c r="AF77" i="15"/>
  <c r="AF15" i="15"/>
  <c r="AF50" i="15"/>
  <c r="AF47" i="15"/>
  <c r="AF12" i="15"/>
  <c r="AF38" i="15"/>
  <c r="AF68" i="15"/>
  <c r="U20" i="15"/>
  <c r="U52" i="15"/>
  <c r="U37" i="15"/>
  <c r="U69" i="15"/>
  <c r="U30" i="15"/>
  <c r="U27" i="15"/>
  <c r="U55" i="15"/>
  <c r="U26" i="15"/>
  <c r="U32" i="15"/>
  <c r="U64" i="15"/>
  <c r="U17" i="15"/>
  <c r="U49" i="15"/>
  <c r="U54" i="15"/>
  <c r="U51" i="15"/>
  <c r="U15" i="15"/>
  <c r="U10" i="15"/>
  <c r="A32" i="14" s="1" a="1"/>
  <c r="A32" i="14" s="1"/>
  <c r="U50" i="15"/>
  <c r="U48" i="15"/>
  <c r="U5" i="15"/>
  <c r="A27" i="14" s="1" a="1"/>
  <c r="A27" i="14" s="1"/>
  <c r="U25" i="15"/>
  <c r="U65" i="15"/>
  <c r="U46" i="15"/>
  <c r="U67" i="15"/>
  <c r="U47" i="15"/>
  <c r="U42" i="15"/>
  <c r="U12" i="15"/>
  <c r="U56" i="15"/>
  <c r="U29" i="15"/>
  <c r="U73" i="15"/>
  <c r="U62" i="15"/>
  <c r="U75" i="15"/>
  <c r="U63" i="15"/>
  <c r="U58" i="15"/>
  <c r="U24" i="15"/>
  <c r="U68" i="15"/>
  <c r="U9" i="15"/>
  <c r="A31" i="14" s="1" a="1"/>
  <c r="A31" i="14" s="1"/>
  <c r="U41" i="15"/>
  <c r="U11" i="15"/>
  <c r="U74" i="15"/>
  <c r="U28" i="15"/>
  <c r="U72" i="15"/>
  <c r="U45" i="15"/>
  <c r="U19" i="15"/>
  <c r="U16" i="15"/>
  <c r="U6" i="15"/>
  <c r="A28" i="14" s="1" a="1"/>
  <c r="A28" i="14" s="1"/>
  <c r="U7" i="15"/>
  <c r="A29" i="14" s="1" a="1"/>
  <c r="A29" i="14" s="1"/>
  <c r="U66" i="15"/>
  <c r="U36" i="15"/>
  <c r="U14" i="15"/>
  <c r="U23" i="15"/>
  <c r="U40" i="15"/>
  <c r="U13" i="15"/>
  <c r="U22" i="15"/>
  <c r="U31" i="15"/>
  <c r="U44" i="15"/>
  <c r="U21" i="15"/>
  <c r="U38" i="15"/>
  <c r="U39" i="15"/>
  <c r="U60" i="15"/>
  <c r="U33" i="15"/>
  <c r="U70" i="15"/>
  <c r="U71" i="15"/>
  <c r="U53" i="15"/>
  <c r="U34" i="15"/>
  <c r="U57" i="15"/>
  <c r="U4" i="15"/>
  <c r="A26" i="14" s="1" a="1"/>
  <c r="A26" i="14" s="1"/>
  <c r="U61" i="15"/>
  <c r="U8" i="15"/>
  <c r="A30" i="14" s="1" a="1"/>
  <c r="A30" i="14" s="1"/>
  <c r="U35" i="15"/>
  <c r="U59" i="15"/>
  <c r="U43" i="15"/>
  <c r="U18" i="15"/>
  <c r="AF10" i="15"/>
  <c r="AF39" i="15"/>
  <c r="AF72" i="15"/>
  <c r="AF79" i="15"/>
  <c r="AF64" i="15"/>
  <c r="C28" i="10"/>
  <c r="D13" i="10" s="1"/>
  <c r="D18" i="10"/>
  <c r="K553" i="1"/>
  <c r="E33" i="13"/>
  <c r="D35" i="13" s="1"/>
  <c r="J628" i="1"/>
  <c r="C41" i="10"/>
  <c r="B6" i="14" l="1"/>
  <c r="C6" i="14" s="1"/>
  <c r="J6" i="14"/>
  <c r="B32" i="14"/>
  <c r="C32" i="14" s="1" a="1"/>
  <c r="C32" i="14" s="1"/>
  <c r="J32" i="14"/>
  <c r="B20" i="14"/>
  <c r="C20" i="14" s="1"/>
  <c r="J20" i="14"/>
  <c r="B42" i="14"/>
  <c r="C42" i="14"/>
  <c r="J42" i="14"/>
  <c r="J647" i="1"/>
  <c r="J10" i="14"/>
  <c r="B10" i="14"/>
  <c r="C10" i="14" s="1"/>
  <c r="J13" i="14"/>
  <c r="B13" i="14"/>
  <c r="C13" i="14" s="1"/>
  <c r="D27" i="10"/>
  <c r="B18" i="14"/>
  <c r="C18" i="14" s="1"/>
  <c r="J18" i="14"/>
  <c r="I36" i="14"/>
  <c r="M36" i="14"/>
  <c r="H668" i="1"/>
  <c r="H670" i="1"/>
  <c r="H673" i="1" s="1"/>
  <c r="C6" i="10" s="1"/>
  <c r="J11" i="14"/>
  <c r="B11" i="14"/>
  <c r="C11" i="14" s="1"/>
  <c r="J27" i="14"/>
  <c r="C27" i="14"/>
  <c r="B27" i="14"/>
  <c r="C144" i="2"/>
  <c r="H144" i="2" s="1"/>
  <c r="B26" i="14"/>
  <c r="C26" i="14"/>
  <c r="J26" i="14"/>
  <c r="D17" i="10"/>
  <c r="H657" i="1"/>
  <c r="F668" i="1"/>
  <c r="F670" i="1"/>
  <c r="B17" i="14"/>
  <c r="C17" i="14" s="1"/>
  <c r="J17" i="14"/>
  <c r="J41" i="14"/>
  <c r="C41" i="14"/>
  <c r="B41" i="14"/>
  <c r="I668" i="1"/>
  <c r="J14" i="14"/>
  <c r="B14" i="14"/>
  <c r="C14" i="14" s="1"/>
  <c r="D10" i="10"/>
  <c r="D19" i="10"/>
  <c r="B8" i="14"/>
  <c r="C8" i="14" s="1"/>
  <c r="J8" i="14"/>
  <c r="B7" i="14"/>
  <c r="C7" i="14" s="1"/>
  <c r="J7" i="14"/>
  <c r="J38" i="14"/>
  <c r="C38" i="14"/>
  <c r="B38" i="14"/>
  <c r="J9" i="14"/>
  <c r="B9" i="14"/>
  <c r="C9" i="14" s="1"/>
  <c r="I24" i="14"/>
  <c r="M24" i="14"/>
  <c r="C104" i="2"/>
  <c r="H104" i="2" s="1"/>
  <c r="B19" i="14"/>
  <c r="C19" i="14" s="1"/>
  <c r="J19" i="14"/>
  <c r="B16" i="14"/>
  <c r="C16" i="14" s="1"/>
  <c r="J16" i="14"/>
  <c r="D26" i="10"/>
  <c r="C30" i="10"/>
  <c r="D22" i="10"/>
  <c r="D23" i="10"/>
  <c r="D15" i="10"/>
  <c r="D21" i="10"/>
  <c r="D25" i="10"/>
  <c r="D12" i="10"/>
  <c r="D11" i="10"/>
  <c r="J12" i="14"/>
  <c r="B12" i="14"/>
  <c r="C12" i="14" s="1"/>
  <c r="J28" i="14"/>
  <c r="B28" i="14"/>
  <c r="C28" i="14"/>
  <c r="J39" i="14"/>
  <c r="C39" i="14"/>
  <c r="B39" i="14"/>
  <c r="H115" i="2"/>
  <c r="D20" i="10"/>
  <c r="D24" i="10"/>
  <c r="G670" i="1"/>
  <c r="G673" i="1"/>
  <c r="G668" i="1"/>
  <c r="J29" i="14"/>
  <c r="B29" i="14"/>
  <c r="C29" i="14"/>
  <c r="J30" i="14"/>
  <c r="B30" i="14"/>
  <c r="C30" i="14"/>
  <c r="J31" i="14"/>
  <c r="B31" i="14"/>
  <c r="C31" i="14"/>
  <c r="J40" i="14"/>
  <c r="C40" i="14"/>
  <c r="B40" i="14"/>
  <c r="H51" i="2"/>
  <c r="J15" i="14"/>
  <c r="B15" i="14"/>
  <c r="C15" i="14" s="1"/>
  <c r="D16" i="10"/>
  <c r="D38" i="10"/>
  <c r="D37" i="10"/>
  <c r="D39" i="10"/>
  <c r="D40" i="10"/>
  <c r="D35" i="10"/>
  <c r="D36" i="10"/>
  <c r="I670" i="1" l="1"/>
  <c r="I673" i="1" s="1"/>
  <c r="C7" i="10" s="1"/>
  <c r="C145" i="2"/>
  <c r="H145" i="2" s="1"/>
  <c r="F673" i="1"/>
  <c r="C4" i="10" s="1"/>
  <c r="D28" i="10"/>
  <c r="D41"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<sst xmlns="http://schemas.openxmlformats.org/spreadsheetml/2006/main" count="6567" uniqueCount="1822">
  <si>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</si>
  <si>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</si>
  <si>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</si>
  <si>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</si>
  <si>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</si>
  <si>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</si>
  <si>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</si>
  <si>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</si>
  <si>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</si>
  <si>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</si>
  <si>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</si>
  <si>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</si>
  <si>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</si>
  <si>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</si>
  <si>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</si>
  <si>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</si>
  <si>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</si>
  <si>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</si>
  <si>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</si>
  <si>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</si>
  <si>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</si>
  <si>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</si>
  <si>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</si>
  <si>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</si>
  <si>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</si>
  <si>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</si>
  <si>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</si>
  <si>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</si>
  <si>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</si>
  <si>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</si>
  <si>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</si>
  <si>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</si>
  <si>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</si>
  <si>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</si>
  <si>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</si>
  <si>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</si>
  <si>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</si>
  <si>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</si>
  <si>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</si>
  <si>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</si>
  <si>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</si>
  <si>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</si>
  <si>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</si>
  <si>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</si>
  <si>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</si>
  <si>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</si>
  <si>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</si>
  <si>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</si>
  <si>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</si>
  <si>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</si>
  <si>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</si>
  <si>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</si>
  <si>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</si>
  <si>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</si>
  <si>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</si>
  <si>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</si>
  <si>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</si>
  <si>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</si>
  <si>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</si>
  <si>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</si>
  <si>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</si>
  <si>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</si>
  <si>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</si>
  <si>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</si>
  <si>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</si>
  <si>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</si>
  <si>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</si>
  <si>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</si>
  <si>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</si>
  <si>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</si>
  <si>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</si>
  <si>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</si>
  <si>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</si>
  <si>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</si>
  <si>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</si>
  <si>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</si>
  <si>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</si>
  <si>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</si>
  <si>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</si>
  <si>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</si>
  <si>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</si>
  <si>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</si>
  <si>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</si>
  <si>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</si>
  <si>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</si>
  <si>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</si>
  <si>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</si>
  <si>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</si>
  <si>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</si>
  <si>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</si>
  <si>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</si>
  <si>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</si>
  <si>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</si>
  <si>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</si>
  <si>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</si>
  <si>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</si>
  <si>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</si>
  <si>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</si>
  <si>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</si>
  <si>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</si>
  <si>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</si>
  <si>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</si>
  <si>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</si>
  <si>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</si>
  <si>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</si>
  <si>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</si>
  <si>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</si>
  <si>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</si>
  <si>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</si>
  <si>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</si>
  <si>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</si>
  <si>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</si>
  <si>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</si>
  <si>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</si>
  <si>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</si>
  <si>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</si>
  <si>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</si>
  <si>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</si>
  <si>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</si>
  <si>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</si>
  <si>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</si>
  <si>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</si>
  <si>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</si>
  <si>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</si>
  <si>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</si>
  <si>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</si>
  <si>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</si>
  <si>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</si>
  <si>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</si>
  <si>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</si>
  <si>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</si>
  <si>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</si>
  <si>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</si>
  <si>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</si>
  <si>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</si>
  <si>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</si>
  <si>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</si>
  <si>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</si>
  <si>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</si>
  <si>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</si>
  <si>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</si>
  <si>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</si>
  <si>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</si>
  <si>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</si>
  <si>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</si>
  <si>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</si>
  <si>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</si>
  <si>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</si>
  <si>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</si>
  <si>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</si>
  <si>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</si>
  <si>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</si>
  <si>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</si>
  <si>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</si>
  <si>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</si>
  <si>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</si>
  <si>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</si>
  <si>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</si>
  <si>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</si>
  <si>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</si>
  <si>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</si>
  <si>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</si>
  <si>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</si>
  <si>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</si>
  <si>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</si>
  <si>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</si>
  <si>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</si>
  <si>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</si>
  <si>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</si>
  <si>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</si>
  <si>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</si>
  <si>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</si>
  <si>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</si>
  <si>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</si>
  <si>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</si>
  <si>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</si>
  <si>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</si>
  <si>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</si>
  <si>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</si>
  <si>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</si>
  <si>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</si>
  <si>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</si>
  <si>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</si>
  <si>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</si>
  <si>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</si>
  <si>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</si>
  <si>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</si>
  <si>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</si>
  <si>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</si>
  <si>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</si>
  <si>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</si>
  <si>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</si>
  <si>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</si>
  <si>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</si>
  <si>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</si>
  <si>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</si>
  <si>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</si>
  <si>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</si>
  <si>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</si>
  <si>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</si>
  <si>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</si>
  <si>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</si>
  <si>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</si>
  <si>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</si>
  <si>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</si>
  <si>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</si>
  <si>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</si>
  <si>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</si>
  <si>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</si>
  <si>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</si>
  <si>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</si>
  <si>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</si>
  <si>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</si>
  <si>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</si>
  <si>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</si>
  <si>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</si>
  <si>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</si>
  <si>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</si>
  <si>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</si>
  <si>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</si>
  <si>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</si>
  <si>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</si>
  <si>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</si>
  <si>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</si>
  <si>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</si>
  <si>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</si>
  <si>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</si>
  <si>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</si>
  <si>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</si>
  <si>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</si>
  <si>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</si>
  <si>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</si>
  <si>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</si>
  <si>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</si>
  <si>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</si>
  <si>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</si>
  <si>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</si>
  <si>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</si>
  <si>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</si>
  <si>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</si>
  <si>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</si>
  <si>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</si>
  <si>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</si>
  <si>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</si>
  <si>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</si>
  <si>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</si>
  <si>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</si>
  <si>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</si>
  <si>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</si>
  <si>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</si>
  <si>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</si>
  <si>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</si>
  <si>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</si>
  <si>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</si>
  <si>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</si>
  <si>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</si>
  <si>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</si>
  <si>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</si>
  <si>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</si>
  <si>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</si>
  <si>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</si>
  <si>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</si>
  <si>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</si>
  <si>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</si>
  <si>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</si>
  <si>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</si>
  <si>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</si>
  <si>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</si>
  <si>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</si>
  <si>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</si>
  <si>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</si>
  <si>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</si>
  <si>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</si>
  <si>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</si>
  <si>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</si>
  <si>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</si>
  <si>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</si>
  <si>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</si>
  <si>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</si>
  <si>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</si>
  <si>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</si>
  <si>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</si>
  <si>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</si>
  <si>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</si>
  <si>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</si>
  <si>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</si>
  <si>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</si>
  <si>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</si>
  <si>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</si>
  <si>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</si>
  <si>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</si>
  <si>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</si>
  <si>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</si>
  <si>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</si>
  <si>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</si>
  <si>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</si>
  <si>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</si>
  <si>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</si>
  <si>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</si>
  <si>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</si>
  <si>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</si>
  <si>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</si>
  <si>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</si>
  <si>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</si>
  <si>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</si>
  <si>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</si>
  <si>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</si>
  <si>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</si>
  <si>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</si>
  <si>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</si>
  <si>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</si>
  <si>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</si>
  <si>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</si>
  <si>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</si>
  <si>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</si>
  <si>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</si>
  <si>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</si>
  <si>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</si>
  <si>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</si>
  <si>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</si>
  <si>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</si>
  <si>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</si>
  <si>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</si>
  <si>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</si>
  <si>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</si>
  <si>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</si>
  <si>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</si>
  <si>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</si>
  <si>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</si>
  <si>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</si>
  <si>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</si>
  <si>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</si>
  <si>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</si>
  <si>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</si>
  <si>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</si>
  <si>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</si>
  <si>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</si>
  <si>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</si>
  <si>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</si>
  <si>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</si>
  <si>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</si>
  <si>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</si>
  <si>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</si>
  <si>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</si>
  <si>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</si>
  <si>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</si>
  <si>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</si>
  <si>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</si>
  <si>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</si>
  <si>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</si>
  <si>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</si>
  <si>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</si>
  <si>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</si>
  <si>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</si>
  <si>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</si>
  <si>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</si>
  <si>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</si>
  <si>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</si>
  <si>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</si>
  <si>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</si>
  <si>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</si>
  <si>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</si>
  <si>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</si>
  <si>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</si>
  <si>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</si>
  <si>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</si>
  <si>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</si>
  <si>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</si>
  <si>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</si>
  <si>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</si>
  <si>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</si>
  <si>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</si>
  <si>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</si>
  <si>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</si>
  <si>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</si>
  <si>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</si>
  <si>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</si>
  <si>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</si>
  <si>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</si>
  <si>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</si>
  <si>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</si>
  <si>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</si>
  <si>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</si>
  <si>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</si>
  <si>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</si>
  <si>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</si>
  <si>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</si>
  <si>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</si>
  <si>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</si>
  <si>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</si>
  <si>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</si>
  <si>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</si>
  <si>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</si>
  <si>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</si>
  <si>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</si>
  <si>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</si>
  <si>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</si>
  <si>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</si>
  <si>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</si>
  <si>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</si>
  <si>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</si>
  <si>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</si>
  <si>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</si>
  <si>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</si>
  <si>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</si>
  <si>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</si>
  <si>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</si>
  <si>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</si>
  <si>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</si>
  <si>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</si>
  <si>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</si>
  <si>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</si>
  <si>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</si>
  <si>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</si>
  <si>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</si>
  <si>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</si>
  <si>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</si>
  <si>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</si>
  <si>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</si>
  <si>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</si>
  <si>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</si>
  <si>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</si>
  <si>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</si>
  <si>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</si>
  <si>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</si>
  <si>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</si>
  <si>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</si>
  <si>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</si>
  <si>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</si>
  <si>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</si>
  <si>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</si>
  <si>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</si>
  <si>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</si>
  <si>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</si>
  <si>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</si>
  <si>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</si>
  <si>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</si>
  <si>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</si>
  <si>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</si>
  <si>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</si>
  <si>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</si>
  <si>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</si>
  <si>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</si>
  <si>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</si>
  <si>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</si>
  <si>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</si>
  <si>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</si>
  <si>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</si>
  <si>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</si>
  <si>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</si>
  <si>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</si>
  <si>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</si>
  <si>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</si>
  <si>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</si>
  <si>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</si>
  <si>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</si>
  <si>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</si>
  <si>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</si>
  <si>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</si>
  <si>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</si>
  <si>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</si>
  <si>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</si>
  <si>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</si>
  <si>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</si>
  <si>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</si>
  <si>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</si>
  <si>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</si>
  <si>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</si>
  <si>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</si>
  <si>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</si>
  <si>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</si>
  <si>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</si>
  <si>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</si>
  <si>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</si>
  <si>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</si>
  <si>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</si>
  <si>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</si>
  <si>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</si>
  <si>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</si>
  <si>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</si>
  <si>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</si>
  <si>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</si>
  <si>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</si>
  <si>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</si>
  <si>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</si>
  <si>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</si>
  <si>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</si>
  <si>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</si>
  <si>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</si>
  <si>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</si>
  <si>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</si>
  <si>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</si>
  <si>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</si>
  <si>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</si>
  <si>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</si>
  <si>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</si>
  <si>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</si>
  <si>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</si>
  <si>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</si>
  <si>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</si>
  <si>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</si>
  <si>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</si>
  <si>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</si>
  <si>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</si>
  <si>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</si>
  <si>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</si>
  <si>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</si>
  <si>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</si>
  <si>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</si>
  <si>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</si>
  <si>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</si>
  <si>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</si>
  <si>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</si>
  <si>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</si>
  <si>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</si>
  <si>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</si>
  <si>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</si>
  <si>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</si>
  <si>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</si>
  <si>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</si>
  <si>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</si>
  <si>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</si>
  <si>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</si>
  <si>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</si>
  <si>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</si>
  <si>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</si>
  <si>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</si>
  <si>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</si>
  <si>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</si>
  <si>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</si>
  <si>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</si>
  <si>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</si>
  <si>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</si>
  <si>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</si>
  <si>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</si>
  <si>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</si>
  <si>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</si>
  <si>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</si>
  <si>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</si>
  <si>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</si>
  <si>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</si>
  <si>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</si>
  <si>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</si>
  <si>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</si>
  <si>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</si>
  <si>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</si>
  <si>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</si>
  <si>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</si>
  <si>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</si>
  <si>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</si>
  <si>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</si>
  <si>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</si>
  <si>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</si>
  <si>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</si>
  <si>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</si>
  <si>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</si>
  <si>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</si>
  <si>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</si>
  <si>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</si>
  <si>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</si>
  <si>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</si>
  <si>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</si>
  <si>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</si>
  <si>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</si>
  <si>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</si>
  <si>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</si>
  <si>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</si>
  <si>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</si>
  <si>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</si>
  <si>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</si>
  <si>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</si>
  <si>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</si>
  <si>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</si>
  <si>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</si>
  <si>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</si>
  <si>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</si>
  <si>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</si>
  <si>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</si>
  <si>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</si>
  <si>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</si>
  <si>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</si>
  <si>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</si>
  <si>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</si>
  <si>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</si>
  <si>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</si>
  <si>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</si>
  <si>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</si>
  <si>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</si>
  <si>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</si>
  <si>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</si>
  <si>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</si>
  <si>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</si>
  <si>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</si>
  <si>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</si>
  <si>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</si>
  <si>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</si>
  <si>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</si>
  <si>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</si>
  <si>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</si>
  <si>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</si>
  <si>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</si>
  <si>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</si>
  <si>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</si>
  <si>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</si>
  <si>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</si>
  <si>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</si>
  <si>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</si>
  <si>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</si>
  <si>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</si>
  <si>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</si>
  <si>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</si>
  <si>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</si>
  <si>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</si>
  <si>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</si>
  <si>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</si>
  <si>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</si>
  <si>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</si>
  <si>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</si>
  <si>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</si>
  <si>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</si>
  <si>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</si>
  <si>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</si>
  <si>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</si>
  <si>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</si>
  <si>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</si>
  <si>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</si>
  <si>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</si>
  <si>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</si>
  <si>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</si>
  <si>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</si>
  <si>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</si>
  <si>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</si>
  <si>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</si>
  <si>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</si>
  <si>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</si>
  <si>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</si>
  <si>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</si>
  <si>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</si>
  <si>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</si>
  <si>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</si>
  <si>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</si>
  <si>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</si>
  <si>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</si>
  <si>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</si>
  <si>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</si>
  <si>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</si>
  <si>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</si>
  <si>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</si>
  <si>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</si>
  <si>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</si>
  <si>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</si>
  <si>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</si>
  <si>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</si>
  <si>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</si>
  <si>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</si>
  <si>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</si>
  <si>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</si>
  <si>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</si>
  <si>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</si>
  <si>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</si>
  <si>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</si>
  <si>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</si>
  <si>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</si>
  <si>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</si>
  <si>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</si>
  <si>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</si>
  <si>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</si>
  <si>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</si>
  <si>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</si>
  <si>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</si>
  <si>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</si>
  <si>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</si>
  <si>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</si>
  <si>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</si>
  <si>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</si>
  <si>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</si>
  <si>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</si>
  <si>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</si>
  <si>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</si>
  <si>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</si>
  <si>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</si>
  <si>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</si>
  <si>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</si>
  <si>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</si>
  <si>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</si>
  <si>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</si>
  <si>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</si>
  <si>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</si>
  <si>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</si>
  <si>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</si>
  <si>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</si>
  <si>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</si>
  <si>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</si>
  <si>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</si>
  <si>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</si>
  <si>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</si>
  <si>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</si>
  <si>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</si>
  <si>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</si>
  <si>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</si>
  <si>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</si>
  <si>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</si>
  <si>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</si>
  <si>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</si>
  <si>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</si>
  <si>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</si>
  <si>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</si>
  <si>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</si>
  <si>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</si>
  <si>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</si>
  <si>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</si>
  <si>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</si>
  <si>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</si>
  <si>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</si>
  <si>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</si>
  <si>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</si>
  <si>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</si>
  <si>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</si>
  <si>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</si>
  <si>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</si>
  <si>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</si>
  <si>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</si>
  <si>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</si>
  <si>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</si>
  <si>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</si>
  <si>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</si>
  <si>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</si>
  <si>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</si>
  <si>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</si>
  <si>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</si>
  <si>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</si>
  <si>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</si>
  <si>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</si>
  <si>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</si>
  <si>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</si>
  <si>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</si>
  <si>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</si>
  <si>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</si>
  <si>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</si>
  <si>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</si>
  <si>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</si>
  <si>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</si>
  <si>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</si>
  <si>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</si>
  <si>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</si>
  <si>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</si>
  <si>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</si>
  <si>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</si>
  <si>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</si>
  <si>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</si>
  <si>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</si>
  <si>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</si>
  <si>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</si>
  <si>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</si>
  <si>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</si>
  <si>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</si>
  <si>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</si>
  <si>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</si>
  <si>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</si>
  <si>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</si>
  <si>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</si>
  <si>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</si>
  <si>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</si>
  <si>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</si>
  <si>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</si>
  <si>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</si>
  <si>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</si>
  <si>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</si>
  <si>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</si>
  <si>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</si>
  <si>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</si>
  <si>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</si>
  <si>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</si>
  <si>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</si>
  <si>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</si>
  <si>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</si>
  <si>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</si>
  <si>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</si>
  <si>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</si>
  <si>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</si>
  <si>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</si>
  <si>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</si>
  <si>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</si>
  <si>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</si>
  <si>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</si>
  <si>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</si>
  <si>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</si>
  <si>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</si>
  <si>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</si>
  <si>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</si>
  <si>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</si>
  <si>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</si>
  <si>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</si>
  <si>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</si>
  <si>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</si>
  <si>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</si>
  <si>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</si>
  <si>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</si>
  <si>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</si>
  <si>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</si>
  <si>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</si>
  <si>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</si>
  <si>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</si>
  <si>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</si>
  <si>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</si>
  <si>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</si>
  <si>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</si>
  <si>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</si>
  <si>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</si>
  <si>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</si>
  <si>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</si>
  <si>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</si>
  <si>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</si>
  <si>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</si>
  <si>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</si>
  <si>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</si>
  <si>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</si>
  <si>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</si>
  <si>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</si>
  <si>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</si>
  <si>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</si>
  <si>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</si>
  <si>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</si>
  <si>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</si>
  <si>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</si>
  <si>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</si>
  <si>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</si>
  <si>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</si>
  <si>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</si>
  <si>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</si>
  <si>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</si>
  <si>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</si>
  <si>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</si>
  <si>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</si>
  <si>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</si>
  <si>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</si>
  <si>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</si>
  <si>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</si>
  <si>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</si>
  <si>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</si>
  <si>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</si>
  <si>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</si>
  <si>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</si>
  <si>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</si>
  <si>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</si>
  <si>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</si>
  <si>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</si>
  <si>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</si>
  <si>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</si>
  <si>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</si>
  <si>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</si>
  <si>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</si>
  <si>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</si>
  <si>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</si>
  <si>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</si>
  <si>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</si>
  <si>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</si>
  <si>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</si>
  <si>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</si>
  <si>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</si>
  <si>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</si>
  <si>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</si>
  <si>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</si>
  <si>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</si>
  <si>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</si>
  <si>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</si>
  <si>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</si>
  <si>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</si>
  <si>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</si>
  <si>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</si>
  <si>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</si>
  <si>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</si>
  <si>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</si>
  <si>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</si>
  <si>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</si>
  <si>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</si>
  <si>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</si>
  <si>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</si>
  <si>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</si>
  <si>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</si>
  <si>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</si>
  <si>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</si>
  <si>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</si>
  <si>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</si>
  <si>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</si>
  <si>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</si>
  <si>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</si>
  <si>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</si>
  <si>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</si>
  <si>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</si>
  <si>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</si>
  <si>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</si>
  <si>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</si>
  <si>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</si>
  <si>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</si>
  <si>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</si>
  <si>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</si>
  <si>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</si>
  <si>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</si>
  <si>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</si>
  <si>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</si>
  <si>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</si>
  <si>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</si>
  <si>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</si>
  <si>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</si>
  <si>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</si>
  <si>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</si>
  <si>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</si>
  <si>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</si>
  <si>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</si>
  <si>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</si>
  <si>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</si>
  <si>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</si>
  <si>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</si>
  <si>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</si>
  <si>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</si>
  <si>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</si>
  <si>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</si>
  <si>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</si>
  <si>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</si>
  <si>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</si>
  <si>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</si>
  <si>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</si>
  <si>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</si>
  <si>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</si>
  <si>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</si>
  <si>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</si>
  <si>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</si>
  <si>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</si>
  <si>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</si>
  <si>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</si>
  <si>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</si>
  <si>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</si>
  <si>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</si>
  <si>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</si>
  <si>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</si>
  <si>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</si>
  <si>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</si>
  <si>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</si>
  <si>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</si>
  <si>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</si>
  <si>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</si>
  <si>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</si>
  <si>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</si>
  <si>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</si>
  <si>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</si>
  <si>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</si>
  <si>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</si>
  <si>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</si>
  <si>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</si>
  <si>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</si>
  <si>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</si>
  <si>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</si>
  <si>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</si>
  <si>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</si>
  <si>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</si>
  <si>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</si>
  <si>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</si>
  <si>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</si>
  <si>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</si>
  <si>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</si>
  <si>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</si>
  <si>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</si>
  <si>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</si>
  <si>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</si>
  <si>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</si>
  <si>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</si>
  <si>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</si>
  <si>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</si>
  <si>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</si>
  <si>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</si>
  <si>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</si>
  <si>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</si>
  <si>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</si>
  <si>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</si>
  <si>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</si>
  <si>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</si>
  <si>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</si>
  <si>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</si>
  <si>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</si>
  <si>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</si>
  <si>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</si>
  <si>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</si>
  <si>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</si>
  <si>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</si>
  <si>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</si>
  <si>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</si>
  <si>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</si>
  <si>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</si>
  <si>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</si>
  <si>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</si>
  <si>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</si>
  <si>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</si>
  <si>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</si>
  <si>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</si>
  <si>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</si>
  <si>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</si>
  <si>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</si>
  <si>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</si>
  <si>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</si>
  <si>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</si>
  <si>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</si>
  <si>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</si>
  <si>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</si>
  <si>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</si>
  <si>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</si>
  <si>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</si>
  <si>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</si>
  <si>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</si>
  <si>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</si>
  <si>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</si>
  <si>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</si>
  <si>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</si>
  <si>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</si>
  <si>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</si>
  <si>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</si>
  <si>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</si>
  <si>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</si>
  <si>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</si>
  <si>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</si>
  <si>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</si>
  <si>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</si>
  <si>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</si>
  <si>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</si>
  <si>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</si>
  <si>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</si>
  <si>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</si>
  <si>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</si>
  <si>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</si>
  <si>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</si>
  <si>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</si>
  <si>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</si>
  <si>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</si>
  <si>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</si>
  <si>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</si>
  <si>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</si>
  <si>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</si>
  <si>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</si>
  <si>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</si>
  <si>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</si>
  <si>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</si>
  <si>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</si>
  <si>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</si>
  <si>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</si>
  <si>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</si>
  <si>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</si>
  <si>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</si>
  <si>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</si>
  <si>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</si>
  <si>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</si>
  <si>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</si>
  <si>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</si>
  <si>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</si>
  <si>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</si>
  <si>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</si>
  <si>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</si>
  <si>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</si>
  <si>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</si>
  <si>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</si>
  <si>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</si>
  <si>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</si>
  <si>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</si>
  <si>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</si>
  <si>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</si>
  <si>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</si>
  <si>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</si>
  <si>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</si>
  <si>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</si>
  <si>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</si>
  <si>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</si>
  <si>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</si>
  <si>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</si>
  <si>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</si>
  <si>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</si>
  <si>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</si>
  <si>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</si>
  <si>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</si>
  <si>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</si>
  <si>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</si>
  <si>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</si>
  <si>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</si>
  <si>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</si>
  <si>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</si>
  <si>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</si>
  <si>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</si>
  <si>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</si>
  <si>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</si>
  <si>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</si>
  <si>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</si>
  <si>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</si>
  <si>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</si>
  <si>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</si>
  <si>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</si>
  <si>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</si>
  <si>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</si>
  <si>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</si>
  <si>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</si>
  <si>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</si>
  <si>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</si>
  <si>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</si>
  <si>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</si>
  <si>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</si>
  <si>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</si>
  <si>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</si>
  <si>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</si>
  <si>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</si>
  <si>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</si>
  <si>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</si>
  <si>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</si>
  <si>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</si>
  <si>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</si>
  <si>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</si>
  <si>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</si>
  <si>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</si>
  <si>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</si>
  <si>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</si>
  <si>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</si>
  <si>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</si>
  <si>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</si>
  <si>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</si>
  <si>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</si>
  <si>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</si>
  <si>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</si>
  <si>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</si>
  <si>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</si>
  <si>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</si>
  <si>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</si>
  <si>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</si>
  <si>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</si>
  <si>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</si>
  <si>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</si>
  <si>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</si>
  <si>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</si>
  <si>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</si>
  <si>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</si>
  <si>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</si>
  <si>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</si>
  <si>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</si>
  <si>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</si>
  <si>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</si>
  <si>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</si>
  <si>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</si>
  <si>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</si>
  <si>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</si>
  <si>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</si>
  <si>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</si>
  <si>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</si>
  <si>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</si>
  <si>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</si>
  <si>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</si>
  <si>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</si>
  <si>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</si>
  <si>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</si>
  <si>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</si>
  <si>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</si>
  <si>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</si>
  <si>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</si>
  <si>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</si>
  <si>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</si>
  <si>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</si>
  <si>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</si>
  <si>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</si>
  <si>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</si>
  <si>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</si>
  <si>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</si>
  <si>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</si>
  <si>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</si>
  <si>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</si>
  <si>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</si>
  <si>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</si>
  <si>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</si>
  <si>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</si>
  <si>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</si>
  <si>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</si>
  <si>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</si>
  <si>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</si>
  <si>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</si>
  <si>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</si>
  <si>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</si>
  <si>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</si>
  <si>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</si>
  <si>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</si>
  <si>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</si>
  <si>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</si>
  <si>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</si>
  <si>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</si>
  <si>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</si>
  <si>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</si>
  <si>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</si>
  <si>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</si>
  <si>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</si>
  <si>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</si>
  <si>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</si>
  <si>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</si>
  <si>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</si>
  <si>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</si>
  <si>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</si>
  <si>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</si>
  <si>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</si>
  <si>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</si>
  <si>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</si>
  <si>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</si>
  <si>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</si>
  <si>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</si>
  <si>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</si>
  <si>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</si>
  <si>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</si>
  <si>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</si>
  <si>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</si>
  <si>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</si>
  <si>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</si>
  <si>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</si>
  <si>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</si>
  <si>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</si>
  <si>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</si>
  <si>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</si>
  <si>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</si>
  <si>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</si>
  <si>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</si>
  <si>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</si>
  <si>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</si>
  <si>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</si>
  <si>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</si>
  <si>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</si>
  <si>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</si>
  <si>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</si>
  <si>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</si>
  <si>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</si>
  <si>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</si>
  <si>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</si>
  <si>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</si>
  <si>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</si>
  <si>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</si>
  <si>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</si>
  <si>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</si>
  <si>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</si>
  <si>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</si>
  <si>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</si>
  <si>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</si>
  <si>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</si>
  <si>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</si>
  <si>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</si>
  <si>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</si>
  <si>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</si>
  <si>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</si>
  <si>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</si>
  <si>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</si>
  <si>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</si>
  <si>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</si>
  <si>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</si>
  <si>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</si>
  <si>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</si>
  <si>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</si>
  <si>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</si>
  <si>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</si>
  <si>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</si>
  <si>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</si>
  <si>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</si>
  <si>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</si>
  <si>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</si>
  <si>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</si>
  <si>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</si>
  <si>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</si>
  <si>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</si>
  <si>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</si>
  <si>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</si>
  <si>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</si>
  <si>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</si>
  <si>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</si>
  <si>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</si>
  <si>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</si>
  <si>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</si>
  <si>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</si>
  <si>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</si>
  <si>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</si>
  <si>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</si>
  <si>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</si>
  <si>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</si>
  <si>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</si>
  <si>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</si>
  <si>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</si>
  <si>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</si>
  <si>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</si>
  <si>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</si>
  <si>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</si>
  <si>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</si>
  <si>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</si>
  <si>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</si>
  <si>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</si>
  <si>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</si>
  <si>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</si>
  <si>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</si>
  <si>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</si>
  <si>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</si>
  <si>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</si>
  <si>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</si>
  <si>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</si>
  <si>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</si>
  <si>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</si>
  <si>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</si>
  <si>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</si>
  <si>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</si>
  <si>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</si>
  <si>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</si>
  <si>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</si>
  <si>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</si>
  <si>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</si>
  <si>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</si>
  <si>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</si>
  <si>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</si>
  <si>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</si>
  <si>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</si>
  <si>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</si>
  <si>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</si>
  <si>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</si>
  <si>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</si>
  <si>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</si>
  <si>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</si>
  <si>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</si>
  <si>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</si>
  <si>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</si>
  <si>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</si>
  <si>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</si>
  <si>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</si>
  <si>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</si>
  <si>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</si>
  <si>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</si>
  <si>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</si>
  <si>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</si>
  <si>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</si>
  <si>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</si>
  <si>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</si>
  <si>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</si>
  <si>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</si>
  <si>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</si>
  <si>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</si>
  <si>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</si>
  <si>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</si>
  <si>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</si>
  <si>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</si>
  <si>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</si>
  <si>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</si>
  <si>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</si>
  <si>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</si>
  <si>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</si>
  <si>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</si>
  <si>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</si>
  <si>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</si>
  <si>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</si>
  <si>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</si>
  <si>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</si>
  <si>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</si>
  <si>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</si>
  <si>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</si>
  <si>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</si>
  <si>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</si>
  <si>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</si>
  <si>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</si>
  <si>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</si>
  <si>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</si>
  <si>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</si>
  <si>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</si>
  <si>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</si>
  <si>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</si>
  <si>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</si>
  <si>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</si>
  <si>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</si>
  <si>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</si>
  <si>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</si>
  <si>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</si>
  <si>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</si>
  <si>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</si>
  <si>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</si>
  <si>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</si>
  <si>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</si>
  <si>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</si>
  <si>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</si>
  <si>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</si>
  <si>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</si>
  <si>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</si>
  <si>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</si>
  <si>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</si>
  <si>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</si>
  <si>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</si>
  <si>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</si>
  <si>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</si>
  <si>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</si>
  <si>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</si>
  <si>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</si>
  <si>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</si>
  <si>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</si>
  <si>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</si>
  <si>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</si>
  <si>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</si>
  <si>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</si>
  <si>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</si>
  <si>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</si>
  <si>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</si>
  <si>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</si>
  <si>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</si>
  <si>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</si>
  <si>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</si>
  <si>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</si>
  <si>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</si>
  <si>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</si>
  <si>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</si>
  <si>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</si>
  <si>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</si>
  <si>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</si>
  <si>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</si>
  <si>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</si>
  <si>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</si>
  <si>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</si>
  <si>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</si>
  <si>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</si>
  <si>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</si>
  <si>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</si>
  <si>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</si>
  <si>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</si>
  <si>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</si>
  <si>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</si>
  <si>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</si>
  <si>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</si>
  <si>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</si>
  <si>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</si>
  <si>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</si>
  <si>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</si>
  <si>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</si>
  <si>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</si>
  <si>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</si>
  <si>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</si>
  <si>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</si>
  <si>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</si>
  <si>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</si>
  <si>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</si>
  <si>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</si>
  <si>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</si>
  <si>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</si>
  <si>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</si>
  <si>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</si>
  <si>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</si>
  <si>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</si>
  <si>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</si>
  <si>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</si>
  <si>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</si>
  <si>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</si>
  <si>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</si>
  <si>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</si>
  <si>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</si>
  <si>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</si>
  <si>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</si>
  <si>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</si>
  <si>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</si>
  <si>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</si>
  <si>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</si>
  <si>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</si>
  <si>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</si>
  <si>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</si>
  <si>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</si>
  <si>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</si>
  <si>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</si>
  <si>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</si>
  <si>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</si>
  <si>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</si>
  <si>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</si>
  <si>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</si>
  <si>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</si>
  <si>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</si>
  <si>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</si>
  <si>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</si>
  <si>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</si>
  <si>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</si>
  <si>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</si>
  <si>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</si>
  <si>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</si>
  <si>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</si>
  <si>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</si>
  <si>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</si>
  <si>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</si>
  <si>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</si>
  <si>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</si>
  <si>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</si>
  <si>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</si>
  <si>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</si>
  <si>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</si>
  <si>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</si>
  <si>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</si>
  <si>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</si>
  <si>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</si>
  <si>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</si>
  <si>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</si>
  <si>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</si>
  <si>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</si>
  <si>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</si>
  <si>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</si>
  <si>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</si>
  <si>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</si>
  <si>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</si>
  <si>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</si>
  <si>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</si>
  <si>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</si>
  <si>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</si>
  <si>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</si>
  <si>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</si>
  <si>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</si>
  <si>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</si>
  <si>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</si>
  <si>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</si>
  <si>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</si>
  <si>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</si>
  <si>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</si>
  <si>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</si>
  <si>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</si>
  <si>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</si>
  <si>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</si>
  <si>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</si>
  <si>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</si>
  <si>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</si>
  <si>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</si>
  <si>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</si>
  <si>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</si>
  <si>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</si>
  <si>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</si>
  <si>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</si>
  <si>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</si>
  <si>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</si>
  <si>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</si>
  <si>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</si>
  <si>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</si>
  <si>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</si>
  <si>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</si>
  <si>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</si>
  <si>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</si>
  <si>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</si>
  <si>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</si>
  <si>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</si>
  <si>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</si>
  <si>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</si>
  <si>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</si>
  <si>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</si>
  <si>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</si>
  <si>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</si>
  <si>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</si>
  <si>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</si>
  <si>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</si>
  <si>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</si>
  <si>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</si>
  <si>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</si>
  <si>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</si>
  <si>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</si>
  <si>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</si>
  <si>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</si>
  <si>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</si>
  <si>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</si>
  <si>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</si>
  <si>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</si>
  <si>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</si>
  <si>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</si>
  <si>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</si>
  <si>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</si>
  <si>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</si>
  <si>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</si>
  <si>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</si>
  <si>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</si>
  <si>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</si>
  <si>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</si>
  <si>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</si>
  <si>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</si>
  <si>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</si>
  <si>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</si>
  <si>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</si>
  <si>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</si>
  <si>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</si>
  <si>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</si>
  <si>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</si>
  <si>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</si>
  <si>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</si>
  <si>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</si>
  <si>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</si>
  <si>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</si>
  <si>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</si>
  <si>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</si>
  <si>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</si>
  <si>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</si>
  <si>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</si>
  <si>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</si>
  <si>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</si>
  <si>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</si>
  <si>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</si>
  <si>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</si>
  <si>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</si>
  <si>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</si>
  <si>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</si>
  <si>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</si>
  <si>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</si>
  <si>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</si>
  <si>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</si>
  <si>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</si>
  <si>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</si>
  <si>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</si>
  <si>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</si>
  <si>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</si>
  <si>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</si>
  <si>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</si>
  <si>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</si>
  <si>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</si>
  <si>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</si>
  <si>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</si>
  <si>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</si>
  <si>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</si>
  <si>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</si>
  <si>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</si>
  <si>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</si>
  <si>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</si>
  <si>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</si>
  <si>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</si>
  <si>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</si>
  <si>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</si>
  <si>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</si>
  <si>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</si>
  <si>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</si>
  <si>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</si>
  <si>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</si>
  <si>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</si>
  <si>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</si>
  <si>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</si>
  <si>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</si>
  <si>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</si>
  <si>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</si>
  <si>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</si>
  <si>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</si>
  <si>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</si>
  <si>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</si>
  <si>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</si>
  <si>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</si>
  <si>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</si>
  <si>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</si>
  <si>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</si>
  <si>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</si>
  <si>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</si>
  <si>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</si>
  <si>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</si>
  <si>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</si>
  <si>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</si>
  <si>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</si>
  <si>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</si>
  <si>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</si>
  <si>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</si>
  <si>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</si>
  <si>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</si>
  <si>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</si>
  <si>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</si>
  <si>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</si>
  <si>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</si>
  <si>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</si>
  <si>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</si>
  <si>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</si>
  <si>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</si>
  <si>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</si>
  <si>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</si>
  <si>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</si>
  <si>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</si>
  <si>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</si>
  <si>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</si>
  <si>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</si>
  <si>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</si>
  <si>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</si>
  <si>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</si>
  <si>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</si>
  <si>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</si>
  <si>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</si>
  <si>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</si>
  <si>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</si>
  <si>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</si>
  <si>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</si>
  <si>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</si>
  <si>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</si>
  <si>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</si>
  <si>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</si>
  <si>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</si>
  <si>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</si>
  <si>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</si>
  <si>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</si>
  <si>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</si>
  <si>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</si>
  <si>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</si>
  <si>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</si>
  <si>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</si>
  <si>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</si>
  <si>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</si>
  <si>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</si>
  <si>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</si>
  <si>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</si>
  <si>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</si>
  <si>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</si>
  <si>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</si>
  <si>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</si>
  <si>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</si>
  <si>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</si>
  <si>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</si>
  <si>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</si>
  <si>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</si>
  <si>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</si>
  <si>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</si>
  <si>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</si>
  <si>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</si>
  <si>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</si>
  <si>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</si>
  <si>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</si>
  <si>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</si>
  <si>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</si>
  <si>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</si>
  <si>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</si>
  <si>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</si>
  <si>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</si>
  <si>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</si>
  <si>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</si>
  <si>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</si>
  <si>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</si>
  <si>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</si>
  <si>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</si>
  <si>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</si>
  <si>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</si>
  <si>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</si>
  <si>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</si>
  <si>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</si>
  <si>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</si>
  <si>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</si>
  <si>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</si>
  <si>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</si>
  <si>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</si>
  <si>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</si>
  <si>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</si>
  <si>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</si>
  <si>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</si>
  <si>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</si>
  <si>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</si>
  <si>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</si>
  <si>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</si>
  <si>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</si>
  <si>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</si>
  <si>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</si>
  <si>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</si>
  <si>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</si>
  <si>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</si>
  <si>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</si>
  <si>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</si>
  <si>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</si>
  <si>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</si>
  <si>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</si>
  <si>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</si>
  <si>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</si>
  <si>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</si>
  <si>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</si>
  <si>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</si>
  <si>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</si>
  <si>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</si>
  <si>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</si>
  <si>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</si>
  <si>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</si>
  <si>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</si>
  <si>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</si>
  <si>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</si>
  <si>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</si>
  <si>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</si>
  <si>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</si>
  <si>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</si>
  <si>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</si>
  <si>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</si>
  <si>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</si>
  <si>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</si>
  <si>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</si>
  <si>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</si>
  <si>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</si>
  <si>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</si>
  <si>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</si>
  <si>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</si>
  <si>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</si>
  <si>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</si>
  <si>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</si>
  <si>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</si>
  <si>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</si>
  <si>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</si>
  <si>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</si>
  <si>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</si>
  <si>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</si>
  <si>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</si>
  <si>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</si>
  <si>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</si>
  <si>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</si>
  <si>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</si>
  <si>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</si>
  <si>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</si>
  <si>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</si>
  <si>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</si>
  <si>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</si>
  <si>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</si>
  <si>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</si>
  <si>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</si>
  <si>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</si>
  <si>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</si>
  <si>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</si>
  <si>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</si>
  <si>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</si>
  <si>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</si>
  <si>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</si>
  <si>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</si>
  <si>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</si>
  <si>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</si>
  <si>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</si>
  <si>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</si>
  <si>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</si>
  <si>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01/15/07</t>
  </si>
  <si>
    <t>12/22/04</t>
  </si>
  <si>
    <t>08/15/03</t>
  </si>
  <si>
    <t>08/27</t>
  </si>
  <si>
    <t>01/25</t>
  </si>
  <si>
    <t>08/24</t>
  </si>
  <si>
    <t>09/19</t>
  </si>
  <si>
    <t>09/34</t>
  </si>
  <si>
    <t>08/21</t>
  </si>
  <si>
    <t>08/26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</si>
</sst>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2" zoomScaleNormal="100" zoomScaleSheetLayoutView="10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1006</v>
      </c>
      <c r="B2">
        <f>INDEX('School Tables'!$AH$3:$AH$209,MATCH('DOE25'!A2,'School Tables'!$AJ$3:$AJ$209,0))</f>
        <v>142</v>
      </c>
      <c r="C2">
        <f>INDEX('School Tables'!$AI$3:$AI$209,MATCH('DOE25'!A2,'School Tables'!$AJ$3:$AJ$209,0))</f>
        <v>0</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400+200-407853.22+18823.88-507285.53</f>
        <v>-895714.87</v>
      </c>
      <c r="G9" s="18"/>
      <c r="H9" s="18">
        <v>477332.89</v>
      </c>
      <c r="I9" s="18"/>
      <c r="J9" s="13">
        <f>SUM(I440)</f>
        <v>42365</v>
      </c>
      <c r="K9" s="23" t="s">
        <v>288</v>
      </c>
      <c r="L9" s="23" t="s">
        <v>288</v>
      </c>
      <c r="M9" s="8"/>
      <c r="N9" s="165"/>
    </row>
    <row r="10" spans="1:14" s="3" customFormat="1" ht="12.2" customHeight="1" x14ac:dyDescent="0.15">
      <c r="A10" s="1" t="s">
        <v>562</v>
      </c>
      <c r="B10" s="2" t="s">
        <v>289</v>
      </c>
      <c r="C10" s="6">
        <v>2</v>
      </c>
      <c r="D10" s="2" t="s">
        <v>428</v>
      </c>
      <c r="E10" s="6">
        <v>110</v>
      </c>
      <c r="F10" s="18">
        <v>1919481.94</v>
      </c>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c r="G12" s="18"/>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f>10553+456362.97</f>
        <v>466915.97</v>
      </c>
      <c r="G13" s="18"/>
      <c r="H13" s="18">
        <v>42968.1</v>
      </c>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f>2992.29+9.8+6211.56-7036.69</f>
        <v>2176.9600000000019</v>
      </c>
      <c r="G14" s="18"/>
      <c r="H14" s="18">
        <v>-646.45000000000005</v>
      </c>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v>149423.09</v>
      </c>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1642283.09</v>
      </c>
      <c r="G19" s="38">
        <f>SUM(G9:G18)</f>
        <v>0</v>
      </c>
      <c r="H19" s="38">
        <f>SUM(H9:H18)</f>
        <v>519654.54</v>
      </c>
      <c r="I19" s="38">
        <f>SUM(I9:I18)</f>
        <v>0</v>
      </c>
      <c r="J19" s="38">
        <f>SUM(J9:J18)</f>
        <v>42365</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1285783.7</v>
      </c>
      <c r="G22" s="18">
        <v>-94362.51</v>
      </c>
      <c r="H22" s="18">
        <v>-135.18</v>
      </c>
      <c r="I22" s="18">
        <v>-1744436.27</v>
      </c>
      <c r="J22" s="13">
        <f>SUM(I449)</f>
        <v>0</v>
      </c>
      <c r="K22" s="23" t="s">
        <v>288</v>
      </c>
      <c r="L22" s="23" t="s">
        <v>288</v>
      </c>
      <c r="M22" s="8"/>
      <c r="N22" s="165"/>
    </row>
    <row r="23" spans="1:14" s="3" customFormat="1" ht="12.2" customHeight="1" x14ac:dyDescent="0.15">
      <c r="A23" s="1" t="s">
        <v>607</v>
      </c>
      <c r="B23" s="2" t="s">
        <v>289</v>
      </c>
      <c r="C23" s="6">
        <v>13</v>
      </c>
      <c r="D23" s="2" t="s">
        <v>429</v>
      </c>
      <c r="E23" s="6">
        <v>410</v>
      </c>
      <c r="F23" s="18">
        <f>1212548.72+9026.86</f>
        <v>1221575.58</v>
      </c>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c r="G24" s="18">
        <v>251342.4</v>
      </c>
      <c r="H24" s="18">
        <v>16545.150000000001</v>
      </c>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v>304.93</v>
      </c>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f>-39663.7-3761.85</f>
        <v>-43425.549999999996</v>
      </c>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v>-167050.72</v>
      </c>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v>-1578300</v>
      </c>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885938.66000000061</v>
      </c>
      <c r="G32" s="38">
        <f>SUM(G22:G31)</f>
        <v>-10070.829999999987</v>
      </c>
      <c r="H32" s="38">
        <f>SUM(H22:H31)</f>
        <v>16409.97</v>
      </c>
      <c r="I32" s="38">
        <f>SUM(I22:I31)</f>
        <v>-1744436.27</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v>26012.06</v>
      </c>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v>503244.57</v>
      </c>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v>60917</v>
      </c>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269415.37</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c r="I48" s="18"/>
      <c r="J48" s="13">
        <f>SUM(I460)</f>
        <v>42365</v>
      </c>
      <c r="K48" s="23" t="s">
        <v>288</v>
      </c>
      <c r="L48" s="23" t="s">
        <v>288</v>
      </c>
      <c r="M48" s="8"/>
      <c r="N48" s="165"/>
    </row>
    <row r="49" spans="1:14" s="3" customFormat="1" ht="12.2" customHeight="1" x14ac:dyDescent="0.15">
      <c r="A49" s="1" t="s">
        <v>858</v>
      </c>
      <c r="B49" s="2" t="s">
        <v>289</v>
      </c>
      <c r="C49" s="6">
        <v>34</v>
      </c>
      <c r="D49" s="2"/>
      <c r="E49" s="6">
        <v>753</v>
      </c>
      <c r="F49" s="18"/>
      <c r="G49" s="18">
        <v>10070.83</v>
      </c>
      <c r="H49" s="18"/>
      <c r="I49" s="18">
        <v>1744436.27</v>
      </c>
      <c r="J49" s="13">
        <f>I455</f>
        <v>0</v>
      </c>
      <c r="K49" s="23"/>
      <c r="L49" s="23"/>
      <c r="M49" s="8"/>
      <c r="N49" s="165"/>
    </row>
    <row r="50" spans="1:14" s="3" customFormat="1" ht="12.2" customHeight="1" thickBot="1" x14ac:dyDescent="0.2">
      <c r="A50" s="28" t="s">
        <v>839</v>
      </c>
      <c r="B50" s="2" t="s">
        <v>289</v>
      </c>
      <c r="C50" s="56">
        <v>35</v>
      </c>
      <c r="D50" s="2" t="s">
        <v>653</v>
      </c>
      <c r="E50" s="6">
        <v>770</v>
      </c>
      <c r="F50" s="18">
        <v>400000</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756344.42999999993</v>
      </c>
      <c r="G51" s="38">
        <f>SUM(G35:G50)</f>
        <v>10070.83</v>
      </c>
      <c r="H51" s="38">
        <f>SUM(H35:H50)</f>
        <v>503244.57</v>
      </c>
      <c r="I51" s="38">
        <f>SUM(I35:I50)</f>
        <v>1744436.27</v>
      </c>
      <c r="J51" s="38">
        <f>SUM(J35:J50)</f>
        <v>42365</v>
      </c>
      <c r="K51" s="42" t="s">
        <v>288</v>
      </c>
      <c r="L51" s="42" t="s">
        <v>288</v>
      </c>
      <c r="N51" s="131"/>
    </row>
    <row r="52" spans="1:14" s="3" customFormat="1" ht="12.2" customHeight="1" thickTop="1" x14ac:dyDescent="0.15">
      <c r="A52" s="35" t="s">
        <v>455</v>
      </c>
      <c r="B52" s="36" t="s">
        <v>289</v>
      </c>
      <c r="C52" s="6">
        <v>37</v>
      </c>
      <c r="D52" s="36" t="s">
        <v>653</v>
      </c>
      <c r="E52" s="36"/>
      <c r="F52" s="38">
        <f>F51+F32</f>
        <v>1642283.0900000005</v>
      </c>
      <c r="G52" s="38">
        <f>G51+G32</f>
        <v>0</v>
      </c>
      <c r="H52" s="38">
        <f>H51+H32</f>
        <v>519654.54000000004</v>
      </c>
      <c r="I52" s="38">
        <f>I51+I32</f>
        <v>0</v>
      </c>
      <c r="J52" s="38">
        <f>J51+J32</f>
        <v>42365</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f>15366771+8430819+626639+1682381</f>
        <v>26106610</v>
      </c>
      <c r="G57" s="18"/>
      <c r="H57" s="18"/>
      <c r="I57" s="18"/>
      <c r="J57" s="18">
        <v>-3510</v>
      </c>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26106610</v>
      </c>
      <c r="G60" s="38">
        <f>SUM(G57:G59)</f>
        <v>0</v>
      </c>
      <c r="H60" s="38">
        <f>SUM(H57:H59)</f>
        <v>0</v>
      </c>
      <c r="I60" s="38">
        <f>SUM(I57:I59)</f>
        <v>0</v>
      </c>
      <c r="J60" s="38">
        <f>SUM(J57:J59)</f>
        <v>-3510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226902.52</v>
      </c>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1558185.81</v>
      </c>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v>814876.78</v>
      </c>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2599965.1100000003</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39558.730000000003</v>
      </c>
      <c r="G96" s="18"/>
      <c r="H96" s="18">
        <v>2272.39</v>
      </c>
      <c r="I96" s="18"/>
      <c r="J96" s="18"/>
      <c r="K96" s="23" t="s">
        <v>288</v>
      </c>
      <c r="L96" s="23" t="s">
        <v>288</v>
      </c>
      <c r="M96" s="8"/>
      <c r="N96" s="165"/>
    </row>
    <row r="97" spans="1:14" s="3" customFormat="1" ht="12.2" customHeight="1" x14ac:dyDescent="0.15">
      <c r="A97" s="1" t="s">
        <v>503</v>
      </c>
      <c r="B97" s="2" t="s">
        <v>315</v>
      </c>
      <c r="C97" s="6">
        <v>12</v>
      </c>
      <c r="D97" s="2" t="s">
        <v>430</v>
      </c>
      <c r="E97" s="6">
        <v>1600</v>
      </c>
      <c r="F97" s="23" t="s">
        <v>288</v>
      </c>
      <c r="G97" s="18">
        <f>1022273.74-68448.65</f>
        <v>953825.09</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v>125995.02</v>
      </c>
      <c r="G98" s="23" t="s">
        <v>288</v>
      </c>
      <c r="H98" s="18">
        <f>220238.25+313396.75+88817.57+23752.44</f>
        <v>646205.01</v>
      </c>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33550</v>
      </c>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v>19100</v>
      </c>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95689.19</v>
      </c>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f>1700+100000+97711.76</f>
        <v>199411.76</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494204.7</v>
      </c>
      <c r="G111" s="38">
        <f>SUM(G96:G110)</f>
        <v>953825.09</v>
      </c>
      <c r="H111" s="38">
        <f>SUM(H96:H110)</f>
        <v>667577.4</v>
      </c>
      <c r="I111" s="38">
        <f>SUM(I96:I110)</f>
        <v>0</v>
      </c>
      <c r="J111" s="38">
        <f>SUM(J96:J110)</f>
        <v>0</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29200779.809999999</v>
      </c>
      <c r="G112" s="38">
        <f>G60+G111</f>
        <v>953825.09</v>
      </c>
      <c r="H112" s="38">
        <f>H60+H79+H94+H111</f>
        <v>667577.4</v>
      </c>
      <c r="I112" s="38">
        <f>I60+I111</f>
        <v>0</v>
      </c>
      <c r="J112" s="38">
        <f>J60+J111</f>
        <v>-3510</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0</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2037.11</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2037.11</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332377.09999999998</v>
      </c>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v>34315.53</v>
      </c>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1802.4</v>
      </c>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368495.03</v>
      </c>
      <c r="G136" s="38">
        <f>SUM(G123:G135)</f>
        <v>0</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370532.14</v>
      </c>
      <c r="G140" s="38">
        <f>G121+SUM(G136:G137)</f>
        <v>0</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36455.97</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f>43103.18+25426.83+4335+237.81</f>
        <v>73102.820000000007</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193537.1</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f>43031.6+50950</f>
        <v>93981.6</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0</v>
      </c>
      <c r="G163" s="38">
        <f>SUM(G150:G162)</f>
        <v>0</v>
      </c>
      <c r="H163" s="38">
        <f>SUM(H150:H162)</f>
        <v>397077.49</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0</v>
      </c>
      <c r="G170" s="38">
        <f>G147+G163+SUM(G164:G169)</f>
        <v>0</v>
      </c>
      <c r="H170" s="38">
        <f>H147+H163+SUM(H164:H169)</f>
        <v>397077.49</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v>1837000</v>
      </c>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1837000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68448.649999999994</v>
      </c>
      <c r="H180" s="18"/>
      <c r="I180" s="18">
        <v>1837000</v>
      </c>
      <c r="J180" s="18"/>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68448.649999999994</v>
      </c>
      <c r="H184" s="38">
        <f>SUM(H180:H183)</f>
        <v>0</v>
      </c>
      <c r="I184" s="38">
        <f>SUM(I180:I183)</f>
        <v>1837000</v>
      </c>
      <c r="J184" s="38">
        <f>SUM(J180:J183)</f>
        <v>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1837000</v>
      </c>
      <c r="G193" s="38">
        <f>G184+SUM(G189:G192)</f>
        <v>68448.649999999994</v>
      </c>
      <c r="H193" s="38">
        <f>+H184+SUM(H189:H192)</f>
        <v>0</v>
      </c>
      <c r="I193" s="38">
        <f>I178+I184+SUM(I189:I192)</f>
        <v>1837000</v>
      </c>
      <c r="J193" s="38">
        <f>J184</f>
        <v>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31408311.949999999</v>
      </c>
      <c r="G194" s="38">
        <f>G112+G140+G170+G193</f>
        <v>1022273.74</v>
      </c>
      <c r="H194" s="38">
        <f>H112+H140+H170+H193</f>
        <v>1064654.8900000001</v>
      </c>
      <c r="I194" s="38">
        <f>I112+I140+I170+I193</f>
        <v>1837000</v>
      </c>
      <c r="J194" s="38">
        <f>J112+J140+J193</f>
        <v>-3510</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f>3131444.67</f>
        <v>3131444.67</v>
      </c>
      <c r="G198" s="18">
        <v>1289544.1100000001</v>
      </c>
      <c r="H198" s="18">
        <v>131594.42000000001</v>
      </c>
      <c r="I198" s="18">
        <v>66552.009999999995</v>
      </c>
      <c r="J198" s="18">
        <v>131234.41</v>
      </c>
      <c r="K198" s="18">
        <v>-1911.77</v>
      </c>
      <c r="L198" s="13">
        <f>SUM(F198:K198)</f>
        <v>4748457.8500000006</v>
      </c>
      <c r="M198" s="8"/>
      <c r="N198" s="165"/>
    </row>
    <row r="199" spans="1:14" s="3" customFormat="1" ht="12.2" customHeight="1" x14ac:dyDescent="0.15">
      <c r="A199" s="1" t="s">
        <v>439</v>
      </c>
      <c r="B199" s="2" t="s">
        <v>341</v>
      </c>
      <c r="C199" s="2" t="s">
        <v>291</v>
      </c>
      <c r="D199" s="2" t="s">
        <v>431</v>
      </c>
      <c r="E199" s="6">
        <v>1200</v>
      </c>
      <c r="F199" s="18">
        <v>992511.22</v>
      </c>
      <c r="G199" s="18">
        <v>652539.56000000006</v>
      </c>
      <c r="H199" s="18">
        <v>6101.33</v>
      </c>
      <c r="I199" s="18">
        <v>2812.75</v>
      </c>
      <c r="J199" s="18">
        <v>1000.99</v>
      </c>
      <c r="K199" s="18">
        <v>270</v>
      </c>
      <c r="L199" s="13">
        <f>SUM(F199:K199)</f>
        <v>1655235.85</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v>25441.87</v>
      </c>
      <c r="G201" s="18">
        <v>4184.01</v>
      </c>
      <c r="H201" s="18">
        <v>6592.5</v>
      </c>
      <c r="I201" s="18"/>
      <c r="J201" s="18"/>
      <c r="K201" s="18"/>
      <c r="L201" s="13">
        <f>SUM(F201:K201)</f>
        <v>36218.379999999997</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275643.43</v>
      </c>
      <c r="G203" s="18">
        <v>141992.12</v>
      </c>
      <c r="H203" s="18">
        <v>1460.28</v>
      </c>
      <c r="I203" s="18">
        <v>5633.35</v>
      </c>
      <c r="J203" s="18"/>
      <c r="K203" s="18">
        <v>150</v>
      </c>
      <c r="L203" s="13">
        <f t="shared" ref="L203:L209" si="0">SUM(F203:K203)</f>
        <v>424879.18</v>
      </c>
      <c r="M203" s="8"/>
      <c r="N203" s="165"/>
    </row>
    <row r="204" spans="1:14" s="3" customFormat="1" ht="12.2" customHeight="1" x14ac:dyDescent="0.15">
      <c r="A204" s="1" t="s">
        <v>443</v>
      </c>
      <c r="B204" s="2" t="s">
        <v>341</v>
      </c>
      <c r="C204" s="2" t="s">
        <v>295</v>
      </c>
      <c r="D204" s="2" t="s">
        <v>431</v>
      </c>
      <c r="E204" s="6">
        <v>2200</v>
      </c>
      <c r="F204" s="18">
        <v>129311.46</v>
      </c>
      <c r="G204" s="18">
        <v>108809.39</v>
      </c>
      <c r="H204" s="18">
        <v>787.95</v>
      </c>
      <c r="I204" s="18">
        <v>23426.31</v>
      </c>
      <c r="J204" s="18">
        <v>2471.2600000000002</v>
      </c>
      <c r="K204" s="18"/>
      <c r="L204" s="13">
        <f t="shared" si="0"/>
        <v>264806.37000000005</v>
      </c>
      <c r="M204" s="8"/>
      <c r="N204" s="165"/>
    </row>
    <row r="205" spans="1:14" s="3" customFormat="1" ht="12.2" customHeight="1" x14ac:dyDescent="0.15">
      <c r="A205" s="1" t="s">
        <v>444</v>
      </c>
      <c r="B205" s="2" t="s">
        <v>341</v>
      </c>
      <c r="C205" s="2" t="s">
        <v>296</v>
      </c>
      <c r="D205" s="2" t="s">
        <v>431</v>
      </c>
      <c r="E205" s="6">
        <v>2300</v>
      </c>
      <c r="F205" s="18">
        <v>4882.1899999999996</v>
      </c>
      <c r="G205" s="18">
        <v>379.67</v>
      </c>
      <c r="H205" s="18">
        <v>441994.33</v>
      </c>
      <c r="I205" s="18"/>
      <c r="J205" s="18"/>
      <c r="K205" s="18">
        <v>3177.44</v>
      </c>
      <c r="L205" s="13">
        <f t="shared" si="0"/>
        <v>450433.63</v>
      </c>
      <c r="M205" s="8"/>
      <c r="N205" s="165"/>
    </row>
    <row r="206" spans="1:14" s="3" customFormat="1" ht="12.2" customHeight="1" x14ac:dyDescent="0.15">
      <c r="A206" s="1" t="s">
        <v>445</v>
      </c>
      <c r="B206" s="2" t="s">
        <v>341</v>
      </c>
      <c r="C206" s="2" t="s">
        <v>297</v>
      </c>
      <c r="D206" s="2" t="s">
        <v>431</v>
      </c>
      <c r="E206" s="6">
        <v>2400</v>
      </c>
      <c r="F206" s="18">
        <v>341346.95</v>
      </c>
      <c r="G206" s="18">
        <v>278600.98</v>
      </c>
      <c r="H206" s="18">
        <v>21742.79</v>
      </c>
      <c r="I206" s="18">
        <v>3000.93</v>
      </c>
      <c r="J206" s="18"/>
      <c r="K206" s="18">
        <v>344</v>
      </c>
      <c r="L206" s="13">
        <f t="shared" si="0"/>
        <v>645035.65</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v>334002.96000000002</v>
      </c>
      <c r="G208" s="18">
        <v>177232.21</v>
      </c>
      <c r="H208" s="18">
        <v>174339.61</v>
      </c>
      <c r="I208" s="18">
        <v>108187.78</v>
      </c>
      <c r="J208" s="18">
        <v>1401.09</v>
      </c>
      <c r="K208" s="18">
        <v>-28267.72</v>
      </c>
      <c r="L208" s="13">
        <f t="shared" si="0"/>
        <v>766895.93</v>
      </c>
      <c r="M208" s="8"/>
      <c r="N208" s="165"/>
    </row>
    <row r="209" spans="1:14" s="3" customFormat="1" ht="12.2" customHeight="1" x14ac:dyDescent="0.15">
      <c r="A209" s="1" t="s">
        <v>448</v>
      </c>
      <c r="B209" s="2" t="s">
        <v>341</v>
      </c>
      <c r="C209" s="2" t="s">
        <v>300</v>
      </c>
      <c r="D209" s="2" t="s">
        <v>431</v>
      </c>
      <c r="E209" s="6">
        <v>2700</v>
      </c>
      <c r="F209" s="18"/>
      <c r="G209" s="18"/>
      <c r="H209" s="18">
        <v>23538.54</v>
      </c>
      <c r="I209" s="18"/>
      <c r="J209" s="18"/>
      <c r="K209" s="18"/>
      <c r="L209" s="13">
        <f t="shared" si="0"/>
        <v>23538.54</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5234584.75</v>
      </c>
      <c r="G212" s="38">
        <f t="shared" si="1"/>
        <v>2653282.0500000003</v>
      </c>
      <c r="H212" s="38">
        <f t="shared" si="1"/>
        <v>808151.75000000012</v>
      </c>
      <c r="I212" s="38">
        <f t="shared" si="1"/>
        <v>209613.13</v>
      </c>
      <c r="J212" s="38">
        <f t="shared" si="1"/>
        <v>136107.75</v>
      </c>
      <c r="K212" s="38">
        <f t="shared" si="1"/>
        <v>-26238.050000000003</v>
      </c>
      <c r="L212" s="38">
        <f t="shared" si="1"/>
        <v>9015501.3800000008</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v>5165975.6100000003</v>
      </c>
      <c r="G234" s="18">
        <v>1856382.77</v>
      </c>
      <c r="H234" s="18">
        <v>166646.82</v>
      </c>
      <c r="I234" s="18">
        <v>140872.32999999999</v>
      </c>
      <c r="J234" s="18">
        <v>271452.46000000002</v>
      </c>
      <c r="K234" s="18">
        <v>11080.45</v>
      </c>
      <c r="L234" s="13">
        <f>SUM(F234:K234)</f>
        <v>7612410.4400000013</v>
      </c>
      <c r="M234" s="8"/>
      <c r="N234" s="165"/>
    </row>
    <row r="235" spans="1:14" s="3" customFormat="1" ht="12.2" customHeight="1" x14ac:dyDescent="0.15">
      <c r="A235" s="1" t="s">
        <v>439</v>
      </c>
      <c r="B235" s="2" t="s">
        <v>350</v>
      </c>
      <c r="C235" s="2" t="s">
        <v>291</v>
      </c>
      <c r="D235" s="2" t="s">
        <v>431</v>
      </c>
      <c r="E235" s="6">
        <v>1200</v>
      </c>
      <c r="F235" s="18">
        <v>969544.61</v>
      </c>
      <c r="G235" s="18">
        <v>524051.39</v>
      </c>
      <c r="H235" s="18">
        <v>11369.84</v>
      </c>
      <c r="I235" s="18">
        <v>6053.38</v>
      </c>
      <c r="J235" s="18">
        <v>8189.75</v>
      </c>
      <c r="K235" s="18">
        <v>2329.25</v>
      </c>
      <c r="L235" s="13">
        <f>SUM(F235:K235)</f>
        <v>1521538.22</v>
      </c>
      <c r="M235" s="8"/>
      <c r="N235" s="165"/>
    </row>
    <row r="236" spans="1:14" s="3" customFormat="1" ht="12.2" customHeight="1" x14ac:dyDescent="0.15">
      <c r="A236" s="1" t="s">
        <v>440</v>
      </c>
      <c r="B236" s="2" t="s">
        <v>350</v>
      </c>
      <c r="C236" s="2" t="s">
        <v>292</v>
      </c>
      <c r="D236" s="2" t="s">
        <v>431</v>
      </c>
      <c r="E236" s="6">
        <v>1300</v>
      </c>
      <c r="F236" s="18"/>
      <c r="G236" s="18"/>
      <c r="H236" s="18">
        <v>141905.79999999999</v>
      </c>
      <c r="I236" s="18"/>
      <c r="J236" s="18"/>
      <c r="K236" s="18"/>
      <c r="L236" s="13">
        <f>SUM(F236:K236)</f>
        <v>141905.79999999999</v>
      </c>
      <c r="M236" s="8"/>
      <c r="N236" s="165"/>
    </row>
    <row r="237" spans="1:14" s="3" customFormat="1" ht="12.2" customHeight="1" x14ac:dyDescent="0.15">
      <c r="A237" s="1" t="s">
        <v>441</v>
      </c>
      <c r="B237" s="2" t="s">
        <v>350</v>
      </c>
      <c r="C237" s="2" t="s">
        <v>293</v>
      </c>
      <c r="D237" s="2" t="s">
        <v>431</v>
      </c>
      <c r="E237" s="6">
        <v>1400</v>
      </c>
      <c r="F237" s="18">
        <v>588033.06999999995</v>
      </c>
      <c r="G237" s="18">
        <v>172831.07</v>
      </c>
      <c r="H237" s="18">
        <v>168148.4</v>
      </c>
      <c r="I237" s="18">
        <v>28206.67</v>
      </c>
      <c r="J237" s="18">
        <v>44411.83</v>
      </c>
      <c r="K237" s="18">
        <v>9706.67</v>
      </c>
      <c r="L237" s="13">
        <f>SUM(F237:K237)</f>
        <v>1011337.71</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v>883228.1</v>
      </c>
      <c r="G239" s="18">
        <v>379311.79</v>
      </c>
      <c r="H239" s="18">
        <v>15736.52</v>
      </c>
      <c r="I239" s="18">
        <v>6128.43</v>
      </c>
      <c r="J239" s="18">
        <v>167.58</v>
      </c>
      <c r="K239" s="18">
        <v>475</v>
      </c>
      <c r="L239" s="13">
        <f t="shared" ref="L239:L245" si="4">SUM(F239:K239)</f>
        <v>1285047.42</v>
      </c>
      <c r="M239" s="8"/>
      <c r="N239" s="165"/>
    </row>
    <row r="240" spans="1:14" s="3" customFormat="1" ht="12.2" customHeight="1" x14ac:dyDescent="0.15">
      <c r="A240" s="1" t="s">
        <v>443</v>
      </c>
      <c r="B240" s="2" t="s">
        <v>350</v>
      </c>
      <c r="C240" s="2" t="s">
        <v>295</v>
      </c>
      <c r="D240" s="2" t="s">
        <v>431</v>
      </c>
      <c r="E240" s="6">
        <v>2200</v>
      </c>
      <c r="F240" s="18">
        <v>174502.61</v>
      </c>
      <c r="G240" s="18">
        <v>121650.86</v>
      </c>
      <c r="H240" s="18">
        <v>16938.509999999998</v>
      </c>
      <c r="I240" s="18">
        <v>53147</v>
      </c>
      <c r="J240" s="18">
        <v>174504</v>
      </c>
      <c r="K240" s="18">
        <v>623</v>
      </c>
      <c r="L240" s="13">
        <f t="shared" si="4"/>
        <v>541365.98</v>
      </c>
      <c r="M240" s="8"/>
      <c r="N240" s="165"/>
    </row>
    <row r="241" spans="1:14" s="3" customFormat="1" ht="12.2" customHeight="1" x14ac:dyDescent="0.15">
      <c r="A241" s="1" t="s">
        <v>444</v>
      </c>
      <c r="B241" s="2" t="s">
        <v>350</v>
      </c>
      <c r="C241" s="2" t="s">
        <v>296</v>
      </c>
      <c r="D241" s="2" t="s">
        <v>431</v>
      </c>
      <c r="E241" s="6">
        <v>2300</v>
      </c>
      <c r="F241" s="18">
        <v>8934.81</v>
      </c>
      <c r="G241" s="18">
        <v>694.82</v>
      </c>
      <c r="H241" s="18">
        <v>808886.55</v>
      </c>
      <c r="I241" s="18"/>
      <c r="J241" s="18"/>
      <c r="K241" s="18">
        <v>5814.99</v>
      </c>
      <c r="L241" s="13">
        <f t="shared" si="4"/>
        <v>824331.17</v>
      </c>
      <c r="M241" s="8"/>
      <c r="N241" s="165"/>
    </row>
    <row r="242" spans="1:14" s="3" customFormat="1" ht="12.2" customHeight="1" x14ac:dyDescent="0.15">
      <c r="A242" s="1" t="s">
        <v>445</v>
      </c>
      <c r="B242" s="2" t="s">
        <v>350</v>
      </c>
      <c r="C242" s="2" t="s">
        <v>297</v>
      </c>
      <c r="D242" s="2" t="s">
        <v>431</v>
      </c>
      <c r="E242" s="6">
        <v>2400</v>
      </c>
      <c r="F242" s="18">
        <v>889915.05</v>
      </c>
      <c r="G242" s="18">
        <v>744271.77</v>
      </c>
      <c r="H242" s="18">
        <v>44068.34</v>
      </c>
      <c r="I242" s="18">
        <v>24352.12</v>
      </c>
      <c r="J242" s="18">
        <v>770.96</v>
      </c>
      <c r="K242" s="18">
        <v>3033</v>
      </c>
      <c r="L242" s="13">
        <f t="shared" si="4"/>
        <v>1706411.2400000002</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v>404074.9</v>
      </c>
      <c r="G244" s="18">
        <v>202561.17</v>
      </c>
      <c r="H244" s="18">
        <v>683131.34</v>
      </c>
      <c r="I244" s="18">
        <v>267930.84000000003</v>
      </c>
      <c r="J244" s="18">
        <v>3919.94</v>
      </c>
      <c r="K244" s="18">
        <v>-51732.28</v>
      </c>
      <c r="L244" s="13">
        <f t="shared" si="4"/>
        <v>1509885.9100000001</v>
      </c>
      <c r="M244" s="8"/>
      <c r="N244" s="165"/>
    </row>
    <row r="245" spans="1:14" s="3" customFormat="1" ht="12.2" customHeight="1" x14ac:dyDescent="0.15">
      <c r="A245" s="1" t="s">
        <v>448</v>
      </c>
      <c r="B245" s="2" t="s">
        <v>350</v>
      </c>
      <c r="C245" s="2" t="s">
        <v>300</v>
      </c>
      <c r="D245" s="2" t="s">
        <v>431</v>
      </c>
      <c r="E245" s="6">
        <v>2700</v>
      </c>
      <c r="F245" s="18"/>
      <c r="G245" s="18"/>
      <c r="H245" s="18">
        <v>236018.3</v>
      </c>
      <c r="I245" s="18"/>
      <c r="J245" s="18"/>
      <c r="K245" s="18"/>
      <c r="L245" s="13">
        <f t="shared" si="4"/>
        <v>236018.3</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9084208.7600000016</v>
      </c>
      <c r="G248" s="38">
        <f t="shared" si="5"/>
        <v>4001755.6399999997</v>
      </c>
      <c r="H248" s="38">
        <f t="shared" si="5"/>
        <v>2292850.42</v>
      </c>
      <c r="I248" s="38">
        <f t="shared" si="5"/>
        <v>526690.77</v>
      </c>
      <c r="J248" s="38">
        <f t="shared" si="5"/>
        <v>503416.52000000008</v>
      </c>
      <c r="K248" s="38">
        <f t="shared" si="5"/>
        <v>-18669.919999999998</v>
      </c>
      <c r="L248" s="38">
        <f t="shared" si="5"/>
        <v>16390252.190000003</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v>184790.51</v>
      </c>
      <c r="I256" s="18"/>
      <c r="J256" s="18"/>
      <c r="K256" s="18"/>
      <c r="L256" s="13">
        <f t="shared" si="6"/>
        <v>184790.51</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184790.51</v>
      </c>
      <c r="I257" s="38">
        <f t="shared" si="7"/>
        <v>0</v>
      </c>
      <c r="J257" s="38">
        <f t="shared" si="7"/>
        <v>0</v>
      </c>
      <c r="K257" s="38">
        <f t="shared" si="7"/>
        <v>0</v>
      </c>
      <c r="L257" s="38">
        <f>SUM(F257:K257)</f>
        <v>184790.51</v>
      </c>
      <c r="M257" s="8"/>
      <c r="N257" s="165"/>
    </row>
    <row r="258" spans="1:14" s="3" customFormat="1" ht="12.2" customHeight="1" thickTop="1" x14ac:dyDescent="0.15">
      <c r="A258" s="35" t="s">
        <v>462</v>
      </c>
      <c r="B258" s="37">
        <v>10</v>
      </c>
      <c r="C258" s="37">
        <v>8</v>
      </c>
      <c r="D258" s="36" t="s">
        <v>431</v>
      </c>
      <c r="E258" s="37"/>
      <c r="F258" s="38">
        <f t="shared" ref="F258:L258" si="8">F212+F230+F248+F257</f>
        <v>14318793.510000002</v>
      </c>
      <c r="G258" s="38">
        <f t="shared" si="8"/>
        <v>6655037.6899999995</v>
      </c>
      <c r="H258" s="38">
        <f t="shared" si="8"/>
        <v>3285792.6799999997</v>
      </c>
      <c r="I258" s="38">
        <f t="shared" si="8"/>
        <v>736303.9</v>
      </c>
      <c r="J258" s="38">
        <f t="shared" si="8"/>
        <v>639524.27</v>
      </c>
      <c r="K258" s="38">
        <f t="shared" si="8"/>
        <v>-44907.97</v>
      </c>
      <c r="L258" s="38">
        <f t="shared" si="8"/>
        <v>25590544.080000006</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2028644.44</v>
      </c>
      <c r="L261" s="13">
        <f>SUM(F261:K261)</f>
        <v>2028644.44</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1590965.48</v>
      </c>
      <c r="L262" s="13">
        <f>SUM(F262:K262)</f>
        <v>1590965.48</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68448.649999999994</v>
      </c>
      <c r="L264" s="13">
        <f>SUM(F264:K264)</f>
        <v>68448.649999999994</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v>1837000</v>
      </c>
      <c r="L266" s="13">
        <f t="shared" si="9"/>
        <v>1837000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5525058.5700000003</v>
      </c>
      <c r="L271" s="38">
        <f t="shared" si="9"/>
        <v>5525058.5700000003</v>
      </c>
      <c r="M271" s="8"/>
      <c r="N271" s="165"/>
    </row>
    <row r="272" spans="1:14" s="33" customFormat="1" ht="12.2" customHeight="1" thickTop="1" x14ac:dyDescent="0.2">
      <c r="A272" s="40" t="s">
        <v>464</v>
      </c>
      <c r="B272" s="37">
        <v>10</v>
      </c>
      <c r="C272" s="37">
        <v>18</v>
      </c>
      <c r="D272" s="36" t="s">
        <v>431</v>
      </c>
      <c r="E272" s="37"/>
      <c r="F272" s="39">
        <f t="shared" ref="F272:L272" si="11">F258+F271</f>
        <v>14318793.510000002</v>
      </c>
      <c r="G272" s="39">
        <f t="shared" si="11"/>
        <v>6655037.6899999995</v>
      </c>
      <c r="H272" s="39">
        <f t="shared" si="11"/>
        <v>3285792.6799999997</v>
      </c>
      <c r="I272" s="39">
        <f t="shared" si="11"/>
        <v>736303.9</v>
      </c>
      <c r="J272" s="39">
        <f t="shared" si="11"/>
        <v>639524.27</v>
      </c>
      <c r="K272" s="39">
        <f t="shared" si="11"/>
        <v>5480150.6000000006</v>
      </c>
      <c r="L272" s="39">
        <f t="shared" si="11"/>
        <v>31115602.650000006</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811.77</v>
      </c>
      <c r="G277" s="18">
        <v>7428.73</v>
      </c>
      <c r="H277" s="18">
        <v>1834.93</v>
      </c>
      <c r="I277" s="18">
        <v>2060.0100000000002</v>
      </c>
      <c r="J277" s="18">
        <v>111137.03</v>
      </c>
      <c r="K277" s="18"/>
      <c r="L277" s="13">
        <f>SUM(F277:K277)</f>
        <v>123272.47</v>
      </c>
      <c r="M277" s="8"/>
      <c r="N277" s="165"/>
    </row>
    <row r="278" spans="1:14" s="3" customFormat="1" ht="12.2" customHeight="1" x14ac:dyDescent="0.15">
      <c r="A278" s="1" t="s">
        <v>439</v>
      </c>
      <c r="B278" s="2" t="s">
        <v>357</v>
      </c>
      <c r="C278" s="2" t="s">
        <v>291</v>
      </c>
      <c r="D278" s="2" t="s">
        <v>431</v>
      </c>
      <c r="E278" s="6">
        <v>1200</v>
      </c>
      <c r="F278" s="18">
        <v>80000</v>
      </c>
      <c r="G278" s="18">
        <v>411.25</v>
      </c>
      <c r="H278" s="18">
        <v>21471</v>
      </c>
      <c r="I278" s="18">
        <v>891.1</v>
      </c>
      <c r="J278" s="18"/>
      <c r="K278" s="18"/>
      <c r="L278" s="13">
        <f>SUM(F278:K278)</f>
        <v>102773.35</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5"/>
    </row>
    <row r="283" spans="1:14" s="3" customFormat="1" ht="12.2" customHeight="1" x14ac:dyDescent="0.15">
      <c r="A283" s="1" t="s">
        <v>443</v>
      </c>
      <c r="B283" s="2" t="s">
        <v>357</v>
      </c>
      <c r="C283" s="2" t="s">
        <v>295</v>
      </c>
      <c r="D283" s="2" t="s">
        <v>431</v>
      </c>
      <c r="E283" s="6">
        <v>2200</v>
      </c>
      <c r="F283" s="18">
        <v>66.39</v>
      </c>
      <c r="G283" s="18"/>
      <c r="H283" s="18">
        <v>2907.8</v>
      </c>
      <c r="I283" s="18">
        <v>1220.19</v>
      </c>
      <c r="J283" s="18"/>
      <c r="K283" s="18"/>
      <c r="L283" s="13">
        <f t="shared" si="12"/>
        <v>4194.38</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80878.16</v>
      </c>
      <c r="G291" s="39">
        <f t="shared" si="13"/>
        <v>7839.98</v>
      </c>
      <c r="H291" s="39">
        <f t="shared" si="13"/>
        <v>26213.73</v>
      </c>
      <c r="I291" s="39">
        <f t="shared" si="13"/>
        <v>4171.3</v>
      </c>
      <c r="J291" s="39">
        <f t="shared" si="13"/>
        <v>111137.03</v>
      </c>
      <c r="K291" s="39">
        <f t="shared" si="13"/>
        <v>0</v>
      </c>
      <c r="L291" s="38">
        <f t="shared" si="13"/>
        <v>230240.2</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v>23230.92</v>
      </c>
      <c r="G315" s="18">
        <v>239223.41</v>
      </c>
      <c r="H315" s="18">
        <v>432808.8</v>
      </c>
      <c r="I315" s="18">
        <v>4425.5200000000004</v>
      </c>
      <c r="J315" s="18">
        <v>12606.4</v>
      </c>
      <c r="K315" s="18"/>
      <c r="L315" s="13">
        <f>SUM(F315:K315)</f>
        <v>712295.05</v>
      </c>
      <c r="M315" s="8"/>
      <c r="N315" s="165"/>
    </row>
    <row r="316" spans="1:14" s="3" customFormat="1" ht="12.2" customHeight="1" x14ac:dyDescent="0.15">
      <c r="A316" s="1" t="s">
        <v>439</v>
      </c>
      <c r="B316" s="2" t="s">
        <v>359</v>
      </c>
      <c r="C316" s="2" t="s">
        <v>291</v>
      </c>
      <c r="D316" s="2" t="s">
        <v>431</v>
      </c>
      <c r="E316" s="6">
        <v>1200</v>
      </c>
      <c r="F316" s="18">
        <v>90000</v>
      </c>
      <c r="G316" s="18">
        <v>763.75</v>
      </c>
      <c r="H316" s="18"/>
      <c r="I316" s="18"/>
      <c r="J316" s="18"/>
      <c r="K316" s="18"/>
      <c r="L316" s="13">
        <f>SUM(F316:K316)</f>
        <v>90763.75</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v>123.29</v>
      </c>
      <c r="G321" s="18"/>
      <c r="H321" s="18">
        <v>5400.2</v>
      </c>
      <c r="I321" s="18">
        <v>2266.08</v>
      </c>
      <c r="J321" s="18"/>
      <c r="K321" s="18"/>
      <c r="L321" s="13">
        <f t="shared" si="16"/>
        <v>7789.57</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113354.20999999999</v>
      </c>
      <c r="G329" s="39">
        <f t="shared" si="17"/>
        <v>239987.16</v>
      </c>
      <c r="H329" s="39">
        <f t="shared" si="17"/>
        <v>438209</v>
      </c>
      <c r="I329" s="39">
        <f t="shared" si="17"/>
        <v>6691.6</v>
      </c>
      <c r="J329" s="39">
        <f t="shared" si="17"/>
        <v>12606.4</v>
      </c>
      <c r="K329" s="39">
        <f t="shared" si="17"/>
        <v>0</v>
      </c>
      <c r="L329" s="38">
        <f t="shared" si="17"/>
        <v>810848.37</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194232.37</v>
      </c>
      <c r="G339" s="38">
        <f t="shared" si="20"/>
        <v>247827.14</v>
      </c>
      <c r="H339" s="38">
        <f t="shared" si="20"/>
        <v>464422.73</v>
      </c>
      <c r="I339" s="38">
        <f t="shared" si="20"/>
        <v>10862.900000000001</v>
      </c>
      <c r="J339" s="38">
        <f t="shared" si="20"/>
        <v>123743.43</v>
      </c>
      <c r="K339" s="38">
        <f t="shared" si="20"/>
        <v>0</v>
      </c>
      <c r="L339" s="38">
        <f t="shared" si="20"/>
        <v>1041088.5700000001</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194232.37</v>
      </c>
      <c r="G353" s="38">
        <f>G339</f>
        <v>247827.14</v>
      </c>
      <c r="H353" s="38">
        <f>H339</f>
        <v>464422.73</v>
      </c>
      <c r="I353" s="38">
        <f>I339</f>
        <v>10862.900000000001</v>
      </c>
      <c r="J353" s="38">
        <f>J339</f>
        <v>123743.43</v>
      </c>
      <c r="K353" s="38">
        <f>K339+K352</f>
        <v>0</v>
      </c>
      <c r="L353" s="38">
        <f>L339+L352</f>
        <v>1041088.5700000001</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57513.86</v>
      </c>
      <c r="G359" s="18">
        <v>19153.009999999998</v>
      </c>
      <c r="H359" s="18">
        <v>10648.19</v>
      </c>
      <c r="I359" s="18">
        <v>161363.04</v>
      </c>
      <c r="J359" s="18"/>
      <c r="K359" s="18"/>
      <c r="L359" s="13">
        <f>SUM(F359:K359)</f>
        <v>248678.1</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v>770684.74</v>
      </c>
      <c r="I361" s="18"/>
      <c r="J361" s="18">
        <v>1975</v>
      </c>
      <c r="K361" s="18"/>
      <c r="L361" s="13">
        <f>SUM(F361:K361)</f>
        <v>772659.74</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57513.86</v>
      </c>
      <c r="G363" s="38">
        <f t="shared" si="22"/>
        <v>19153.009999999998</v>
      </c>
      <c r="H363" s="38">
        <f t="shared" si="22"/>
        <v>781332.92999999993</v>
      </c>
      <c r="I363" s="38">
        <f t="shared" si="22"/>
        <v>161363.04</v>
      </c>
      <c r="J363" s="38">
        <f t="shared" si="22"/>
        <v>1975</v>
      </c>
      <c r="K363" s="38">
        <f t="shared" si="22"/>
        <v>0</v>
      </c>
      <c r="L363" s="38">
        <f t="shared" si="22"/>
        <v>1021337.84</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161363.04</v>
      </c>
      <c r="G368" s="18"/>
      <c r="H368" s="18"/>
      <c r="I368" s="13">
        <f>SUM(F368:H368)</f>
        <v>161363.04</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0</v>
      </c>
      <c r="G369" s="53"/>
      <c r="H369" s="53"/>
      <c r="I369" s="13">
        <f>SUM(F369:H369)</f>
        <v>0</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161363.04</v>
      </c>
      <c r="G370" s="38">
        <f>SUM(G368:G369)</f>
        <v>0</v>
      </c>
      <c r="H370" s="38">
        <f>SUM(H368:H369)</f>
        <v>0</v>
      </c>
      <c r="I370" s="38">
        <f>SUM(I368:I369)</f>
        <v>161363.04</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v>117848.61</v>
      </c>
      <c r="I376" s="18"/>
      <c r="J376" s="18"/>
      <c r="K376" s="18"/>
      <c r="L376" s="13">
        <f t="shared" ref="L376:L382" si="23">SUM(F376:K376)</f>
        <v>117848.61</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117848.61</v>
      </c>
      <c r="I383" s="38">
        <f t="shared" si="24"/>
        <v>0</v>
      </c>
      <c r="J383" s="38">
        <f t="shared" si="24"/>
        <v>0</v>
      </c>
      <c r="K383" s="38">
        <f t="shared" si="24"/>
        <v>0</v>
      </c>
      <c r="L383" s="38">
        <f t="shared" si="24"/>
        <v>117848.61</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v>-3510</v>
      </c>
      <c r="G401" s="18"/>
      <c r="H401" s="18"/>
      <c r="I401" s="18"/>
      <c r="J401" s="23" t="s">
        <v>288</v>
      </c>
      <c r="K401" s="23" t="s">
        <v>288</v>
      </c>
      <c r="L401" s="13">
        <f t="shared" si="26"/>
        <v>-3510</v>
      </c>
      <c r="M401" s="8"/>
      <c r="N401" s="165"/>
    </row>
    <row r="402" spans="1:21" s="3" customFormat="1" ht="12.2" customHeight="1" thickTop="1" x14ac:dyDescent="0.15">
      <c r="A402" s="116" t="s">
        <v>470</v>
      </c>
      <c r="B402" s="2" t="s">
        <v>381</v>
      </c>
      <c r="C402" s="6">
        <v>14</v>
      </c>
      <c r="D402" s="2" t="s">
        <v>432</v>
      </c>
      <c r="E402" s="37">
        <v>5252</v>
      </c>
      <c r="F402" s="38">
        <f>SUM(F396:F401)</f>
        <v>-3510</v>
      </c>
      <c r="G402" s="38">
        <f>SUM(G396:G401)</f>
        <v>0</v>
      </c>
      <c r="H402" s="38">
        <f>SUM(H396:H401)</f>
        <v>0</v>
      </c>
      <c r="I402" s="38">
        <f>SUM(I396:I401)</f>
        <v>0</v>
      </c>
      <c r="J402" s="42" t="s">
        <v>288</v>
      </c>
      <c r="K402" s="42" t="s">
        <v>288</v>
      </c>
      <c r="L402" s="38">
        <f>SUM(L396:L401)</f>
        <v>-3510</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-3510</v>
      </c>
      <c r="G409" s="38">
        <f>G394+G402+G408</f>
        <v>0</v>
      </c>
      <c r="H409" s="38">
        <f>H394+H402+H408</f>
        <v>0</v>
      </c>
      <c r="I409" s="38">
        <f>I394+I402+I408</f>
        <v>0</v>
      </c>
      <c r="J409" s="23" t="s">
        <v>288</v>
      </c>
      <c r="K409" s="23" t="s">
        <v>288</v>
      </c>
      <c r="L409" s="38">
        <f>L394+L402+L408</f>
        <v>-3510</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v>42365</v>
      </c>
      <c r="H440" s="18"/>
      <c r="I440" s="13">
        <f t="shared" ref="I440:I446" si="33">SUM(F440:H440)</f>
        <v>42365</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42365</v>
      </c>
      <c r="H447" s="13">
        <f>SUM(H440:H446)</f>
        <v>0</v>
      </c>
      <c r="I447" s="13">
        <f>SUM(I440:I446)</f>
        <v>42365</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42365</v>
      </c>
      <c r="H460" s="18"/>
      <c r="I460" s="13">
        <f t="shared" si="34"/>
        <v>42365</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42365</v>
      </c>
      <c r="H461" s="65">
        <f>SUM(H455:H460)</f>
        <v>0</v>
      </c>
      <c r="I461" s="65">
        <f>SUM(I455:I460)</f>
        <v>42365</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42365</v>
      </c>
      <c r="H462" s="39">
        <f>H453+H461</f>
        <v>0</v>
      </c>
      <c r="I462" s="39">
        <f>I453+I461</f>
        <v>42365</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463635.32</v>
      </c>
      <c r="G466" s="18">
        <v>9134.93</v>
      </c>
      <c r="H466" s="18">
        <v>217507.65</v>
      </c>
      <c r="I466" s="18">
        <v>25284.880000000001</v>
      </c>
      <c r="J466" s="18">
        <v>45875</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31408311.949999999</v>
      </c>
      <c r="G469" s="18">
        <v>1022273.74</v>
      </c>
      <c r="H469" s="18">
        <v>1064654.8899999999</v>
      </c>
      <c r="I469" s="18">
        <v>1837000</v>
      </c>
      <c r="J469" s="18">
        <v>-3510</v>
      </c>
      <c r="K469" s="23" t="s">
        <v>288</v>
      </c>
      <c r="L469" s="23" t="s">
        <v>288</v>
      </c>
      <c r="N469" s="131"/>
    </row>
    <row r="470" spans="1:14" ht="12.2" customHeight="1" x14ac:dyDescent="0.2">
      <c r="A470" s="71" t="s">
        <v>611</v>
      </c>
      <c r="B470" s="22">
        <v>19</v>
      </c>
      <c r="C470" s="31">
        <v>3</v>
      </c>
      <c r="D470" s="2" t="s">
        <v>432</v>
      </c>
      <c r="E470" s="31"/>
      <c r="F470" s="18"/>
      <c r="G470" s="18"/>
      <c r="H470" s="18">
        <f>201103.22+37015.26+24676.87</f>
        <v>262795.35000000003</v>
      </c>
      <c r="I470" s="18"/>
      <c r="J470" s="18"/>
      <c r="K470" s="23" t="s">
        <v>288</v>
      </c>
      <c r="L470" s="23" t="s">
        <v>288</v>
      </c>
      <c r="N470" s="131"/>
    </row>
    <row r="471" spans="1:14" ht="12.2" customHeight="1" x14ac:dyDescent="0.2">
      <c r="A471" s="32" t="s">
        <v>425</v>
      </c>
      <c r="B471" s="22">
        <v>19</v>
      </c>
      <c r="C471" s="31">
        <v>4</v>
      </c>
      <c r="D471" s="2" t="s">
        <v>432</v>
      </c>
      <c r="E471" s="31"/>
      <c r="F471" s="19">
        <f>SUM(F469:F470)</f>
        <v>31408311.949999999</v>
      </c>
      <c r="G471" s="19">
        <f>SUM(G469:G470)</f>
        <v>1022273.74</v>
      </c>
      <c r="H471" s="19">
        <f>SUM(H469:H470)</f>
        <v>1327450.24</v>
      </c>
      <c r="I471" s="19">
        <f>SUM(I469:I470)</f>
        <v>1837000</v>
      </c>
      <c r="J471" s="19">
        <f>SUM(J469:J470)</f>
        <v>-3510</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31115602.649999999</v>
      </c>
      <c r="G473" s="18">
        <v>1021337.84</v>
      </c>
      <c r="H473" s="18">
        <v>1041088.57</v>
      </c>
      <c r="I473" s="18">
        <v>117848.61</v>
      </c>
      <c r="J473" s="18">
        <v>0</v>
      </c>
      <c r="K473" s="23" t="s">
        <v>288</v>
      </c>
      <c r="L473" s="23" t="s">
        <v>288</v>
      </c>
      <c r="N473" s="131"/>
    </row>
    <row r="474" spans="1:14" ht="12.2" customHeight="1" x14ac:dyDescent="0.2">
      <c r="A474" s="71" t="s">
        <v>613</v>
      </c>
      <c r="B474" s="22">
        <v>19</v>
      </c>
      <c r="C474" s="31">
        <v>6</v>
      </c>
      <c r="D474" s="2" t="s">
        <v>432</v>
      </c>
      <c r="E474" s="31"/>
      <c r="F474" s="18">
        <v>0.19</v>
      </c>
      <c r="G474" s="18"/>
      <c r="H474" s="18">
        <v>624.75</v>
      </c>
      <c r="I474" s="18"/>
      <c r="J474" s="18"/>
      <c r="K474" s="23" t="s">
        <v>288</v>
      </c>
      <c r="L474" s="23" t="s">
        <v>288</v>
      </c>
      <c r="N474" s="131"/>
    </row>
    <row r="475" spans="1:14" ht="12.2" customHeight="1" x14ac:dyDescent="0.2">
      <c r="A475" s="32" t="s">
        <v>426</v>
      </c>
      <c r="B475" s="22">
        <v>19</v>
      </c>
      <c r="C475" s="31">
        <v>7</v>
      </c>
      <c r="D475" s="2" t="s">
        <v>432</v>
      </c>
      <c r="E475" s="31"/>
      <c r="F475" s="19">
        <f>SUM(F473:F474)</f>
        <v>31115602.84</v>
      </c>
      <c r="G475" s="19">
        <f>SUM(G473:G474)</f>
        <v>1021337.84</v>
      </c>
      <c r="H475" s="19">
        <f>SUM(H473:H474)</f>
        <v>1041713.32</v>
      </c>
      <c r="I475" s="19">
        <f>SUM(I473:I474)</f>
        <v>117848.61</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756344.4299999997</v>
      </c>
      <c r="G477" s="19">
        <f>(G466+G471)- G475</f>
        <v>10070.830000000075</v>
      </c>
      <c r="H477" s="19">
        <f>(H466+H471)- H475</f>
        <v>503244.56999999995</v>
      </c>
      <c r="I477" s="19">
        <f>(I466+I471)- I475</f>
        <v>1744436.2699999998</v>
      </c>
      <c r="J477" s="19">
        <f>(J466+J471)- J475</f>
        <v>42365</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20</v>
      </c>
      <c r="G491" s="111">
        <v>20</v>
      </c>
      <c r="H491" s="111">
        <v>20</v>
      </c>
      <c r="I491" s="111">
        <v>15</v>
      </c>
      <c r="J491" s="111">
        <v>5</v>
      </c>
      <c r="K491" s="23" t="s">
        <v>288</v>
      </c>
      <c r="L491" s="23" t="s">
        <v>288</v>
      </c>
      <c r="N491" s="131"/>
    </row>
    <row r="492" spans="1:14" ht="12.2" customHeight="1" x14ac:dyDescent="0.2">
      <c r="A492" s="21" t="s">
        <v>615</v>
      </c>
      <c r="B492" s="22">
        <v>20</v>
      </c>
      <c r="C492" s="22">
        <v>2</v>
      </c>
      <c r="D492" s="2" t="s">
        <v>432</v>
      </c>
      <c r="E492" s="22"/>
      <c r="F492" s="112" t="s">
        <v>1812</v>
      </c>
      <c r="G492" s="112" t="s">
        <v>1813</v>
      </c>
      <c r="H492" s="112" t="s">
        <v>1814</v>
      </c>
      <c r="I492" s="112" t="s">
        <v>1818</v>
      </c>
      <c r="J492" s="112" t="s">
        <v>1820</v>
      </c>
      <c r="K492" s="23" t="s">
        <v>288</v>
      </c>
      <c r="L492" s="23" t="s">
        <v>288</v>
      </c>
      <c r="N492" s="131"/>
    </row>
    <row r="493" spans="1:14" ht="12.2" customHeight="1" x14ac:dyDescent="0.2">
      <c r="A493" s="21" t="s">
        <v>616</v>
      </c>
      <c r="B493" s="22">
        <v>20</v>
      </c>
      <c r="C493" s="22">
        <v>3</v>
      </c>
      <c r="D493" s="2" t="s">
        <v>432</v>
      </c>
      <c r="E493" s="22"/>
      <c r="F493" s="112" t="s">
        <v>1815</v>
      </c>
      <c r="G493" s="112" t="s">
        <v>1816</v>
      </c>
      <c r="H493" s="112" t="s">
        <v>1817</v>
      </c>
      <c r="I493" s="112" t="s">
        <v>1819</v>
      </c>
      <c r="J493" s="112" t="s">
        <v>1821</v>
      </c>
      <c r="K493" s="23" t="s">
        <v>288</v>
      </c>
      <c r="L493" s="23" t="s">
        <v>288</v>
      </c>
      <c r="N493" s="131"/>
    </row>
    <row r="494" spans="1:14" ht="12.2" customHeight="1" x14ac:dyDescent="0.2">
      <c r="A494" s="21" t="s">
        <v>617</v>
      </c>
      <c r="B494" s="22">
        <v>20</v>
      </c>
      <c r="C494" s="22">
        <v>4</v>
      </c>
      <c r="D494" s="2" t="s">
        <v>432</v>
      </c>
      <c r="E494" s="22"/>
      <c r="F494" s="18">
        <v>2532900</v>
      </c>
      <c r="G494" s="18">
        <v>4000000</v>
      </c>
      <c r="H494" s="18">
        <v>38460936</v>
      </c>
      <c r="I494" s="18">
        <v>900000</v>
      </c>
      <c r="J494" s="18">
        <v>441958</v>
      </c>
      <c r="K494" s="23" t="s">
        <v>288</v>
      </c>
      <c r="L494" s="23" t="s">
        <v>288</v>
      </c>
      <c r="N494" s="131"/>
    </row>
    <row r="495" spans="1:14" ht="12.2" customHeight="1" x14ac:dyDescent="0.2">
      <c r="A495" s="21" t="s">
        <v>618</v>
      </c>
      <c r="B495" s="22">
        <v>20</v>
      </c>
      <c r="C495" s="22">
        <v>5</v>
      </c>
      <c r="D495" s="2" t="s">
        <v>432</v>
      </c>
      <c r="E495" s="22"/>
      <c r="F495" s="18">
        <v>4.08</v>
      </c>
      <c r="G495" s="18">
        <v>4.47</v>
      </c>
      <c r="H495" s="18">
        <v>4.62</v>
      </c>
      <c r="I495" s="18">
        <v>2.8</v>
      </c>
      <c r="J495" s="18">
        <v>2.5</v>
      </c>
      <c r="K495" s="23" t="s">
        <v>288</v>
      </c>
      <c r="L495" s="23" t="s">
        <v>288</v>
      </c>
      <c r="N495" s="131"/>
    </row>
    <row r="496" spans="1:14" ht="12.2" customHeight="1" x14ac:dyDescent="0.2">
      <c r="A496" s="21" t="s">
        <v>619</v>
      </c>
      <c r="B496" s="22">
        <v>20</v>
      </c>
      <c r="C496" s="22">
        <v>6</v>
      </c>
      <c r="D496" s="2" t="s">
        <v>432</v>
      </c>
      <c r="E496" s="22"/>
      <c r="F496" s="18">
        <v>444468</v>
      </c>
      <c r="G496" s="18">
        <v>399247</v>
      </c>
      <c r="H496" s="18">
        <v>2360532</v>
      </c>
      <c r="I496" s="18">
        <v>780000</v>
      </c>
      <c r="J496" s="18">
        <v>441958</v>
      </c>
      <c r="K496" s="19">
        <f>SUM(F496:J496)</f>
        <v>4426205</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v>98327</v>
      </c>
      <c r="G498" s="18">
        <v>140276</v>
      </c>
      <c r="H498" s="18">
        <v>1207991</v>
      </c>
      <c r="I498" s="18">
        <v>60000</v>
      </c>
      <c r="J498" s="18">
        <v>83702</v>
      </c>
      <c r="K498" s="19">
        <f t="shared" si="35"/>
        <v>1590296</v>
      </c>
      <c r="L498" s="23" t="s">
        <v>288</v>
      </c>
      <c r="N498" s="131"/>
    </row>
    <row r="499" spans="1:14" ht="12.2" customHeight="1" x14ac:dyDescent="0.2">
      <c r="A499" s="144" t="s">
        <v>622</v>
      </c>
      <c r="B499" s="145">
        <v>20</v>
      </c>
      <c r="C499" s="145">
        <v>9</v>
      </c>
      <c r="D499" s="146" t="s">
        <v>432</v>
      </c>
      <c r="E499" s="145"/>
      <c r="F499" s="147">
        <f>F496-F498</f>
        <v>346141</v>
      </c>
      <c r="G499" s="147">
        <f>G496-G498</f>
        <v>258971</v>
      </c>
      <c r="H499" s="147">
        <f>H496-H498</f>
        <v>1152541</v>
      </c>
      <c r="I499" s="147">
        <v>720000</v>
      </c>
      <c r="J499" s="147">
        <f>J496-J498</f>
        <v>358256</v>
      </c>
      <c r="K499" s="148">
        <f t="shared" si="35"/>
        <v>2835909</v>
      </c>
      <c r="L499" s="149" t="s">
        <v>288</v>
      </c>
      <c r="N499" s="131"/>
    </row>
    <row r="500" spans="1:14" ht="12.2" customHeight="1" thickBot="1" x14ac:dyDescent="0.25">
      <c r="A500" s="21" t="s">
        <v>623</v>
      </c>
      <c r="B500" s="22">
        <v>20</v>
      </c>
      <c r="C500" s="22">
        <v>10</v>
      </c>
      <c r="D500" s="2" t="s">
        <v>432</v>
      </c>
      <c r="E500" s="22"/>
      <c r="F500" s="18">
        <v>400634</v>
      </c>
      <c r="G500" s="18">
        <v>358828</v>
      </c>
      <c r="H500" s="18">
        <v>1792797</v>
      </c>
      <c r="I500" s="18">
        <v>38640</v>
      </c>
      <c r="J500" s="18">
        <v>20363</v>
      </c>
      <c r="K500" s="19">
        <f t="shared" si="35"/>
        <v>2611262</v>
      </c>
      <c r="L500" s="23" t="s">
        <v>288</v>
      </c>
      <c r="N500" s="131"/>
    </row>
    <row r="501" spans="1:14" ht="12.2" customHeight="1" thickTop="1" x14ac:dyDescent="0.2">
      <c r="A501" s="97" t="s">
        <v>624</v>
      </c>
      <c r="B501" s="41">
        <v>20</v>
      </c>
      <c r="C501" s="41">
        <v>11</v>
      </c>
      <c r="D501" s="36" t="s">
        <v>432</v>
      </c>
      <c r="E501" s="41"/>
      <c r="F501" s="39">
        <f>SUM(F499:F500)</f>
        <v>746775</v>
      </c>
      <c r="G501" s="39">
        <f>SUM(G499:G500)</f>
        <v>617799</v>
      </c>
      <c r="H501" s="39">
        <f>SUM(H499:H500)</f>
        <v>2945338</v>
      </c>
      <c r="I501" s="39">
        <f>SUM(I499:I500)</f>
        <v>758640</v>
      </c>
      <c r="J501" s="39">
        <f>SUM(J499:J500)</f>
        <v>378619</v>
      </c>
      <c r="K501" s="39">
        <f t="shared" si="35"/>
        <v>5447171</v>
      </c>
      <c r="L501" s="42" t="s">
        <v>288</v>
      </c>
      <c r="N501" s="131"/>
    </row>
    <row r="502" spans="1:14" ht="12.2" customHeight="1" x14ac:dyDescent="0.2">
      <c r="A502" s="144" t="s">
        <v>651</v>
      </c>
      <c r="B502" s="145">
        <v>20</v>
      </c>
      <c r="C502" s="145">
        <v>12</v>
      </c>
      <c r="D502" s="146" t="s">
        <v>432</v>
      </c>
      <c r="E502" s="145"/>
      <c r="F502" s="147">
        <v>93520</v>
      </c>
      <c r="G502" s="147">
        <v>132070</v>
      </c>
      <c r="H502" s="147">
        <v>1152541</v>
      </c>
      <c r="I502" s="147">
        <v>60000</v>
      </c>
      <c r="J502" s="147">
        <v>86279</v>
      </c>
      <c r="K502" s="148">
        <f t="shared" si="35"/>
        <v>1524410</v>
      </c>
      <c r="L502" s="149" t="s">
        <v>288</v>
      </c>
      <c r="N502" s="131"/>
    </row>
    <row r="503" spans="1:14" ht="12.2" customHeight="1" thickBot="1" x14ac:dyDescent="0.25">
      <c r="A503" s="21" t="s">
        <v>625</v>
      </c>
      <c r="B503" s="22">
        <v>20</v>
      </c>
      <c r="C503" s="22">
        <v>13</v>
      </c>
      <c r="D503" s="2" t="s">
        <v>432</v>
      </c>
      <c r="E503" s="22"/>
      <c r="F503" s="18">
        <v>90386</v>
      </c>
      <c r="G503" s="18">
        <v>175980</v>
      </c>
      <c r="H503" s="18">
        <v>1792797</v>
      </c>
      <c r="I503" s="18">
        <v>20160</v>
      </c>
      <c r="J503" s="18">
        <v>8956</v>
      </c>
      <c r="K503" s="19">
        <f t="shared" si="35"/>
        <v>2088279</v>
      </c>
      <c r="L503" s="23" t="s">
        <v>288</v>
      </c>
      <c r="N503" s="131"/>
    </row>
    <row r="504" spans="1:14" ht="12.2" customHeight="1" thickTop="1" x14ac:dyDescent="0.2">
      <c r="A504" s="97" t="s">
        <v>626</v>
      </c>
      <c r="B504" s="41">
        <v>20</v>
      </c>
      <c r="C504" s="41">
        <v>14</v>
      </c>
      <c r="D504" s="36" t="s">
        <v>432</v>
      </c>
      <c r="E504" s="41"/>
      <c r="F504" s="39">
        <f>SUM(F502:F503)</f>
        <v>183906</v>
      </c>
      <c r="G504" s="39">
        <f>SUM(G502:G503)</f>
        <v>308050</v>
      </c>
      <c r="H504" s="39">
        <f>SUM(H502:H503)</f>
        <v>2945338</v>
      </c>
      <c r="I504" s="39">
        <f>SUM(I502:I503)</f>
        <v>80160</v>
      </c>
      <c r="J504" s="39">
        <f>SUM(J502:J503)</f>
        <v>95235</v>
      </c>
      <c r="K504" s="39">
        <f t="shared" si="35"/>
        <v>3612689</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1072511.22</v>
      </c>
      <c r="G522" s="18">
        <v>652539.56000000006</v>
      </c>
      <c r="H522" s="18">
        <v>22100.13</v>
      </c>
      <c r="I522" s="18">
        <v>3703.85</v>
      </c>
      <c r="J522" s="18">
        <v>1000.99</v>
      </c>
      <c r="K522" s="18">
        <v>270</v>
      </c>
      <c r="L522" s="69">
        <f>SUM(F522:K522)</f>
        <v>1752125.75</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v>1059544.6100000001</v>
      </c>
      <c r="G524" s="18">
        <v>524051.39</v>
      </c>
      <c r="H524" s="18">
        <v>1596.46</v>
      </c>
      <c r="I524" s="18">
        <v>5103.1899999999996</v>
      </c>
      <c r="J524" s="18">
        <v>8189.75</v>
      </c>
      <c r="K524" s="18">
        <v>2329.25</v>
      </c>
      <c r="L524" s="69">
        <f>SUM(F524:K524)</f>
        <v>1600814.65</v>
      </c>
      <c r="N524" s="131"/>
    </row>
    <row r="525" spans="1:14" ht="12.2" customHeight="1" thickTop="1" x14ac:dyDescent="0.2">
      <c r="A525" s="97" t="s">
        <v>63</v>
      </c>
      <c r="B525" s="41">
        <v>21</v>
      </c>
      <c r="C525" s="41">
        <v>4</v>
      </c>
      <c r="D525" s="115" t="s">
        <v>432</v>
      </c>
      <c r="E525" s="41"/>
      <c r="F525" s="81">
        <f>SUM(F522:F524)</f>
        <v>2132055.83</v>
      </c>
      <c r="G525" s="81">
        <f t="shared" ref="G525:L525" si="36">SUM(G522:G524)</f>
        <v>1176590.9500000002</v>
      </c>
      <c r="H525" s="81">
        <f t="shared" si="36"/>
        <v>23696.59</v>
      </c>
      <c r="I525" s="81">
        <f t="shared" si="36"/>
        <v>8807.0399999999991</v>
      </c>
      <c r="J525" s="81">
        <f t="shared" si="36"/>
        <v>9190.74</v>
      </c>
      <c r="K525" s="81">
        <f t="shared" si="36"/>
        <v>2599.25</v>
      </c>
      <c r="L525" s="70">
        <f t="shared" si="36"/>
        <v>3352940.4</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c r="G527" s="18"/>
      <c r="H527" s="18">
        <v>5472.2</v>
      </c>
      <c r="I527" s="18"/>
      <c r="J527" s="18"/>
      <c r="K527" s="18"/>
      <c r="L527" s="69">
        <f>SUM(F527:K527)</f>
        <v>5472.2</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v>10723.57</v>
      </c>
      <c r="I529" s="18"/>
      <c r="J529" s="18"/>
      <c r="K529" s="18"/>
      <c r="L529" s="69">
        <f>SUM(F529:K529)</f>
        <v>10723.57</v>
      </c>
      <c r="M529" s="8"/>
      <c r="N529" s="165"/>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16195.77</v>
      </c>
      <c r="I530" s="70">
        <f t="shared" si="37"/>
        <v>0</v>
      </c>
      <c r="J530" s="70">
        <f t="shared" si="37"/>
        <v>0</v>
      </c>
      <c r="K530" s="70">
        <f t="shared" si="37"/>
        <v>0</v>
      </c>
      <c r="L530" s="70">
        <f t="shared" si="37"/>
        <v>16195.77</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v>43299.58</v>
      </c>
      <c r="G534" s="18">
        <v>15531</v>
      </c>
      <c r="H534" s="18"/>
      <c r="I534" s="18"/>
      <c r="J534" s="18"/>
      <c r="K534" s="18"/>
      <c r="L534" s="69">
        <f>SUM(F534:K534)</f>
        <v>58830.58</v>
      </c>
      <c r="M534" s="8"/>
      <c r="N534" s="165"/>
    </row>
    <row r="535" spans="1:14" s="3" customFormat="1" ht="12.2" customHeight="1" thickTop="1" x14ac:dyDescent="0.15">
      <c r="A535" s="97" t="s">
        <v>67</v>
      </c>
      <c r="B535" s="41">
        <v>21</v>
      </c>
      <c r="C535" s="41">
        <v>12</v>
      </c>
      <c r="D535" s="115" t="s">
        <v>432</v>
      </c>
      <c r="E535" s="41"/>
      <c r="F535" s="70">
        <f>SUM(F532:F534)</f>
        <v>43299.58</v>
      </c>
      <c r="G535" s="70">
        <f t="shared" ref="G535:L535" si="38">SUM(G532:G534)</f>
        <v>15531</v>
      </c>
      <c r="H535" s="70">
        <f t="shared" si="38"/>
        <v>0</v>
      </c>
      <c r="I535" s="70">
        <f t="shared" si="38"/>
        <v>0</v>
      </c>
      <c r="J535" s="70">
        <f t="shared" si="38"/>
        <v>0</v>
      </c>
      <c r="K535" s="70">
        <f t="shared" si="38"/>
        <v>0</v>
      </c>
      <c r="L535" s="70">
        <f t="shared" si="38"/>
        <v>58830.58</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v>2559.44</v>
      </c>
      <c r="I539" s="18"/>
      <c r="J539" s="18"/>
      <c r="K539" s="18"/>
      <c r="L539" s="69">
        <f>SUM(F539:K539)</f>
        <v>2559.44</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2559.44</v>
      </c>
      <c r="I540" s="70">
        <f t="shared" si="39"/>
        <v>0</v>
      </c>
      <c r="J540" s="70">
        <f t="shared" si="39"/>
        <v>0</v>
      </c>
      <c r="K540" s="70">
        <f t="shared" si="39"/>
        <v>0</v>
      </c>
      <c r="L540" s="70">
        <f t="shared" si="39"/>
        <v>2559.44</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c r="I542" s="18"/>
      <c r="J542" s="18"/>
      <c r="K542" s="18"/>
      <c r="L542" s="69">
        <f>SUM(F542:K542)</f>
        <v>0</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v>9125</v>
      </c>
      <c r="I544" s="18"/>
      <c r="J544" s="18"/>
      <c r="K544" s="18"/>
      <c r="L544" s="69">
        <f>SUM(F544:K544)</f>
        <v>9125</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9125</v>
      </c>
      <c r="I545" s="141">
        <f t="shared" si="40"/>
        <v>0</v>
      </c>
      <c r="J545" s="141">
        <f t="shared" si="40"/>
        <v>0</v>
      </c>
      <c r="K545" s="141">
        <f t="shared" si="40"/>
        <v>0</v>
      </c>
      <c r="L545" s="141">
        <f t="shared" si="40"/>
        <v>9125</v>
      </c>
      <c r="M545" s="8"/>
      <c r="N545" s="165"/>
    </row>
    <row r="546" spans="1:14" s="3" customFormat="1" ht="12.2" customHeight="1" thickTop="1" x14ac:dyDescent="0.15">
      <c r="A546" s="75" t="s">
        <v>72</v>
      </c>
      <c r="B546" s="41">
        <v>21</v>
      </c>
      <c r="C546" s="41">
        <v>21</v>
      </c>
      <c r="D546" s="115" t="s">
        <v>432</v>
      </c>
      <c r="E546" s="41"/>
      <c r="F546" s="70">
        <f>F525+F530+F535+F540+F545</f>
        <v>2175355.41</v>
      </c>
      <c r="G546" s="70">
        <f t="shared" ref="G546:L546" si="41">G525+G530+G535+G540+G545</f>
        <v>1192121.9500000002</v>
      </c>
      <c r="H546" s="70">
        <f t="shared" si="41"/>
        <v>51576.800000000003</v>
      </c>
      <c r="I546" s="70">
        <f t="shared" si="41"/>
        <v>8807.0399999999991</v>
      </c>
      <c r="J546" s="70">
        <f t="shared" si="41"/>
        <v>9190.74</v>
      </c>
      <c r="K546" s="70">
        <f t="shared" si="41"/>
        <v>2599.25</v>
      </c>
      <c r="L546" s="70">
        <f t="shared" si="41"/>
        <v>3439651.19</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1752125.75</v>
      </c>
      <c r="G550" s="69">
        <f>L527</f>
        <v>5472.2</v>
      </c>
      <c r="H550" s="69">
        <f>L532</f>
        <v>0</v>
      </c>
      <c r="I550" s="69">
        <f>L537</f>
        <v>0</v>
      </c>
      <c r="J550" s="69">
        <f>L542</f>
        <v>0</v>
      </c>
      <c r="K550" s="69">
        <f>SUM(F550:J550)</f>
        <v>1757597.95</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1600814.65</v>
      </c>
      <c r="G552" s="69">
        <f>L529</f>
        <v>10723.57</v>
      </c>
      <c r="H552" s="69">
        <f>L534</f>
        <v>58830.58</v>
      </c>
      <c r="I552" s="69">
        <f>L539</f>
        <v>2559.44</v>
      </c>
      <c r="J552" s="69">
        <f>L544</f>
        <v>9125</v>
      </c>
      <c r="K552" s="69">
        <f>SUM(F552:J552)</f>
        <v>1682053.24</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3352940.4</v>
      </c>
      <c r="G553" s="70">
        <f t="shared" si="42"/>
        <v>16195.77</v>
      </c>
      <c r="H553" s="70">
        <f t="shared" si="42"/>
        <v>58830.58</v>
      </c>
      <c r="I553" s="70">
        <f t="shared" si="42"/>
        <v>2559.44</v>
      </c>
      <c r="J553" s="70">
        <f t="shared" si="42"/>
        <v>9125</v>
      </c>
      <c r="K553" s="70">
        <f t="shared" si="42"/>
        <v>3439651.19</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v>40700</v>
      </c>
      <c r="G576" s="18"/>
      <c r="H576" s="18"/>
      <c r="I576" s="69">
        <f>SUM(F576:H576)</f>
        <v>40700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v>20964</v>
      </c>
      <c r="I577" s="69">
        <f t="shared" ref="I577:I588" si="47">SUM(F577:H577)</f>
        <v>20964</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v>141905.79999999999</v>
      </c>
      <c r="I586" s="69">
        <f t="shared" si="47"/>
        <v>141905.79999999999</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c r="I592" s="18"/>
      <c r="J592" s="18">
        <v>73261</v>
      </c>
      <c r="K592" s="80">
        <f t="shared" ref="K592:K598" si="48">SUM(H592:J592)</f>
        <v>73261</v>
      </c>
      <c r="L592" s="23" t="s">
        <v>288</v>
      </c>
      <c r="M592" s="8"/>
      <c r="N592" s="165"/>
    </row>
    <row r="593" spans="1:14" s="3" customFormat="1" ht="12.2" customHeight="1" x14ac:dyDescent="0.15">
      <c r="A593" s="3" t="s">
        <v>638</v>
      </c>
      <c r="B593" s="22">
        <v>23</v>
      </c>
      <c r="C593" s="22">
        <v>2</v>
      </c>
      <c r="D593" s="2" t="s">
        <v>432</v>
      </c>
      <c r="E593" s="22"/>
      <c r="F593" s="78">
        <v>2722</v>
      </c>
      <c r="G593" s="79" t="s">
        <v>97</v>
      </c>
      <c r="H593" s="18"/>
      <c r="I593" s="18"/>
      <c r="J593" s="18">
        <v>9125</v>
      </c>
      <c r="K593" s="80">
        <f t="shared" si="48"/>
        <v>9125</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v>55639.5</v>
      </c>
      <c r="K594" s="80">
        <f t="shared" si="48"/>
        <v>55639.5</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c r="J595" s="18">
        <v>83867.94</v>
      </c>
      <c r="K595" s="80">
        <f t="shared" si="48"/>
        <v>83867.94</v>
      </c>
      <c r="L595" s="23" t="s">
        <v>288</v>
      </c>
      <c r="M595" s="8"/>
      <c r="N595" s="165"/>
    </row>
    <row r="596" spans="1:14" s="3" customFormat="1" ht="12.2" customHeight="1" x14ac:dyDescent="0.15">
      <c r="A596" s="103" t="s">
        <v>652</v>
      </c>
      <c r="B596" s="22">
        <v>23</v>
      </c>
      <c r="C596" s="22">
        <v>5</v>
      </c>
      <c r="D596" s="2" t="s">
        <v>432</v>
      </c>
      <c r="E596" s="22"/>
      <c r="F596" s="78">
        <v>2725</v>
      </c>
      <c r="G596" s="79" t="s">
        <v>97</v>
      </c>
      <c r="H596" s="18">
        <v>8667.48</v>
      </c>
      <c r="I596" s="18"/>
      <c r="J596" s="18">
        <v>14124.86</v>
      </c>
      <c r="K596" s="80">
        <f t="shared" si="48"/>
        <v>22792.34</v>
      </c>
      <c r="L596" s="23" t="s">
        <v>288</v>
      </c>
      <c r="M596" s="8"/>
      <c r="N596" s="165"/>
    </row>
    <row r="597" spans="1:14" s="3" customFormat="1" ht="12.2" customHeight="1" x14ac:dyDescent="0.15">
      <c r="A597" s="21" t="s">
        <v>641</v>
      </c>
      <c r="B597" s="22">
        <v>23</v>
      </c>
      <c r="C597" s="22">
        <v>6</v>
      </c>
      <c r="D597" s="2" t="s">
        <v>432</v>
      </c>
      <c r="E597" s="22"/>
      <c r="F597" s="78">
        <v>2726</v>
      </c>
      <c r="G597" s="79" t="s">
        <v>97</v>
      </c>
      <c r="H597" s="18">
        <v>14871.06</v>
      </c>
      <c r="I597" s="18"/>
      <c r="J597" s="18"/>
      <c r="K597" s="80">
        <f t="shared" si="48"/>
        <v>14871.06</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23538.54</v>
      </c>
      <c r="I599" s="81">
        <f>SUM(I592:I598)</f>
        <v>0</v>
      </c>
      <c r="J599" s="81">
        <f>SUM(J592:J598)</f>
        <v>236018.3</v>
      </c>
      <c r="K599" s="81">
        <f>SUM(K592:K598)</f>
        <v>259556.84</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247229.67</v>
      </c>
      <c r="I605" s="18"/>
      <c r="J605" s="18">
        <v>516038.03</v>
      </c>
      <c r="K605" s="80">
        <f>SUM(H605:J605)</f>
        <v>763267.70000000007</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247229.67</v>
      </c>
      <c r="I606" s="81">
        <f>SUM(I603:I605)</f>
        <v>0</v>
      </c>
      <c r="J606" s="81">
        <f>SUM(J603:J605)</f>
        <v>516038.03</v>
      </c>
      <c r="K606" s="81">
        <f>SUM(K603:K605)</f>
        <v>763267.70000000007</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2381.94</v>
      </c>
      <c r="G612" s="18">
        <v>679.38</v>
      </c>
      <c r="H612" s="18">
        <v>720</v>
      </c>
      <c r="I612" s="18"/>
      <c r="J612" s="18"/>
      <c r="K612" s="18"/>
      <c r="L612" s="69">
        <f>SUM(F612:K612)</f>
        <v>3781.32</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v>10803.64</v>
      </c>
      <c r="G614" s="18">
        <v>2091.35</v>
      </c>
      <c r="H614" s="18">
        <v>13434.7</v>
      </c>
      <c r="I614" s="18"/>
      <c r="J614" s="18"/>
      <c r="K614" s="18"/>
      <c r="L614" s="69">
        <f>SUM(F614:K614)</f>
        <v>26329.690000000002</v>
      </c>
      <c r="M614" s="8"/>
      <c r="N614" s="165"/>
    </row>
    <row r="615" spans="1:14" s="3" customFormat="1" ht="12.2" customHeight="1" thickTop="1" x14ac:dyDescent="0.15">
      <c r="A615" s="75" t="s">
        <v>340</v>
      </c>
      <c r="B615" s="41">
        <v>23</v>
      </c>
      <c r="C615" s="41">
        <v>16</v>
      </c>
      <c r="D615" s="36" t="s">
        <v>432</v>
      </c>
      <c r="E615" s="41"/>
      <c r="F615" s="81">
        <f t="shared" ref="F615:L615" si="49">SUM(F612:F614)</f>
        <v>13185.58</v>
      </c>
      <c r="G615" s="81">
        <f t="shared" si="49"/>
        <v>2770.73</v>
      </c>
      <c r="H615" s="81">
        <f t="shared" si="49"/>
        <v>14154.7</v>
      </c>
      <c r="I615" s="81">
        <f t="shared" si="49"/>
        <v>0</v>
      </c>
      <c r="J615" s="81">
        <f t="shared" si="49"/>
        <v>0</v>
      </c>
      <c r="K615" s="81">
        <f t="shared" si="49"/>
        <v>0</v>
      </c>
      <c r="L615" s="70">
        <f t="shared" si="49"/>
        <v>30111.010000000002</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1642283.09</v>
      </c>
      <c r="H618" s="80">
        <f>SUM(F52)</f>
        <v>1642283.0900000005</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0</v>
      </c>
      <c r="H619" s="80">
        <f>SUM(G52)</f>
        <v>0</v>
      </c>
      <c r="I619" s="87" t="s">
        <v>875</v>
      </c>
      <c r="J619" s="80">
        <f>G619-H619</f>
        <v>0</v>
      </c>
      <c r="K619" s="80"/>
      <c r="L619" s="80"/>
      <c r="M619" s="8"/>
    </row>
    <row r="620" spans="1:14" s="3" customFormat="1" ht="12.2" customHeight="1" x14ac:dyDescent="0.15">
      <c r="A620" s="74"/>
      <c r="B620" s="22"/>
      <c r="C620" s="22"/>
      <c r="D620" s="22"/>
      <c r="E620" s="22"/>
      <c r="F620" s="87" t="s">
        <v>685</v>
      </c>
      <c r="G620" s="80">
        <f>SUM(H19)</f>
        <v>519654.54</v>
      </c>
      <c r="H620" s="80">
        <f>SUM(H52)</f>
        <v>519654.54000000004</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42365</v>
      </c>
      <c r="H622" s="80">
        <f>SUM(J52)</f>
        <v>42365</v>
      </c>
      <c r="I622" s="87" t="s">
        <v>878</v>
      </c>
      <c r="J622" s="80">
        <f>G622-H622</f>
        <v>0</v>
      </c>
      <c r="K622" s="80"/>
      <c r="L622" s="80"/>
      <c r="M622" s="8"/>
    </row>
    <row r="623" spans="1:14" s="3" customFormat="1" ht="12.2" customHeight="1" x14ac:dyDescent="0.15">
      <c r="A623" s="74"/>
      <c r="B623" s="22"/>
      <c r="C623" s="22"/>
      <c r="D623" s="22"/>
      <c r="E623" s="22"/>
      <c r="F623" s="87" t="s">
        <v>864</v>
      </c>
      <c r="G623" s="80">
        <f>F51</f>
        <v>756344.42999999993</v>
      </c>
      <c r="H623" s="80">
        <f>F477</f>
        <v>756344.4299999997</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10070.83</v>
      </c>
      <c r="H624" s="80">
        <f>G477</f>
        <v>10070.830000000075</v>
      </c>
      <c r="I624" s="87" t="s">
        <v>102</v>
      </c>
      <c r="J624" s="80">
        <f t="shared" si="50"/>
        <v>-7.4578565545380116E-11</v>
      </c>
      <c r="K624" s="80"/>
      <c r="L624" s="80"/>
      <c r="M624" s="8"/>
    </row>
    <row r="625" spans="1:13" s="3" customFormat="1" ht="12.2" customHeight="1" x14ac:dyDescent="0.15">
      <c r="A625" s="74"/>
      <c r="B625" s="22"/>
      <c r="C625" s="22"/>
      <c r="D625" s="22"/>
      <c r="E625" s="22"/>
      <c r="F625" s="86" t="s">
        <v>866</v>
      </c>
      <c r="G625" s="80">
        <f>H51</f>
        <v>503244.57</v>
      </c>
      <c r="H625" s="80">
        <f>H477</f>
        <v>503244.56999999995</v>
      </c>
      <c r="I625" s="87" t="s">
        <v>103</v>
      </c>
      <c r="J625" s="80">
        <f t="shared" si="50"/>
        <v>0</v>
      </c>
      <c r="K625" s="80"/>
      <c r="L625" s="80"/>
      <c r="M625" s="8"/>
    </row>
    <row r="626" spans="1:13" s="3" customFormat="1" ht="12.2" customHeight="1" x14ac:dyDescent="0.15">
      <c r="A626" s="74"/>
      <c r="B626" s="22"/>
      <c r="C626" s="22"/>
      <c r="D626" s="22"/>
      <c r="E626" s="22"/>
      <c r="F626" s="86" t="s">
        <v>867</v>
      </c>
      <c r="G626" s="80">
        <f>I51</f>
        <v>1744436.27</v>
      </c>
      <c r="H626" s="80">
        <f>I477</f>
        <v>1744436.2699999998</v>
      </c>
      <c r="I626" s="87" t="s">
        <v>104</v>
      </c>
      <c r="J626" s="80">
        <f t="shared" si="50"/>
        <v>0</v>
      </c>
      <c r="K626" s="80"/>
      <c r="L626" s="80"/>
      <c r="M626" s="8"/>
    </row>
    <row r="627" spans="1:13" s="3" customFormat="1" ht="12.2" customHeight="1" x14ac:dyDescent="0.15">
      <c r="A627" s="21"/>
      <c r="B627" s="22"/>
      <c r="C627" s="22"/>
      <c r="D627" s="22"/>
      <c r="E627" s="22"/>
      <c r="F627" s="86" t="s">
        <v>868</v>
      </c>
      <c r="G627" s="80">
        <f>J51</f>
        <v>42365</v>
      </c>
      <c r="H627" s="80">
        <f>J477</f>
        <v>42365</v>
      </c>
      <c r="I627" s="87" t="s">
        <v>105</v>
      </c>
      <c r="J627" s="80">
        <f t="shared" si="50"/>
        <v>0</v>
      </c>
      <c r="K627" s="67"/>
      <c r="L627" s="69"/>
      <c r="M627" s="8"/>
    </row>
    <row r="628" spans="1:13" s="3" customFormat="1" ht="12.2" customHeight="1" x14ac:dyDescent="0.15">
      <c r="A628" s="21"/>
      <c r="B628" s="22"/>
      <c r="C628" s="22"/>
      <c r="D628" s="22"/>
      <c r="E628" s="22"/>
      <c r="F628" s="86" t="s">
        <v>658</v>
      </c>
      <c r="G628" s="80">
        <f>F194</f>
        <v>31408311.949999999</v>
      </c>
      <c r="H628" s="80">
        <f>SUM(F469)</f>
        <v>31408311.949999999</v>
      </c>
      <c r="I628" s="87" t="s">
        <v>106</v>
      </c>
      <c r="J628" s="80">
        <f>G628-H628</f>
        <v>0</v>
      </c>
      <c r="K628" s="67"/>
      <c r="L628" s="69"/>
      <c r="M628" s="8"/>
    </row>
    <row r="629" spans="1:13" s="3" customFormat="1" ht="12.2" customHeight="1" x14ac:dyDescent="0.15">
      <c r="A629" s="21"/>
      <c r="B629" s="22"/>
      <c r="C629" s="22"/>
      <c r="D629" s="22"/>
      <c r="E629" s="22"/>
      <c r="F629" s="86" t="s">
        <v>659</v>
      </c>
      <c r="G629" s="80">
        <f>G194</f>
        <v>1022273.74</v>
      </c>
      <c r="H629" s="80">
        <f>SUM(G469)</f>
        <v>1022273.74</v>
      </c>
      <c r="I629" s="87" t="s">
        <v>107</v>
      </c>
      <c r="J629" s="80">
        <f>G629-H629</f>
        <v>0</v>
      </c>
      <c r="K629" s="67"/>
      <c r="L629" s="69"/>
      <c r="M629" s="8"/>
    </row>
    <row r="630" spans="1:13" s="3" customFormat="1" ht="12.2" customHeight="1" x14ac:dyDescent="0.15">
      <c r="A630" s="21"/>
      <c r="B630" s="22"/>
      <c r="C630" s="22"/>
      <c r="D630" s="22"/>
      <c r="E630" s="22"/>
      <c r="F630" s="86" t="s">
        <v>660</v>
      </c>
      <c r="G630" s="80">
        <f>H194</f>
        <v>1064654.8900000001</v>
      </c>
      <c r="H630" s="80">
        <f>SUM(H469)</f>
        <v>1064654.8899999999</v>
      </c>
      <c r="I630" s="87" t="s">
        <v>108</v>
      </c>
      <c r="J630" s="80">
        <f>G630-H630</f>
        <v>0</v>
      </c>
      <c r="K630" s="67"/>
      <c r="L630" s="69"/>
      <c r="M630" s="8"/>
    </row>
    <row r="631" spans="1:13" s="3" customFormat="1" ht="12.2" customHeight="1" x14ac:dyDescent="0.15">
      <c r="A631" s="21"/>
      <c r="B631" s="22"/>
      <c r="C631" s="22"/>
      <c r="D631" s="22"/>
      <c r="E631" s="22"/>
      <c r="F631" s="86" t="s">
        <v>661</v>
      </c>
      <c r="G631" s="80">
        <f>I194</f>
        <v>1837000</v>
      </c>
      <c r="H631" s="80">
        <f>SUM(I469)</f>
        <v>1837000</v>
      </c>
      <c r="I631" s="87" t="s">
        <v>109</v>
      </c>
      <c r="J631" s="80">
        <f>G631-H631</f>
        <v>0</v>
      </c>
      <c r="K631" s="67"/>
      <c r="L631" s="69"/>
      <c r="M631" s="8"/>
    </row>
    <row r="632" spans="1:13" s="3" customFormat="1" ht="12.2" customHeight="1" x14ac:dyDescent="0.15">
      <c r="A632" s="21"/>
      <c r="B632" s="22"/>
      <c r="C632" s="22"/>
      <c r="D632" s="22"/>
      <c r="E632" s="22"/>
      <c r="F632" s="86" t="s">
        <v>662</v>
      </c>
      <c r="G632" s="80">
        <f>J194</f>
        <v>-3510</v>
      </c>
      <c r="H632" s="80">
        <f>SUM(J469)</f>
        <v>-3510</v>
      </c>
      <c r="I632" s="87" t="s">
        <v>110</v>
      </c>
      <c r="J632" s="80">
        <f>G632-H632</f>
        <v>0</v>
      </c>
      <c r="K632" s="67"/>
      <c r="L632" s="69"/>
      <c r="M632" s="8"/>
    </row>
    <row r="633" spans="1:13" s="3" customFormat="1" ht="12.2" customHeight="1" x14ac:dyDescent="0.15">
      <c r="A633" s="21"/>
      <c r="B633" s="22"/>
      <c r="C633" s="22"/>
      <c r="D633" s="22"/>
      <c r="E633" s="22"/>
      <c r="F633" s="86" t="s">
        <v>394</v>
      </c>
      <c r="G633" s="80">
        <f>SUM(L272)</f>
        <v>31115602.650000006</v>
      </c>
      <c r="H633" s="80">
        <f>SUM(F473)</f>
        <v>31115602.649999999</v>
      </c>
      <c r="I633" s="87" t="s">
        <v>111</v>
      </c>
      <c r="J633" s="80">
        <f t="shared" si="50"/>
        <v>0</v>
      </c>
      <c r="K633" s="67"/>
      <c r="L633" s="69"/>
      <c r="M633" s="8"/>
    </row>
    <row r="634" spans="1:13" s="3" customFormat="1" ht="12.2" customHeight="1" x14ac:dyDescent="0.15">
      <c r="A634" s="21"/>
      <c r="B634" s="22"/>
      <c r="C634" s="22"/>
      <c r="D634" s="22"/>
      <c r="E634" s="22"/>
      <c r="F634" s="86" t="s">
        <v>395</v>
      </c>
      <c r="G634" s="80">
        <f>SUM(L353)</f>
        <v>1041088.5700000001</v>
      </c>
      <c r="H634" s="80">
        <f>SUM(H473)</f>
        <v>1041088.57</v>
      </c>
      <c r="I634" s="87" t="s">
        <v>112</v>
      </c>
      <c r="J634" s="80">
        <f>G634-H634</f>
        <v>0</v>
      </c>
      <c r="K634" s="67"/>
      <c r="L634" s="69"/>
      <c r="M634" s="8"/>
    </row>
    <row r="635" spans="1:13" s="124" customFormat="1" ht="12.2" customHeight="1" x14ac:dyDescent="0.15">
      <c r="A635" s="21"/>
      <c r="B635" s="22"/>
      <c r="C635" s="22"/>
      <c r="D635" s="22"/>
      <c r="E635" s="22"/>
      <c r="F635" s="99" t="s">
        <v>247</v>
      </c>
      <c r="G635" s="80">
        <f>I363</f>
        <v>161363.04</v>
      </c>
      <c r="H635" s="80">
        <f>I370</f>
        <v>161363.04</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1021337.84</v>
      </c>
      <c r="H636" s="80">
        <f>SUM(G473)</f>
        <v>1021337.84</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117848.61</v>
      </c>
      <c r="H637" s="80">
        <f>SUM(I473)</f>
        <v>117848.61</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-3510</v>
      </c>
      <c r="H638" s="108">
        <f>SUM(J469)</f>
        <v>-3510</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0"/>
        <v>0</v>
      </c>
      <c r="K640" s="67"/>
      <c r="L640" s="69"/>
      <c r="M640" s="8"/>
    </row>
    <row r="641" spans="1:13" s="3" customFormat="1" ht="12.2" customHeight="1" x14ac:dyDescent="0.15">
      <c r="A641" s="21"/>
      <c r="B641" s="22"/>
      <c r="C641" s="22"/>
      <c r="D641" s="22"/>
      <c r="E641" s="22"/>
      <c r="F641" s="86" t="s">
        <v>119</v>
      </c>
      <c r="G641" s="80">
        <f>SUM(G447)</f>
        <v>42365</v>
      </c>
      <c r="H641" s="80">
        <f>SUM(G462)</f>
        <v>42365</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42365</v>
      </c>
      <c r="H643" s="80">
        <f>SUM(I462)</f>
        <v>42365</v>
      </c>
      <c r="I643" s="87" t="s">
        <v>843</v>
      </c>
      <c r="J643" s="80">
        <f t="shared" si="50"/>
        <v>0</v>
      </c>
      <c r="K643" s="67"/>
      <c r="L643" s="69"/>
      <c r="M643" s="8"/>
    </row>
    <row r="644" spans="1:13" s="3" customFormat="1" ht="12.2" customHeight="1" x14ac:dyDescent="0.15">
      <c r="A644" s="21"/>
      <c r="B644" s="22"/>
      <c r="C644" s="22"/>
      <c r="D644" s="22"/>
      <c r="E644" s="22"/>
      <c r="F644" s="86" t="s">
        <v>249</v>
      </c>
      <c r="G644" s="80">
        <f>J57</f>
        <v>-3510</v>
      </c>
      <c r="H644" s="80">
        <f>F409</f>
        <v>-3510</v>
      </c>
      <c r="I644" s="87" t="s">
        <v>479</v>
      </c>
      <c r="J644" s="80">
        <f t="shared" si="50"/>
        <v>0</v>
      </c>
      <c r="K644" s="67"/>
      <c r="L644" s="69"/>
      <c r="M644" s="8"/>
    </row>
    <row r="645" spans="1:13" s="3" customFormat="1" ht="12.2" customHeight="1" x14ac:dyDescent="0.15">
      <c r="A645" s="21"/>
      <c r="B645" s="22"/>
      <c r="C645" s="22"/>
      <c r="D645" s="22"/>
      <c r="E645" s="22"/>
      <c r="F645" s="86" t="s">
        <v>663</v>
      </c>
      <c r="G645" s="80">
        <f>J96</f>
        <v>0</v>
      </c>
      <c r="H645" s="80">
        <f>H409</f>
        <v>0</v>
      </c>
      <c r="I645" s="87" t="s">
        <v>480</v>
      </c>
      <c r="J645" s="80">
        <f t="shared" si="50"/>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0"/>
        <v>0</v>
      </c>
      <c r="K646" s="67"/>
      <c r="L646" s="69"/>
      <c r="M646" s="8"/>
    </row>
    <row r="647" spans="1:13" s="3" customFormat="1" ht="12.2" customHeight="1" x14ac:dyDescent="0.15">
      <c r="A647" s="21"/>
      <c r="B647" s="22"/>
      <c r="C647" s="22"/>
      <c r="D647" s="22"/>
      <c r="E647" s="22"/>
      <c r="F647" s="86" t="s">
        <v>662</v>
      </c>
      <c r="G647" s="80">
        <f>J194</f>
        <v>-3510</v>
      </c>
      <c r="H647" s="80">
        <f>L409</f>
        <v>-3510</v>
      </c>
      <c r="I647" s="87" t="s">
        <v>477</v>
      </c>
      <c r="J647" s="80">
        <f t="shared" si="50"/>
        <v>0</v>
      </c>
      <c r="K647" s="67"/>
      <c r="L647" s="69"/>
      <c r="M647" s="8"/>
    </row>
    <row r="648" spans="1:13" s="3" customFormat="1" ht="12.2" customHeight="1" x14ac:dyDescent="0.15">
      <c r="A648" s="21"/>
      <c r="B648" s="22"/>
      <c r="C648" s="22"/>
      <c r="D648" s="22"/>
      <c r="E648" s="22"/>
      <c r="F648" s="86" t="s">
        <v>51</v>
      </c>
      <c r="G648" s="80">
        <f>K599</f>
        <v>259556.84</v>
      </c>
      <c r="H648" s="80">
        <f>L209+L227+L245</f>
        <v>259556.84</v>
      </c>
      <c r="I648" s="87" t="s">
        <v>396</v>
      </c>
      <c r="J648" s="80">
        <f t="shared" si="50"/>
        <v>0</v>
      </c>
      <c r="K648" s="67"/>
      <c r="L648" s="69"/>
      <c r="M648" s="8"/>
    </row>
    <row r="649" spans="1:13" s="3" customFormat="1" ht="12.2" customHeight="1" x14ac:dyDescent="0.15">
      <c r="A649" s="21"/>
      <c r="B649" s="22"/>
      <c r="C649" s="22"/>
      <c r="D649" s="22"/>
      <c r="E649" s="22"/>
      <c r="F649" s="86" t="s">
        <v>52</v>
      </c>
      <c r="G649" s="80">
        <f>K606</f>
        <v>763267.70000000007</v>
      </c>
      <c r="H649" s="80">
        <f>(J258+J339)-(J256+J337)</f>
        <v>763267.7</v>
      </c>
      <c r="I649" s="87" t="s">
        <v>699</v>
      </c>
      <c r="J649" s="80">
        <f t="shared" si="50"/>
        <v>0</v>
      </c>
      <c r="K649" s="67"/>
      <c r="L649" s="69"/>
      <c r="M649" s="8"/>
    </row>
    <row r="650" spans="1:13" s="3" customFormat="1" ht="12.2" customHeight="1" x14ac:dyDescent="0.15">
      <c r="A650" s="21"/>
      <c r="B650" s="22"/>
      <c r="C650" s="22"/>
      <c r="D650" s="22"/>
      <c r="E650" s="22"/>
      <c r="F650" s="86" t="s">
        <v>387</v>
      </c>
      <c r="G650" s="80">
        <f>L209</f>
        <v>23538.54</v>
      </c>
      <c r="H650" s="80">
        <f>H599</f>
        <v>23538.54</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236018.3</v>
      </c>
      <c r="H652" s="80">
        <f>J599</f>
        <v>236018.3</v>
      </c>
      <c r="I652" s="87" t="s">
        <v>390</v>
      </c>
      <c r="J652" s="80">
        <f t="shared" si="50"/>
        <v>0</v>
      </c>
      <c r="K652" s="67"/>
      <c r="L652" s="69"/>
      <c r="M652" s="8"/>
    </row>
    <row r="653" spans="1:13" s="3" customFormat="1" ht="12.2" customHeight="1" x14ac:dyDescent="0.15">
      <c r="A653" s="21"/>
      <c r="B653" s="22"/>
      <c r="C653" s="22"/>
      <c r="D653" s="22"/>
      <c r="E653" s="22"/>
      <c r="F653" s="86" t="s">
        <v>665</v>
      </c>
      <c r="G653" s="80">
        <f>G180+G182</f>
        <v>68448.649999999994</v>
      </c>
      <c r="H653" s="80">
        <f>K264+K346</f>
        <v>68448.649999999994</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1837000</v>
      </c>
      <c r="H655" s="80">
        <f>K266+K347</f>
        <v>1837000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9494419.6799999997</v>
      </c>
      <c r="G661" s="13">
        <f>(L230+L310+L360)</f>
        <v>0</v>
      </c>
      <c r="H661" s="13">
        <f>(L248+L329+L361)</f>
        <v>17973760.300000001</v>
      </c>
      <c r="I661" s="13">
        <f>SUM(F661:H661)</f>
        <v>27468179.98</v>
      </c>
      <c r="J661" s="13"/>
      <c r="K661" s="13"/>
      <c r="L661" s="13"/>
      <c r="M661" s="9"/>
    </row>
    <row r="662" spans="1:13" s="3" customFormat="1" ht="12.2" customHeight="1" x14ac:dyDescent="0.2">
      <c r="A662" s="1" t="s">
        <v>127</v>
      </c>
      <c r="F662" s="13">
        <f>(L359/IF(SUM(L359:L361)=0,1,SUM(L359:L361))*(SUM(G97:G110)))</f>
        <v>232239.91300814724</v>
      </c>
      <c r="G662" s="13">
        <f>(L360/IF(SUM(L359:L361)=0,1,SUM(L359:L361))*(SUM(G97:G110)))</f>
        <v>0</v>
      </c>
      <c r="H662" s="13">
        <f>(L361/IF(SUM(L359:L361)=0,1,SUM(L359:L361))*(SUM(G97:G110)))</f>
        <v>721585.17699185282</v>
      </c>
      <c r="I662" s="13">
        <f>SUM(F662:H662)</f>
        <v>953825.09000000008</v>
      </c>
      <c r="J662"/>
      <c r="K662" s="13"/>
      <c r="L662" s="13"/>
      <c r="M662" s="8"/>
    </row>
    <row r="663" spans="1:13" s="3" customFormat="1" ht="12.2" customHeight="1" x14ac:dyDescent="0.2">
      <c r="A663" s="1" t="s">
        <v>128</v>
      </c>
      <c r="F663" s="13">
        <f>(L209+L288)-(J209+J288)</f>
        <v>23538.54</v>
      </c>
      <c r="G663" s="13">
        <f>(L227+L307)-(J227+J307)</f>
        <v>0</v>
      </c>
      <c r="H663" s="13">
        <f>(L245+L326)-(J245+J326)</f>
        <v>236018.3</v>
      </c>
      <c r="I663" s="13">
        <f>SUM(F663:H663)</f>
        <v>259556.84</v>
      </c>
      <c r="J663"/>
      <c r="K663" s="13"/>
      <c r="L663" s="13"/>
      <c r="M663" s="9"/>
    </row>
    <row r="664" spans="1:13" s="3" customFormat="1" ht="12.2" customHeight="1" x14ac:dyDescent="0.15">
      <c r="A664" s="142" t="s">
        <v>129</v>
      </c>
      <c r="B664" s="124"/>
      <c r="C664" s="124"/>
      <c r="D664" s="124"/>
      <c r="E664" s="124"/>
      <c r="F664" s="143">
        <f>SUM(F576:F588)+SUM(H603:H605)+SUM(L612)</f>
        <v>291710.99000000005</v>
      </c>
      <c r="G664" s="143">
        <f>SUM(G576:G588)+SUM(I603:I605)+L613</f>
        <v>0</v>
      </c>
      <c r="H664" s="143">
        <f>SUM(H576:H588)+SUM(J603:J605)+L614</f>
        <v>705237.52</v>
      </c>
      <c r="I664" s="13">
        <f>SUM(F664:H664)</f>
        <v>996948.51</v>
      </c>
      <c r="J664" s="13"/>
      <c r="K664" s="13"/>
      <c r="L664" s="13"/>
      <c r="M664" s="9"/>
    </row>
    <row r="665" spans="1:13" s="3" customFormat="1" ht="12.2" customHeight="1" x14ac:dyDescent="0.15">
      <c r="A665" s="1" t="s">
        <v>130</v>
      </c>
      <c r="F665" s="13">
        <f>F661-SUM(F662:F664)</f>
        <v>8946930.2369918525</v>
      </c>
      <c r="G665" s="13">
        <f>G661-SUM(G662:G664)</f>
        <v>0</v>
      </c>
      <c r="H665" s="13">
        <f>H661-SUM(H662:H664)</f>
        <v>16310919.303008148</v>
      </c>
      <c r="I665" s="13">
        <f>I661-SUM(I662:I664)</f>
        <v>25257849.539999999</v>
      </c>
      <c r="J665" s="13"/>
      <c r="K665" s="13"/>
      <c r="L665" s="13"/>
      <c r="M665" s="8"/>
    </row>
    <row r="666" spans="1:13" s="3" customFormat="1" ht="12.2" customHeight="1" x14ac:dyDescent="0.2">
      <c r="A666" s="1" t="s">
        <v>131</v>
      </c>
      <c r="F666" s="183">
        <v>360.06</v>
      </c>
      <c r="G666" s="184">
        <v>0</v>
      </c>
      <c r="H666" s="184">
        <v>651.96</v>
      </c>
      <c r="I666" s="13">
        <f>SUM(F666:H666)</f>
        <v>1012.02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24848.44</v>
      </c>
      <c r="G668" s="13" t="e">
        <f>ROUND(G665/G666,2)</f>
        <v>#DIV/0!</v>
      </c>
      <c r="H668" s="13">
        <f>ROUND(H665/H666,2)</f>
        <v>25018.28</v>
      </c>
      <c r="I668" s="13">
        <f>ROUND(I665/I666,2)</f>
        <v>24957.86</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v>-3.61</v>
      </c>
      <c r="I671" s="13">
        <f>SUM(F671:H671)</f>
        <v>-3.61</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24848.44</v>
      </c>
      <c r="G673" s="13" t="e">
        <f>ROUND((G665+G670)/(G666+G671),2)</f>
        <v>#DIV/0!</v>
      </c>
      <c r="H673" s="13">
        <f>ROUND((H665+H670)/(H666+H671),2)</f>
        <v>25157.58</v>
      </c>
      <c r="I673" s="13">
        <f>ROUND((I665+I670)/(I666+I671),2)</f>
        <v>25047.200000000001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77"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4" sqref="E14"/>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73102.820000000007</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f>43103.18</f>
        <v>43103.18</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f>25426.83+4335+237.81</f>
        <v>29999.640000000003</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17"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Dresden</v>
      </c>
      <c r="C5" s="317"/>
      <c r="D5" s="317"/>
      <c r="E5" s="317"/>
      <c r="F5" s="317"/>
    </row>
    <row r="8" spans="1:9" ht="18" x14ac:dyDescent="0.25">
      <c r="A8" s="240" t="s">
        <v>1560</v>
      </c>
      <c r="F8" s="247" t="s">
        <v>1578</v>
      </c>
    </row>
    <row r="9" spans="1:9" ht="15" x14ac:dyDescent="0.2">
      <c r="A9" s="238" t="s">
        <v>1561</v>
      </c>
      <c r="B9" s="241">
        <f>'DOE25'!G97</f>
        <v>953825.09</v>
      </c>
      <c r="F9" s="238" t="s">
        <v>1574</v>
      </c>
    </row>
    <row r="10" spans="1:9" ht="15" x14ac:dyDescent="0.2">
      <c r="A10" s="238" t="s">
        <v>1562</v>
      </c>
      <c r="B10" s="241">
        <f>'DOE25'!G112-'DOE25'!G97</f>
        <v>0</v>
      </c>
      <c r="F10" s="238" t="s">
        <v>1575</v>
      </c>
    </row>
    <row r="11" spans="1:9" ht="15" x14ac:dyDescent="0.2">
      <c r="A11" s="238" t="s">
        <v>1563</v>
      </c>
      <c r="B11" s="241">
        <f>'DOE25'!G140</f>
        <v>0</v>
      </c>
      <c r="F11" s="238" t="s">
        <v>1576</v>
      </c>
    </row>
    <row r="12" spans="1:9" ht="15" x14ac:dyDescent="0.2">
      <c r="A12" s="238" t="s">
        <v>1564</v>
      </c>
      <c r="B12" s="241">
        <f>'DOE25'!G170</f>
        <v>0</v>
      </c>
      <c r="F12" s="238" t="s">
        <v>1577</v>
      </c>
    </row>
    <row r="13" spans="1:9" ht="15" x14ac:dyDescent="0.2">
      <c r="A13" s="238" t="s">
        <v>1565</v>
      </c>
      <c r="B13" s="241">
        <f>'DOE25'!G193-'DOE25'!G180</f>
        <v>0</v>
      </c>
      <c r="F13" s="238" t="s">
        <v>1587</v>
      </c>
    </row>
    <row r="14" spans="1:9" ht="18" x14ac:dyDescent="0.25">
      <c r="A14" s="240" t="s">
        <v>732</v>
      </c>
      <c r="B14" s="242">
        <f>SUM(B9:B13)</f>
        <v>953825.09</v>
      </c>
    </row>
    <row r="16" spans="1:9" ht="18" x14ac:dyDescent="0.25">
      <c r="A16" s="240" t="s">
        <v>786</v>
      </c>
      <c r="F16" s="247" t="s">
        <v>1579</v>
      </c>
    </row>
    <row r="17" spans="1:6" ht="15" x14ac:dyDescent="0.2">
      <c r="A17" s="238" t="s">
        <v>1566</v>
      </c>
      <c r="B17" s="241">
        <f>'DOE25'!L363-'DOE25'!L362</f>
        <v>1021337.84</v>
      </c>
      <c r="F17" s="238" t="s">
        <v>1580</v>
      </c>
    </row>
    <row r="18" spans="1:6" ht="15" x14ac:dyDescent="0.2">
      <c r="A18" s="238" t="s">
        <v>1567</v>
      </c>
      <c r="B18" s="251"/>
      <c r="F18" s="247" t="s">
        <v>1604</v>
      </c>
    </row>
    <row r="19" spans="1:6" ht="18" x14ac:dyDescent="0.25">
      <c r="A19" s="240" t="s">
        <v>725</v>
      </c>
      <c r="B19" s="242">
        <f>SUM(B17:B18)</f>
        <v>1021337.84</v>
      </c>
    </row>
    <row r="21" spans="1:6" ht="18.75" thickBot="1" x14ac:dyDescent="0.3">
      <c r="A21" s="240" t="s">
        <v>1568</v>
      </c>
    </row>
    <row r="22" spans="1:6" ht="18.75" thickTop="1" x14ac:dyDescent="0.25">
      <c r="A22" s="240" t="s">
        <v>1569</v>
      </c>
      <c r="B22" s="246">
        <f>B14-B19</f>
        <v>-67512.75</v>
      </c>
      <c r="F22" s="238" t="s">
        <v>1581</v>
      </c>
    </row>
    <row r="26" spans="1:6" ht="18" x14ac:dyDescent="0.25">
      <c r="A26" s="240" t="s">
        <v>186</v>
      </c>
    </row>
    <row r="27" spans="1:6" ht="15" x14ac:dyDescent="0.2">
      <c r="A27" s="238" t="s">
        <v>1570</v>
      </c>
      <c r="B27" s="241">
        <f>'DOE25'!G180</f>
        <v>68448.649999999994</v>
      </c>
      <c r="F27" s="238" t="s">
        <v>1582</v>
      </c>
    </row>
    <row r="28" spans="1:6" ht="15" x14ac:dyDescent="0.2">
      <c r="A28" s="238" t="s">
        <v>1572</v>
      </c>
      <c r="B28" s="241">
        <f>'DOE25'!L362</f>
        <v>0</v>
      </c>
      <c r="F28" s="238" t="s">
        <v>1583</v>
      </c>
    </row>
    <row r="31" spans="1:6" ht="15" x14ac:dyDescent="0.2">
      <c r="A31" s="238" t="s">
        <v>1797</v>
      </c>
      <c r="B31" s="241">
        <f>'DOE25'!G466</f>
        <v>9134.93</v>
      </c>
      <c r="F31" s="238" t="s">
        <v>1584</v>
      </c>
    </row>
    <row r="33" spans="1:6" ht="15" x14ac:dyDescent="0.2">
      <c r="A33" s="238" t="s">
        <v>1798</v>
      </c>
      <c r="B33" s="241">
        <f>'DOE25'!G477</f>
        <v>10070.830000000075</v>
      </c>
      <c r="F33" s="238" t="s">
        <v>1585</v>
      </c>
    </row>
    <row r="36" spans="1:6" ht="15" x14ac:dyDescent="0.2">
      <c r="A36" s="238" t="s">
        <v>1571</v>
      </c>
      <c r="B36" s="252">
        <v>0</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17" zoomScaleNormal="100" workbookViewId="0">
      <selection activeCell="C20" sqref="C20"/>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Dresden</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8321462.9699999997</v>
      </c>
      <c r="C9" s="167">
        <f>'DOE25'!G198+'DOE25'!G216+'DOE25'!G234+'DOE25'!G277+'DOE25'!G296+'DOE25'!G315</f>
        <v>3392579.02</v>
      </c>
    </row>
    <row r="10" spans="1:3" x14ac:dyDescent="0.2">
      <c r="A10" t="s">
        <v>775</v>
      </c>
      <c r="B10" s="177">
        <v>7724576</v>
      </c>
      <c r="C10" s="177">
        <v>3107721.06</v>
      </c>
    </row>
    <row r="11" spans="1:3" x14ac:dyDescent="0.2">
      <c r="A11" t="s">
        <v>776</v>
      </c>
      <c r="B11" s="177">
        <f>415531.77+66176.8</f>
        <v>481708.57</v>
      </c>
      <c r="C11" s="177">
        <v>255305.54</v>
      </c>
    </row>
    <row r="12" spans="1:3" x14ac:dyDescent="0.2">
      <c r="A12" t="s">
        <v>777</v>
      </c>
      <c r="B12" s="177">
        <v>115178.4</v>
      </c>
      <c r="C12" s="177">
        <f>10596.42+18956</f>
        <v>29552.42</v>
      </c>
    </row>
    <row r="13" spans="1:3" x14ac:dyDescent="0.2">
      <c r="A13" t="str">
        <f>IF(B9=B13,IF(C9=C13,"Check Total OK","Check Total Error"),"Check Total Error")</f>
        <v>Check Total OK</v>
      </c>
      <c r="B13" s="169">
        <f>SUM(B10:B12)</f>
        <v>8321462.9700000007</v>
      </c>
      <c r="C13" s="169">
        <f>SUM(C10:C12)</f>
        <v>3392579.02</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2132055.83</v>
      </c>
      <c r="C18" s="167">
        <f>'DOE25'!G199+'DOE25'!G217+'DOE25'!G235+'DOE25'!G278+'DOE25'!G297+'DOE25'!G316</f>
        <v>1177765.9500000002</v>
      </c>
    </row>
    <row r="19" spans="1:3" x14ac:dyDescent="0.2">
      <c r="A19" t="s">
        <v>775</v>
      </c>
      <c r="B19" s="177">
        <v>1487676.72</v>
      </c>
      <c r="C19" s="177">
        <v>836493.03</v>
      </c>
    </row>
    <row r="20" spans="1:3" x14ac:dyDescent="0.2">
      <c r="A20" t="s">
        <v>776</v>
      </c>
      <c r="B20" s="177">
        <v>643832.23</v>
      </c>
      <c r="C20" s="177">
        <v>341231.09</v>
      </c>
    </row>
    <row r="21" spans="1:3" x14ac:dyDescent="0.2">
      <c r="A21" t="s">
        <v>777</v>
      </c>
      <c r="B21" s="177">
        <v>546.88</v>
      </c>
      <c r="C21" s="177">
        <v>41.83</v>
      </c>
    </row>
    <row r="22" spans="1:3" x14ac:dyDescent="0.2">
      <c r="A22" t="str">
        <f>IF(B18=B22,IF(C18=C22,"Check Total OK","Check Total Error"),"Check Total Error")</f>
        <v>Check Total OK</v>
      </c>
      <c r="B22" s="169">
        <f>SUM(B19:B21)</f>
        <v>2132055.83</v>
      </c>
      <c r="C22" s="169">
        <f>SUM(C19:C21)</f>
        <v>1177765.9500000002</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613474.93999999994</v>
      </c>
      <c r="C36" s="173">
        <f>'DOE25'!G201+'DOE25'!G219+'DOE25'!G237+'DOE25'!G280+'DOE25'!G299+'DOE25'!G318</f>
        <v>177015.08000000002</v>
      </c>
    </row>
    <row r="37" spans="1:3" x14ac:dyDescent="0.2">
      <c r="A37" t="s">
        <v>775</v>
      </c>
      <c r="B37" s="177"/>
      <c r="C37" s="177"/>
    </row>
    <row r="38" spans="1:3" x14ac:dyDescent="0.2">
      <c r="A38" t="s">
        <v>776</v>
      </c>
      <c r="B38" s="177"/>
      <c r="C38" s="177"/>
    </row>
    <row r="39" spans="1:3" x14ac:dyDescent="0.2">
      <c r="A39" t="s">
        <v>777</v>
      </c>
      <c r="B39" s="177">
        <v>613474.93999999994</v>
      </c>
      <c r="C39" s="177">
        <v>177015.08</v>
      </c>
    </row>
    <row r="40" spans="1:3" x14ac:dyDescent="0.2">
      <c r="A40" t="str">
        <f>IF(B36=B40,IF(C36=C40,"Check Total OK","Check Total Error"),"Check Total Error")</f>
        <v>Check Total OK</v>
      </c>
      <c r="B40" s="169">
        <f>SUM(B37:B39)</f>
        <v>613474.93999999994</v>
      </c>
      <c r="C40" s="169">
        <f>SUM(C37:C39)</f>
        <v>177015.08</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17" activePane="bottomLeft" state="frozen"/>
      <selection activeCell="F46" sqref="F46"/>
      <selection pane="bottomLeft" activeCell="F42" sqref="F4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Dresden</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16727104.250000004</v>
      </c>
      <c r="D5" s="19">
        <f>SUM('DOE25'!L198:L201)+SUM('DOE25'!L216:L219)+SUM('DOE25'!L234:L237)-F5-G5-H5</f>
        <v>16249340.210000005</v>
      </c>
      <c r="E5" s="180"/>
      <c r="F5" s="181"/>
      <c r="G5" s="19">
        <f>SUM('DOE25'!J198:J201)+SUM('DOE25'!J216:J219)+SUM('DOE25'!J234:J237)</f>
        <v>456289.44000000006</v>
      </c>
      <c r="H5" s="19">
        <f>SUM('DOE25'!K198:K201)+SUM('DOE25'!K216:K219)+SUM('DOE25'!K234:K237)</f>
        <v>21474.600000000002</v>
      </c>
      <c r="I5" s="192"/>
    </row>
    <row r="6" spans="1:9" x14ac:dyDescent="0.2">
      <c r="A6" s="31">
        <v>2100</v>
      </c>
      <c r="B6" t="s">
        <v>796</v>
      </c>
      <c r="C6" s="206">
        <f t="shared" si="0"/>
        <v>1709926.5999999999</v>
      </c>
      <c r="D6" s="19">
        <f>'DOE25'!L203+'DOE25'!L221+'DOE25'!L239-F6-G6-H6</f>
        <v>1709134.0199999998</v>
      </c>
      <c r="E6" s="180"/>
      <c r="F6" s="181"/>
      <c r="G6" s="19">
        <f>'DOE25'!J203+'DOE25'!J221+'DOE25'!J239</f>
        <v>167.58</v>
      </c>
      <c r="H6" s="19">
        <f>'DOE25'!K203+'DOE25'!K221+'DOE25'!K239</f>
        <v>625</v>
      </c>
      <c r="I6" s="192"/>
    </row>
    <row r="7" spans="1:9" x14ac:dyDescent="0.2">
      <c r="A7" s="31">
        <v>2200</v>
      </c>
      <c r="B7" t="s">
        <v>820</v>
      </c>
      <c r="C7" s="206">
        <f t="shared" si="0"/>
        <v>806172.35000000009</v>
      </c>
      <c r="D7" s="19">
        <f>'DOE25'!L204+'DOE25'!L222+'DOE25'!L240-F7-G7-H7</f>
        <v>628574.09000000008</v>
      </c>
      <c r="E7" s="180"/>
      <c r="F7" s="181"/>
      <c r="G7" s="19">
        <f>'DOE25'!J204+'DOE25'!J222+'DOE25'!J240</f>
        <v>176975.26</v>
      </c>
      <c r="H7" s="19">
        <f>'DOE25'!K204+'DOE25'!K222+'DOE25'!K240</f>
        <v>623</v>
      </c>
      <c r="I7" s="192"/>
    </row>
    <row r="8" spans="1:9" x14ac:dyDescent="0.2">
      <c r="A8" s="31">
        <v>2300</v>
      </c>
      <c r="B8" t="s">
        <v>797</v>
      </c>
      <c r="C8" s="206">
        <f t="shared" si="0"/>
        <v>1274764.8</v>
      </c>
      <c r="D8" s="180"/>
      <c r="E8" s="19">
        <f>'DOE25'!L205+'DOE25'!L223+'DOE25'!L241-F8-G8-H8-D9-D11</f>
        <v>1265772.3700000001</v>
      </c>
      <c r="F8" s="181"/>
      <c r="G8" s="19">
        <f>'DOE25'!J205+'DOE25'!J223+'DOE25'!J241</f>
        <v>0</v>
      </c>
      <c r="H8" s="19">
        <f>'DOE25'!K205+'DOE25'!K223+'DOE25'!K241</f>
        <v>8992.43</v>
      </c>
      <c r="I8" s="192"/>
    </row>
    <row r="9" spans="1:9" ht="14.25" x14ac:dyDescent="0.2">
      <c r="A9" s="31">
        <v>2310</v>
      </c>
      <c r="B9" s="71" t="s">
        <v>887</v>
      </c>
      <c r="C9" s="206">
        <f t="shared" si="0"/>
        <v>0</v>
      </c>
      <c r="D9" s="181"/>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2351446.89</v>
      </c>
      <c r="D12" s="19">
        <f>'DOE25'!L206+'DOE25'!L224+'DOE25'!L242-F12-G12-H12</f>
        <v>2347298.9300000002</v>
      </c>
      <c r="E12" s="180"/>
      <c r="F12" s="181"/>
      <c r="G12" s="19">
        <f>'DOE25'!J206+'DOE25'!J224+'DOE25'!J242</f>
        <v>770.96</v>
      </c>
      <c r="H12" s="19">
        <f>'DOE25'!K206+'DOE25'!K224+'DOE25'!K242</f>
        <v>3377</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2276781.8400000003</v>
      </c>
      <c r="D14" s="19">
        <f>'DOE25'!L208+'DOE25'!L226+'DOE25'!L244-F14-G14-H14</f>
        <v>2351460.8100000005</v>
      </c>
      <c r="E14" s="180"/>
      <c r="F14" s="181"/>
      <c r="G14" s="19">
        <f>'DOE25'!J208+'DOE25'!J226+'DOE25'!J244</f>
        <v>5321.03</v>
      </c>
      <c r="H14" s="19">
        <f>'DOE25'!K208+'DOE25'!K226+'DOE25'!K244</f>
        <v>-80000</v>
      </c>
      <c r="I14" s="192"/>
    </row>
    <row r="15" spans="1:9" x14ac:dyDescent="0.2">
      <c r="A15" s="31">
        <v>2700</v>
      </c>
      <c r="B15" t="s">
        <v>799</v>
      </c>
      <c r="C15" s="206">
        <f t="shared" si="0"/>
        <v>259556.84</v>
      </c>
      <c r="D15" s="19">
        <f>'DOE25'!L209+'DOE25'!L227+'DOE25'!L245-F15-G15-H15</f>
        <v>259556.84</v>
      </c>
      <c r="E15" s="180"/>
      <c r="F15" s="181"/>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184790.51</v>
      </c>
      <c r="D22" s="180"/>
      <c r="E22" s="180"/>
      <c r="F22" s="180"/>
      <c r="G22" s="19">
        <f>'DOE25'!L256+'DOE25'!L337</f>
        <v>184790.51</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3619609.92</v>
      </c>
      <c r="D25" s="180"/>
      <c r="E25" s="180"/>
      <c r="F25" s="191"/>
      <c r="G25" s="180"/>
      <c r="H25" s="180"/>
      <c r="I25" s="190">
        <f>'DOE25'!L261+'DOE25'!L262+'DOE25'!L342+'DOE25'!L343</f>
        <v>3619609.92</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859974.79999999993</v>
      </c>
      <c r="D29" s="212">
        <f>'DOE25'!L359+'DOE25'!L360+'DOE25'!L361-'DOE25'!I368-F29-G29-H29-F39</f>
        <v>857999.79999999993</v>
      </c>
      <c r="E29" s="180"/>
      <c r="F29" s="180"/>
      <c r="G29" s="19">
        <f>'DOE25'!J359+'DOE25'!J360+'DOE25'!J361</f>
        <v>1975</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1041088.5700000001</v>
      </c>
      <c r="D31" s="19">
        <f>'DOE25'!L291+'DOE25'!L310+'DOE25'!L329+'DOE25'!L334+'DOE25'!L335+'DOE25'!L336-F31-G31-H31</f>
        <v>917345.14000000013</v>
      </c>
      <c r="E31" s="180"/>
      <c r="F31" s="181"/>
      <c r="G31" s="19">
        <f>'DOE25'!J291+'DOE25'!J310+'DOE25'!J329+'DOE25'!J334+'DOE25'!J335+'DOE25'!J336</f>
        <v>123743.43</v>
      </c>
      <c r="H31" s="19">
        <f>'DOE25'!K291+'DOE25'!K310+'DOE25'!K329+'DOE25'!K334+'DOE25'!K335+'DOE25'!K336</f>
        <v>0</v>
      </c>
      <c r="I31" s="192"/>
    </row>
    <row r="32" spans="1:9" ht="12" thickBot="1" x14ac:dyDescent="0.25">
      <c r="C32" s="207"/>
      <c r="G32" s="188"/>
      <c r="H32" s="188"/>
      <c r="I32" s="194"/>
    </row>
    <row r="33" spans="1:9" ht="12" thickTop="1" x14ac:dyDescent="0.2">
      <c r="B33" t="s">
        <v>809</v>
      </c>
      <c r="D33" s="182">
        <f t="shared" ref="D33:I33" si="1">SUM(D5:D31)</f>
        <v>25320709.840000004</v>
      </c>
      <c r="E33" s="182">
        <f t="shared" si="1"/>
        <v>1265772.3700000001</v>
      </c>
      <c r="F33" s="182">
        <f t="shared" si="1"/>
        <v>0</v>
      </c>
      <c r="G33" s="182">
        <f t="shared" si="1"/>
        <v>950033.21</v>
      </c>
      <c r="H33" s="182">
        <f t="shared" si="1"/>
        <v>-44907.97</v>
      </c>
      <c r="I33" s="182">
        <f t="shared" si="1"/>
        <v>3619609.92</v>
      </c>
    </row>
    <row r="34" spans="1:9" ht="12" thickBot="1" x14ac:dyDescent="0.25"/>
    <row r="35" spans="1:9" ht="12" thickBot="1" x14ac:dyDescent="0.25">
      <c r="B35" s="188" t="s">
        <v>830</v>
      </c>
      <c r="D35" s="189">
        <f>E33</f>
        <v>1265772.3700000001</v>
      </c>
      <c r="E35" s="185"/>
      <c r="F35" s="295" t="s">
        <v>1608</v>
      </c>
      <c r="G35" s="296"/>
      <c r="H35" s="296"/>
      <c r="I35" s="297"/>
    </row>
    <row r="36" spans="1:9" ht="12" thickTop="1" x14ac:dyDescent="0.2">
      <c r="B36" t="s">
        <v>810</v>
      </c>
      <c r="D36" s="19">
        <f>D33</f>
        <v>25320709.840000004</v>
      </c>
      <c r="F36" s="298" t="s">
        <v>1606</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c r="G42" s="305" t="str">
        <f>IF(F42=0,"&lt;&lt;&lt;&lt;&lt; YOU HAVE NOT ENTERED YOUR CAPITALIZATION THRESHOLD!!","")</f>
        <v>&lt;&lt;&lt;&lt;&lt; YOU HAVE NOT ENTERED YOUR CAPITALIZATION THRESHOLD!!</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19" zoomScaleNormal="100" workbookViewId="0">
      <selection activeCell="I7" sqref="I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Dresden</v>
      </c>
      <c r="B2">
        <f>'DOE25'!B2</f>
        <v>142</v>
      </c>
      <c r="J2" s="224" t="s">
        <v>1808</v>
      </c>
      <c r="K2" s="309">
        <f>SUM('DOE25'!L198:L201)+SUM('DOE25'!L216:L219)+SUM('DOE25'!L234:L237)+SUM('DOE25'!L277:L280)+SUM('DOE25'!L296:L299)+SUM('DOE25'!L315:L318)</f>
        <v>17756208.870000005</v>
      </c>
      <c r="L2" s="309">
        <f>'DOE25'!L203+'DOE25'!L221+'DOE25'!L239+'DOE25'!L282+'DOE25'!L301+'DOE25'!L320</f>
        <v>1709926.5999999999</v>
      </c>
      <c r="M2" s="309">
        <f>'DOE25'!L204+'DOE25'!L222+'DOE25'!L240+'DOE25'!L283+'DOE25'!L302+'DOE25'!L321</f>
        <v>818156.3</v>
      </c>
      <c r="N2" s="309">
        <f>'DOE25'!L206+'DOE25'!L224+'DOE25'!L242+'DOE25'!L285+'DOE25'!L304+'DOE25'!L323</f>
        <v>2351446.89</v>
      </c>
      <c r="O2" s="309">
        <f>'Salaries-Benefits'!B10+'Salaries-Benefits'!B12+'Salaries-Benefits'!B19+'Salaries-Benefits'!B21+'Salaries-Benefits'!B28+'Salaries-Benefits'!B30+'Salaries-Benefits'!B37+'Salaries-Benefits'!B39</f>
        <v>9941452.9400000013</v>
      </c>
      <c r="P2" s="309">
        <f>'Salaries-Benefits'!B11+'Salaries-Benefits'!B20+'Salaries-Benefits'!B29+'Salaries-Benefits'!B38</f>
        <v>1125540.8</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-17756208.870000005</v>
      </c>
      <c r="L3" s="311">
        <f t="shared" ref="L3:P3" si="0">L21+L33+L43-L2</f>
        <v>-1709926.5999999999</v>
      </c>
      <c r="M3" s="311">
        <f t="shared" si="0"/>
        <v>-818156.3</v>
      </c>
      <c r="N3" s="311">
        <f t="shared" si="0"/>
        <v>-2351446.89</v>
      </c>
      <c r="O3" s="311">
        <f t="shared" si="0"/>
        <v>-9941452.9400000013</v>
      </c>
      <c r="P3" s="311">
        <f t="shared" si="0"/>
        <v>-1125540.8</v>
      </c>
      <c r="Q3" s="310"/>
      <c r="R3" s="306"/>
      <c r="S3" s="215"/>
      <c r="T3" s="215"/>
      <c r="U3" s="216"/>
    </row>
    <row r="4" spans="1:21" ht="55.5" customHeight="1" thickBot="1" x14ac:dyDescent="0.25">
      <c r="A4" s="224" t="s">
        <v>1522</v>
      </c>
      <c r="B4" s="224" t="s">
        <v>1523</v>
      </c>
      <c r="C4" s="224" t="s">
        <v>896</v>
      </c>
      <c r="D4" s="224" t="s">
        <v>786</v>
      </c>
      <c r="E4" s="224" t="s">
        <v>786</v>
      </c>
      <c r="F4" s="228">
        <f>SUM(F5:F20)</f>
        <v>9245741.5800000001</v>
      </c>
      <c r="G4" s="229">
        <f>'DOE25'!L212+'DOE25'!L291</f>
        <v>9245741.5800000001</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v>40700</v>
      </c>
      <c r="E5" s="220">
        <v>17058.34</v>
      </c>
      <c r="F5" s="232">
        <f>D5+E5</f>
        <v>57758.34</v>
      </c>
      <c r="G5" s="223"/>
      <c r="H5" s="223"/>
      <c r="J5" s="223"/>
      <c r="K5" s="223"/>
      <c r="L5" s="223"/>
      <c r="M5" s="223"/>
      <c r="N5" s="223"/>
      <c r="O5" s="223"/>
      <c r="P5" s="223"/>
      <c r="Q5" s="223"/>
    </row>
    <row r="6" spans="1:21" x14ac:dyDescent="0.2">
      <c r="A6" t="str" cm="1">
        <f t="array" ref="A6">IFERROR(INDEX('School Tables'!$A$4:$G$325,'School Tables'!$J4,3),"")</f>
        <v>Frances C. Richmond School</v>
      </c>
      <c r="B6" s="230">
        <f>IFERROR(VLOOKUP(A6,'School Tables'!$C$3:$D$365,2,FALSE),"")</f>
        <v>20825</v>
      </c>
      <c r="C6" s="223" t="str">
        <f>IFERROR(INDEX('School Tables'!$B$3:$B$365,MATCH('School Level Expenditures'!B6,'School Tables'!$D$3:$D$365,0)),"")</f>
        <v>Dresden</v>
      </c>
      <c r="D6" s="220">
        <v>8974801.3800000008</v>
      </c>
      <c r="E6" s="220">
        <v>213181.86</v>
      </c>
      <c r="F6" s="232">
        <f t="shared" ref="F6:F20" si="1">D6+E6</f>
        <v>9187983.2400000002</v>
      </c>
      <c r="G6" s="223"/>
      <c r="H6" s="223"/>
      <c r="J6" t="str">
        <f>A6</f>
        <v>Frances C. Richmond School</v>
      </c>
      <c r="K6" s="20"/>
      <c r="L6" s="20"/>
      <c r="M6" s="30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9015501.3800000008</v>
      </c>
      <c r="E21" s="262">
        <f>SUM(E5:E20)</f>
        <v>230240.19999999998</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17201100.559999999</v>
      </c>
      <c r="G36" s="229">
        <f>'DOE25'!L248+'DOE25'!L329</f>
        <v>17201100.560000002</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f>141906+20964</f>
        <v>162870</v>
      </c>
      <c r="E37" s="220">
        <v>4412.66</v>
      </c>
      <c r="F37" s="232">
        <f t="shared" ref="F37:F42" si="7">D37+E37</f>
        <v>167282.66</v>
      </c>
      <c r="G37" s="223"/>
      <c r="H37" s="223"/>
      <c r="J37" s="223"/>
      <c r="K37" s="223"/>
      <c r="L37" s="224"/>
      <c r="M37" s="223"/>
      <c r="N37" s="223"/>
      <c r="O37" s="223"/>
      <c r="P37" s="223"/>
      <c r="Q37" s="223"/>
    </row>
    <row r="38" spans="1:18" x14ac:dyDescent="0.2">
      <c r="A38" t="str" cm="1">
        <f t="array" ref="A38">IFERROR(INDEX('School Tables'!$W$4:$AC$100,'School Tables'!$AF4,3),"")</f>
        <v>Hanover High School</v>
      </c>
      <c r="B38" s="230">
        <f>IFERROR(VLOOKUP(A38,'School Tables'!$Y$4:$Z$100,2,FALSE),"")</f>
        <v>20820</v>
      </c>
      <c r="C38" s="223" t="str">
        <f>IFERROR(INDEX('School Tables'!$X$4:$X$100,MATCH('School Level Expenditures'!A38,'School Tables'!$Y$4:$Y$100,0)),"")</f>
        <v>Dresden</v>
      </c>
      <c r="D38" s="220">
        <f>16227382.19+644019.92+8825.32</f>
        <v>16880227.43</v>
      </c>
      <c r="E38" s="220">
        <v>153590.47</v>
      </c>
      <c r="F38" s="232">
        <f t="shared" si="7"/>
        <v>17033817.899999999</v>
      </c>
      <c r="G38" s="223"/>
      <c r="H38" s="223"/>
      <c r="J38" t="str">
        <f t="shared" ref="J38:J42" si="8">A38</f>
        <v>Hanover High School</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17043097.43</v>
      </c>
      <c r="E43" s="263">
        <f>SUM(E37:E42)</f>
        <v>158003.13</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view="pageBreakPreview" topLeftCell="A117" zoomScale="60" zoomScaleNormal="80" workbookViewId="0">
      <selection activeCell="J12" sqref="J1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Dresden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-895714.87</v>
      </c>
      <c r="D8" s="73">
        <f>'DOE25'!G9</f>
        <v>0</v>
      </c>
      <c r="E8" s="73">
        <f>'DOE25'!H9</f>
        <v>477332.89</v>
      </c>
      <c r="F8" s="73">
        <f>'DOE25'!I9</f>
        <v>0</v>
      </c>
      <c r="G8" s="73">
        <f>'DOE25'!J9</f>
        <v>42365</v>
      </c>
      <c r="H8" s="13">
        <f>SUM(C8:G8)</f>
        <v>-376016.98</v>
      </c>
      <c r="I8" s="90"/>
    </row>
    <row r="9" spans="1:9" x14ac:dyDescent="0.2">
      <c r="A9" s="1" t="s">
        <v>140</v>
      </c>
      <c r="B9" s="6">
        <v>110</v>
      </c>
      <c r="C9" s="73">
        <f>'DOE25'!F10</f>
        <v>1919481.94</v>
      </c>
      <c r="D9" s="73">
        <f>'DOE25'!G10</f>
        <v>0</v>
      </c>
      <c r="E9" s="73">
        <f>'DOE25'!H10</f>
        <v>0</v>
      </c>
      <c r="F9" s="73">
        <f>'DOE25'!I10</f>
        <v>0</v>
      </c>
      <c r="G9" s="73">
        <f>'DOE25'!J10</f>
        <v>0</v>
      </c>
      <c r="H9" s="13">
        <f t="shared" ref="H9:H18" si="0">SUM(C9:G9)</f>
        <v>1919481.94</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0</v>
      </c>
      <c r="H11" s="13">
        <f t="shared" si="0"/>
        <v>0</v>
      </c>
      <c r="I11" s="90"/>
    </row>
    <row r="12" spans="1:9" x14ac:dyDescent="0.2">
      <c r="A12" s="1" t="s">
        <v>143</v>
      </c>
      <c r="B12" s="6">
        <v>140</v>
      </c>
      <c r="C12" s="73">
        <f>'DOE25'!F13</f>
        <v>466915.97</v>
      </c>
      <c r="D12" s="73">
        <f>'DOE25'!G13</f>
        <v>0</v>
      </c>
      <c r="E12" s="73">
        <f>'DOE25'!H13</f>
        <v>42968.1</v>
      </c>
      <c r="F12" s="73">
        <f>'DOE25'!I13</f>
        <v>0</v>
      </c>
      <c r="G12" s="73">
        <f>'DOE25'!J13</f>
        <v>0</v>
      </c>
      <c r="H12" s="13">
        <f t="shared" si="0"/>
        <v>509884.06999999995</v>
      </c>
      <c r="I12" s="90"/>
    </row>
    <row r="13" spans="1:9" x14ac:dyDescent="0.2">
      <c r="A13" s="1" t="s">
        <v>144</v>
      </c>
      <c r="B13" s="6">
        <v>150</v>
      </c>
      <c r="C13" s="73">
        <f>'DOE25'!F14</f>
        <v>2176.9600000000019</v>
      </c>
      <c r="D13" s="73">
        <f>'DOE25'!G14</f>
        <v>0</v>
      </c>
      <c r="E13" s="73">
        <f>'DOE25'!H14</f>
        <v>-646.45000000000005</v>
      </c>
      <c r="F13" s="73">
        <f>'DOE25'!I14</f>
        <v>0</v>
      </c>
      <c r="G13" s="73">
        <f>'DOE25'!J14</f>
        <v>0</v>
      </c>
      <c r="H13" s="13">
        <f t="shared" si="0"/>
        <v>1530.5100000000018</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149423.09</v>
      </c>
      <c r="D17" s="73">
        <f>'DOE25'!G18</f>
        <v>0</v>
      </c>
      <c r="E17" s="73">
        <f>'DOE25'!H18</f>
        <v>0</v>
      </c>
      <c r="F17" s="73">
        <f>'DOE25'!I18</f>
        <v>0</v>
      </c>
      <c r="G17" s="73">
        <f>'DOE25'!J18</f>
        <v>0</v>
      </c>
      <c r="H17" s="13">
        <f t="shared" si="0"/>
        <v>149423.09</v>
      </c>
      <c r="I17" s="90"/>
    </row>
    <row r="18" spans="1:9" ht="12" thickTop="1" x14ac:dyDescent="0.2">
      <c r="A18" s="35" t="s">
        <v>149</v>
      </c>
      <c r="B18" s="36"/>
      <c r="C18" s="38">
        <f>SUM(C8:C17)</f>
        <v>1642283.09</v>
      </c>
      <c r="D18" s="38">
        <f>SUM(D8:D17)</f>
        <v>0</v>
      </c>
      <c r="E18" s="38">
        <f>SUM(E8:E17)</f>
        <v>519654.54</v>
      </c>
      <c r="F18" s="38">
        <f>SUM(F8:F17)</f>
        <v>0</v>
      </c>
      <c r="G18" s="38">
        <f>SUM(G8:G17)</f>
        <v>42365</v>
      </c>
      <c r="H18" s="38">
        <f t="shared" si="0"/>
        <v>2204302.63</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1285783.7</v>
      </c>
      <c r="D21" s="73">
        <f>'DOE25'!G22</f>
        <v>-94362.51</v>
      </c>
      <c r="E21" s="73">
        <f>'DOE25'!H22</f>
        <v>-135.18</v>
      </c>
      <c r="F21" s="73">
        <f>'DOE25'!I22</f>
        <v>-1744436.27</v>
      </c>
      <c r="G21" s="73">
        <f>'DOE25'!J22</f>
        <v>0</v>
      </c>
      <c r="H21" s="13">
        <f t="shared" ref="H21:H31" si="1">SUM(C21:G21)</f>
        <v>-553150.26</v>
      </c>
      <c r="I21" s="90"/>
    </row>
    <row r="22" spans="1:9" x14ac:dyDescent="0.2">
      <c r="A22" s="1" t="s">
        <v>151</v>
      </c>
      <c r="B22" s="6">
        <v>410</v>
      </c>
      <c r="C22" s="73">
        <f>'DOE25'!F23</f>
        <v>1221575.58</v>
      </c>
      <c r="D22" s="73">
        <f>'DOE25'!G23</f>
        <v>0</v>
      </c>
      <c r="E22" s="73">
        <f>'DOE25'!H23</f>
        <v>0</v>
      </c>
      <c r="F22" s="73">
        <f>'DOE25'!I23</f>
        <v>0</v>
      </c>
      <c r="G22" s="73">
        <f>'DOE25'!J23</f>
        <v>0</v>
      </c>
      <c r="H22" s="13">
        <f t="shared" si="1"/>
        <v>1221575.58</v>
      </c>
      <c r="I22" s="90"/>
    </row>
    <row r="23" spans="1:9" x14ac:dyDescent="0.2">
      <c r="A23" s="1" t="s">
        <v>152</v>
      </c>
      <c r="B23" s="6">
        <v>420</v>
      </c>
      <c r="C23" s="73">
        <f>'DOE25'!F24</f>
        <v>0</v>
      </c>
      <c r="D23" s="73">
        <f>'DOE25'!G24</f>
        <v>251342.4</v>
      </c>
      <c r="E23" s="73">
        <f>'DOE25'!H24</f>
        <v>16545.150000000001</v>
      </c>
      <c r="F23" s="73">
        <f>'DOE25'!I24</f>
        <v>0</v>
      </c>
      <c r="G23" s="73">
        <f>'DOE25'!J24</f>
        <v>0</v>
      </c>
      <c r="H23" s="13">
        <f t="shared" si="1"/>
        <v>267887.55</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304.93</v>
      </c>
      <c r="D27" s="73">
        <f>'DOE25'!G28</f>
        <v>0</v>
      </c>
      <c r="E27" s="73">
        <f>'DOE25'!H28</f>
        <v>0</v>
      </c>
      <c r="F27" s="73">
        <f>'DOE25'!I28</f>
        <v>0</v>
      </c>
      <c r="G27" s="23" t="s">
        <v>288</v>
      </c>
      <c r="H27" s="13">
        <f t="shared" si="1"/>
        <v>304.93</v>
      </c>
      <c r="I27" s="90"/>
    </row>
    <row r="28" spans="1:9" x14ac:dyDescent="0.2">
      <c r="A28" s="1" t="s">
        <v>157</v>
      </c>
      <c r="B28" s="6">
        <v>470</v>
      </c>
      <c r="C28" s="73">
        <f>'DOE25'!F29</f>
        <v>-43425.549999999996</v>
      </c>
      <c r="D28" s="73">
        <f>'DOE25'!G29</f>
        <v>0</v>
      </c>
      <c r="E28" s="73">
        <f>'DOE25'!H29</f>
        <v>0</v>
      </c>
      <c r="F28" s="73">
        <f>'DOE25'!I29</f>
        <v>0</v>
      </c>
      <c r="G28" s="23" t="s">
        <v>288</v>
      </c>
      <c r="H28" s="13">
        <f t="shared" si="1"/>
        <v>-43425.549999999996</v>
      </c>
      <c r="I28" s="90"/>
    </row>
    <row r="29" spans="1:9" x14ac:dyDescent="0.2">
      <c r="A29" s="1" t="s">
        <v>158</v>
      </c>
      <c r="B29" s="6">
        <v>480</v>
      </c>
      <c r="C29" s="73">
        <f>'DOE25'!F30</f>
        <v>0</v>
      </c>
      <c r="D29" s="73">
        <f>'DOE25'!G30</f>
        <v>-167050.72</v>
      </c>
      <c r="E29" s="73">
        <f>'DOE25'!H30</f>
        <v>0</v>
      </c>
      <c r="F29" s="73">
        <f>'DOE25'!I30</f>
        <v>0</v>
      </c>
      <c r="G29" s="23" t="s">
        <v>288</v>
      </c>
      <c r="H29" s="13">
        <f t="shared" si="1"/>
        <v>-167050.72</v>
      </c>
      <c r="I29" s="90"/>
    </row>
    <row r="30" spans="1:9" ht="12" thickBot="1" x14ac:dyDescent="0.25">
      <c r="A30" s="1" t="s">
        <v>159</v>
      </c>
      <c r="B30" s="56">
        <v>490</v>
      </c>
      <c r="C30" s="73">
        <f>'DOE25'!F31</f>
        <v>-1578300</v>
      </c>
      <c r="D30" s="73">
        <f>'DOE25'!G31</f>
        <v>0</v>
      </c>
      <c r="E30" s="73">
        <f>'DOE25'!H31</f>
        <v>0</v>
      </c>
      <c r="F30" s="73">
        <f>'DOE25'!I31</f>
        <v>0</v>
      </c>
      <c r="G30" s="73">
        <f>'DOE25'!J31</f>
        <v>0</v>
      </c>
      <c r="H30" s="13">
        <f t="shared" si="1"/>
        <v>-1578300</v>
      </c>
      <c r="I30" s="90"/>
    </row>
    <row r="31" spans="1:9" ht="12" thickTop="1" x14ac:dyDescent="0.2">
      <c r="A31" s="35" t="s">
        <v>160</v>
      </c>
      <c r="B31" s="2"/>
      <c r="C31" s="38">
        <f>SUM(C21:C30)</f>
        <v>885938.66000000061</v>
      </c>
      <c r="D31" s="38">
        <f>SUM(D21:D30)</f>
        <v>-10070.829999999987</v>
      </c>
      <c r="E31" s="38">
        <f>SUM(E21:E30)</f>
        <v>16409.97</v>
      </c>
      <c r="F31" s="38">
        <f>SUM(F21:F30)</f>
        <v>-1744436.27</v>
      </c>
      <c r="G31" s="38">
        <f>SUM(G21:G30)</f>
        <v>0</v>
      </c>
      <c r="H31" s="38">
        <f t="shared" si="1"/>
        <v>-852158.46999999939</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26012.06</v>
      </c>
      <c r="D34" s="73">
        <f>'DOE25'!G35</f>
        <v>0</v>
      </c>
      <c r="E34" s="73">
        <f>'DOE25'!H35</f>
        <v>0</v>
      </c>
      <c r="F34" s="73">
        <f>'DOE25'!I35</f>
        <v>0</v>
      </c>
      <c r="G34" s="23" t="s">
        <v>288</v>
      </c>
      <c r="H34" s="13">
        <f t="shared" ref="H34:H51" si="2">SUM(C34:G34)</f>
        <v>26012.06</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503244.57</v>
      </c>
      <c r="F42" s="73">
        <f>'DOE25'!I43</f>
        <v>0</v>
      </c>
      <c r="G42" s="73">
        <f>'DOE25'!J43</f>
        <v>0</v>
      </c>
      <c r="H42" s="13">
        <f t="shared" si="2"/>
        <v>503244.57</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60917</v>
      </c>
      <c r="D44" s="73">
        <f>'DOE25'!G45</f>
        <v>0</v>
      </c>
      <c r="E44" s="73">
        <f>'DOE25'!H45</f>
        <v>0</v>
      </c>
      <c r="F44" s="73">
        <f>'DOE25'!I45</f>
        <v>0</v>
      </c>
      <c r="G44" s="73">
        <f>'DOE25'!J45</f>
        <v>0</v>
      </c>
      <c r="H44" s="13">
        <f t="shared" si="2"/>
        <v>60917</v>
      </c>
      <c r="I44" s="90"/>
    </row>
    <row r="45" spans="1:9" x14ac:dyDescent="0.2">
      <c r="A45" s="1" t="s">
        <v>879</v>
      </c>
      <c r="B45" s="6"/>
      <c r="C45" s="73">
        <f>'DOE25'!F46</f>
        <v>269415.37</v>
      </c>
      <c r="D45" s="23" t="s">
        <v>288</v>
      </c>
      <c r="E45" s="23" t="s">
        <v>288</v>
      </c>
      <c r="F45" s="23" t="s">
        <v>288</v>
      </c>
      <c r="G45" s="23" t="s">
        <v>288</v>
      </c>
      <c r="H45" s="13">
        <f t="shared" si="2"/>
        <v>269415.37</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42365</v>
      </c>
      <c r="H47" s="13">
        <f t="shared" si="2"/>
        <v>42365</v>
      </c>
      <c r="I47" s="90"/>
    </row>
    <row r="48" spans="1:9" x14ac:dyDescent="0.2">
      <c r="A48" s="1" t="s">
        <v>881</v>
      </c>
      <c r="B48" s="6">
        <v>753</v>
      </c>
      <c r="C48" s="73">
        <f>'DOE25'!F49</f>
        <v>0</v>
      </c>
      <c r="D48" s="73">
        <f>'DOE25'!G49</f>
        <v>10070.83</v>
      </c>
      <c r="E48" s="73">
        <f>'DOE25'!H49</f>
        <v>0</v>
      </c>
      <c r="F48" s="73">
        <f>'DOE25'!I49</f>
        <v>1744436.27</v>
      </c>
      <c r="G48" s="73">
        <f>'DOE25'!J49</f>
        <v>0</v>
      </c>
      <c r="H48" s="13">
        <f t="shared" si="2"/>
        <v>1754507.1</v>
      </c>
      <c r="I48" s="90"/>
    </row>
    <row r="49" spans="1:9" ht="12" thickBot="1" x14ac:dyDescent="0.25">
      <c r="A49" s="28" t="s">
        <v>882</v>
      </c>
      <c r="B49" s="56">
        <v>770</v>
      </c>
      <c r="C49" s="73">
        <f>'DOE25'!F50</f>
        <v>400000</v>
      </c>
      <c r="D49" s="23" t="s">
        <v>288</v>
      </c>
      <c r="E49" s="23" t="s">
        <v>288</v>
      </c>
      <c r="F49" s="23" t="s">
        <v>288</v>
      </c>
      <c r="G49" s="23" t="s">
        <v>288</v>
      </c>
      <c r="H49" s="13">
        <f t="shared" si="2"/>
        <v>400000</v>
      </c>
      <c r="I49" s="90"/>
    </row>
    <row r="50" spans="1:9" ht="12.75" thickTop="1" thickBot="1" x14ac:dyDescent="0.25">
      <c r="A50" s="35" t="s">
        <v>883</v>
      </c>
      <c r="B50" s="44"/>
      <c r="C50" s="38">
        <f>SUM(C34:C49)</f>
        <v>756344.42999999993</v>
      </c>
      <c r="D50" s="38">
        <f>SUM(D34:D49)</f>
        <v>10070.83</v>
      </c>
      <c r="E50" s="38">
        <f>SUM(E34:E49)</f>
        <v>503244.57</v>
      </c>
      <c r="F50" s="38">
        <f>SUM(F34:F49)</f>
        <v>1744436.27</v>
      </c>
      <c r="G50" s="38">
        <f>SUM(G34:G49)</f>
        <v>42365</v>
      </c>
      <c r="H50" s="38">
        <f t="shared" si="2"/>
        <v>3056461.0999999996</v>
      </c>
      <c r="I50" s="90"/>
    </row>
    <row r="51" spans="1:9" ht="12" thickTop="1" x14ac:dyDescent="0.2">
      <c r="A51" s="35" t="s">
        <v>884</v>
      </c>
      <c r="B51" s="2"/>
      <c r="C51" s="38">
        <f>C50+C31</f>
        <v>1642283.0900000005</v>
      </c>
      <c r="D51" s="38">
        <f>D50+D31</f>
        <v>0</v>
      </c>
      <c r="E51" s="38">
        <f>E50+E31</f>
        <v>519654.54000000004</v>
      </c>
      <c r="F51" s="38">
        <f>F50+F31</f>
        <v>0</v>
      </c>
      <c r="G51" s="38">
        <f>G50+G31</f>
        <v>42365</v>
      </c>
      <c r="H51" s="38">
        <f t="shared" si="2"/>
        <v>2204302.6300000008</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26106610</v>
      </c>
      <c r="D56" s="73">
        <f>'DOE25'!G60</f>
        <v>0</v>
      </c>
      <c r="E56" s="73">
        <f>'DOE25'!H60</f>
        <v>0</v>
      </c>
      <c r="F56" s="73">
        <f>'DOE25'!I60</f>
        <v>0</v>
      </c>
      <c r="G56" s="73">
        <f>'DOE25'!J60</f>
        <v>-3510</v>
      </c>
      <c r="H56" s="13">
        <f t="shared" ref="H56:H63" si="3">SUM(C56:G56)</f>
        <v>26103100</v>
      </c>
      <c r="I56"/>
    </row>
    <row r="57" spans="1:9" x14ac:dyDescent="0.2">
      <c r="A57" s="1" t="s">
        <v>164</v>
      </c>
      <c r="B57" s="6" t="s">
        <v>165</v>
      </c>
      <c r="C57" s="73">
        <f>'DOE25'!F79</f>
        <v>2599965.1100000003</v>
      </c>
      <c r="D57" s="23" t="s">
        <v>288</v>
      </c>
      <c r="E57" s="73">
        <f>'DOE25'!H79</f>
        <v>0</v>
      </c>
      <c r="F57" s="23" t="s">
        <v>288</v>
      </c>
      <c r="G57" s="23" t="s">
        <v>288</v>
      </c>
      <c r="H57" s="13">
        <f t="shared" si="3"/>
        <v>2599965.1100000003</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39558.730000000003</v>
      </c>
      <c r="D59" s="73">
        <f>'DOE25'!G96</f>
        <v>0</v>
      </c>
      <c r="E59" s="73">
        <f>'DOE25'!H96</f>
        <v>2272.39</v>
      </c>
      <c r="F59" s="73">
        <f>'DOE25'!I96</f>
        <v>0</v>
      </c>
      <c r="G59" s="73">
        <f>'DOE25'!J96</f>
        <v>0</v>
      </c>
      <c r="H59" s="13">
        <f t="shared" si="3"/>
        <v>41831.120000000003</v>
      </c>
      <c r="I59"/>
    </row>
    <row r="60" spans="1:9" x14ac:dyDescent="0.2">
      <c r="A60" s="1" t="s">
        <v>170</v>
      </c>
      <c r="B60" s="22" t="s">
        <v>171</v>
      </c>
      <c r="C60" s="23" t="s">
        <v>288</v>
      </c>
      <c r="D60" s="73">
        <f>'DOE25'!G97</f>
        <v>953825.09</v>
      </c>
      <c r="E60" s="23" t="s">
        <v>288</v>
      </c>
      <c r="F60" s="23" t="s">
        <v>288</v>
      </c>
      <c r="G60" s="23" t="s">
        <v>288</v>
      </c>
      <c r="H60" s="13">
        <f t="shared" si="3"/>
        <v>953825.09</v>
      </c>
      <c r="I60"/>
    </row>
    <row r="61" spans="1:9" ht="12" thickBot="1" x14ac:dyDescent="0.25">
      <c r="A61" s="1" t="s">
        <v>172</v>
      </c>
      <c r="B61" s="22" t="s">
        <v>173</v>
      </c>
      <c r="C61" s="73">
        <f>SUM('DOE25'!F98:F110)</f>
        <v>454645.97000000003</v>
      </c>
      <c r="D61" s="73">
        <f>SUM('DOE25'!G98:G110)</f>
        <v>0</v>
      </c>
      <c r="E61" s="73">
        <f>SUM('DOE25'!H98:H110)</f>
        <v>665305.01</v>
      </c>
      <c r="F61" s="73">
        <f>SUM('DOE25'!I98:I110)</f>
        <v>0</v>
      </c>
      <c r="G61" s="73">
        <f>SUM('DOE25'!J98:J110)</f>
        <v>0</v>
      </c>
      <c r="H61" s="13">
        <f t="shared" si="3"/>
        <v>1119950.98</v>
      </c>
      <c r="I61"/>
    </row>
    <row r="62" spans="1:9" ht="12.75" thickTop="1" thickBot="1" x14ac:dyDescent="0.25">
      <c r="A62" s="28" t="s">
        <v>174</v>
      </c>
      <c r="B62" s="6"/>
      <c r="C62" s="93">
        <f>SUM(C57:C61)</f>
        <v>3094169.8100000005</v>
      </c>
      <c r="D62" s="93">
        <f>SUM(D57:D61)</f>
        <v>953825.09</v>
      </c>
      <c r="E62" s="93">
        <f>SUM(E57:E61)</f>
        <v>667577.4</v>
      </c>
      <c r="F62" s="93">
        <f>SUM(F57:F61)</f>
        <v>0</v>
      </c>
      <c r="G62" s="93">
        <f>SUM(G57:G61)</f>
        <v>0</v>
      </c>
      <c r="H62" s="13">
        <f t="shared" si="3"/>
        <v>4715572.3000000007</v>
      </c>
      <c r="I62"/>
    </row>
    <row r="63" spans="1:9" ht="12" thickTop="1" x14ac:dyDescent="0.2">
      <c r="A63" s="28" t="s">
        <v>175</v>
      </c>
      <c r="B63" s="6"/>
      <c r="C63" s="21">
        <f>C56+C62</f>
        <v>29200779.810000002</v>
      </c>
      <c r="D63" s="21">
        <f>D56+D62</f>
        <v>953825.09</v>
      </c>
      <c r="E63" s="21">
        <f>E56+E62</f>
        <v>667577.4</v>
      </c>
      <c r="F63" s="21">
        <f>F56+F62</f>
        <v>0</v>
      </c>
      <c r="G63" s="21">
        <f>G56+G62</f>
        <v>-3510</v>
      </c>
      <c r="H63" s="13">
        <f t="shared" si="3"/>
        <v>30818672.300000001</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0</v>
      </c>
      <c r="D66" s="23" t="s">
        <v>288</v>
      </c>
      <c r="E66" s="23" t="s">
        <v>288</v>
      </c>
      <c r="F66" s="23" t="s">
        <v>288</v>
      </c>
      <c r="G66" s="23" t="s">
        <v>288</v>
      </c>
      <c r="H66" s="13">
        <f t="shared" ref="H66:H81" si="4">SUM(C66:G66)</f>
        <v>0</v>
      </c>
      <c r="I66"/>
    </row>
    <row r="67" spans="1:9" x14ac:dyDescent="0.2">
      <c r="A67" s="1" t="s">
        <v>770</v>
      </c>
      <c r="B67" s="6">
        <v>3112</v>
      </c>
      <c r="C67" s="73">
        <f>'DOE25'!F118</f>
        <v>0</v>
      </c>
      <c r="D67" s="23"/>
      <c r="E67" s="23"/>
      <c r="F67" s="23"/>
      <c r="G67" s="23"/>
      <c r="H67" s="13">
        <f t="shared" si="4"/>
        <v>0</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2037.11</v>
      </c>
      <c r="D69" s="73">
        <f>'DOE25'!G120</f>
        <v>0</v>
      </c>
      <c r="E69" s="73">
        <f>'DOE25'!H120</f>
        <v>0</v>
      </c>
      <c r="F69" s="73">
        <f>'DOE25'!I120</f>
        <v>0</v>
      </c>
      <c r="G69" s="73">
        <f>'DOE25'!J120</f>
        <v>0</v>
      </c>
      <c r="H69" s="13">
        <f t="shared" si="4"/>
        <v>2037.11</v>
      </c>
      <c r="I69"/>
    </row>
    <row r="70" spans="1:9" ht="12" thickTop="1" x14ac:dyDescent="0.2">
      <c r="A70" s="28" t="s">
        <v>252</v>
      </c>
      <c r="B70" s="2"/>
      <c r="C70" s="97">
        <f>SUM(C66:C69)</f>
        <v>2037.11</v>
      </c>
      <c r="D70" s="97">
        <f>D69</f>
        <v>0</v>
      </c>
      <c r="E70" s="97">
        <f>E69</f>
        <v>0</v>
      </c>
      <c r="F70" s="97">
        <f>F69</f>
        <v>0</v>
      </c>
      <c r="G70" s="97">
        <f>G69</f>
        <v>0</v>
      </c>
      <c r="H70" s="13">
        <f t="shared" si="4"/>
        <v>2037.11</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332377.09999999998</v>
      </c>
      <c r="D72" s="23" t="s">
        <v>288</v>
      </c>
      <c r="E72" s="23" t="s">
        <v>288</v>
      </c>
      <c r="F72" s="73">
        <f>'DOE25'!I123</f>
        <v>0</v>
      </c>
      <c r="G72" s="23" t="s">
        <v>288</v>
      </c>
      <c r="H72" s="13">
        <f t="shared" si="4"/>
        <v>332377.09999999998</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36117.93</v>
      </c>
      <c r="D76" s="23" t="s">
        <v>288</v>
      </c>
      <c r="E76" s="73">
        <f>SUM('DOE25'!H127:H130)</f>
        <v>0</v>
      </c>
      <c r="F76" s="73">
        <f>SUM('DOE25'!I127:I130)</f>
        <v>0</v>
      </c>
      <c r="G76" s="23" t="s">
        <v>288</v>
      </c>
      <c r="H76" s="13">
        <f t="shared" si="4"/>
        <v>36117.93</v>
      </c>
      <c r="I76"/>
    </row>
    <row r="77" spans="1:9" ht="12" thickBot="1" x14ac:dyDescent="0.25">
      <c r="A77" s="1" t="s">
        <v>258</v>
      </c>
      <c r="B77" s="6" t="s">
        <v>180</v>
      </c>
      <c r="C77" s="73">
        <f>SUM('DOE25'!F131:F135)</f>
        <v>0</v>
      </c>
      <c r="D77" s="73">
        <f>SUM('DOE25'!G131:G135)</f>
        <v>0</v>
      </c>
      <c r="E77" s="73">
        <f>SUM('DOE25'!H131:H135)</f>
        <v>0</v>
      </c>
      <c r="F77" s="73">
        <f>SUM('DOE25'!I131:I135)</f>
        <v>0</v>
      </c>
      <c r="G77" s="73">
        <f>SUM('DOE25'!J131:J135)</f>
        <v>0</v>
      </c>
      <c r="H77" s="13">
        <f t="shared" si="4"/>
        <v>0</v>
      </c>
      <c r="I77"/>
    </row>
    <row r="78" spans="1:9" ht="12.75" thickTop="1" thickBot="1" x14ac:dyDescent="0.25">
      <c r="A78" s="28" t="s">
        <v>259</v>
      </c>
      <c r="B78" s="6"/>
      <c r="C78" s="93">
        <f>SUM(C72:C77)</f>
        <v>368495.02999999997</v>
      </c>
      <c r="D78" s="93">
        <f>SUM(D72:D77)</f>
        <v>0</v>
      </c>
      <c r="E78" s="93">
        <f>SUM(E72:E77)</f>
        <v>0</v>
      </c>
      <c r="F78" s="93">
        <f>SUM(F72:F77)</f>
        <v>0</v>
      </c>
      <c r="G78" s="93">
        <f>SUM(G72:G77)</f>
        <v>0</v>
      </c>
      <c r="H78" s="13">
        <f t="shared" si="4"/>
        <v>368495.02999999997</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370532.13999999996</v>
      </c>
      <c r="D81" s="93">
        <f>SUM(D79:D80)+D78+D70</f>
        <v>0</v>
      </c>
      <c r="E81" s="93">
        <f>SUM(E79:E80)+E78+E70</f>
        <v>0</v>
      </c>
      <c r="F81" s="93">
        <f>SUM(F79:F80)+F78+F70</f>
        <v>0</v>
      </c>
      <c r="G81" s="93">
        <f>SUM(G79:G80)+G78+G70</f>
        <v>0</v>
      </c>
      <c r="H81" s="93">
        <f t="shared" si="4"/>
        <v>370532.13999999996</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0</v>
      </c>
      <c r="D88" s="253">
        <f>SUM('DOE25'!G153:G162)</f>
        <v>0</v>
      </c>
      <c r="E88" s="253">
        <f>SUM('DOE25'!H153:H162)</f>
        <v>397077.49</v>
      </c>
      <c r="F88" s="253">
        <f>SUM('DOE25'!I153:I162)</f>
        <v>0</v>
      </c>
      <c r="G88" s="23" t="s">
        <v>288</v>
      </c>
      <c r="H88" s="13">
        <f t="shared" si="5"/>
        <v>397077.49</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0</v>
      </c>
      <c r="D91" s="94">
        <f>SUM(D85:D90)</f>
        <v>0</v>
      </c>
      <c r="E91" s="94">
        <f>SUM(E85:E90)</f>
        <v>397077.49</v>
      </c>
      <c r="F91" s="94">
        <f>SUM(F85:F90)</f>
        <v>0</v>
      </c>
      <c r="G91" s="23" t="s">
        <v>288</v>
      </c>
      <c r="H91" s="13">
        <f t="shared" si="5"/>
        <v>397077.49</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1837000</v>
      </c>
      <c r="D93" s="23" t="s">
        <v>288</v>
      </c>
      <c r="E93" s="23" t="s">
        <v>288</v>
      </c>
      <c r="F93" s="73">
        <f>SUM('DOE25'!I174:I176)</f>
        <v>0</v>
      </c>
      <c r="G93" s="23" t="s">
        <v>288</v>
      </c>
      <c r="H93" s="13">
        <f t="shared" si="5"/>
        <v>1837000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68448.649999999994</v>
      </c>
      <c r="E96" s="73">
        <f>'DOE25'!H180</f>
        <v>0</v>
      </c>
      <c r="F96" s="73">
        <f>'DOE25'!I180</f>
        <v>1837000</v>
      </c>
      <c r="G96" s="73">
        <f>'DOE25'!J180</f>
        <v>0</v>
      </c>
      <c r="H96" s="13">
        <f t="shared" si="5"/>
        <v>1905448.65</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1837000</v>
      </c>
      <c r="D103" s="68">
        <f>SUM(D93:D102)</f>
        <v>68448.649999999994</v>
      </c>
      <c r="E103" s="68">
        <f>SUM(E93:E102)</f>
        <v>0</v>
      </c>
      <c r="F103" s="68">
        <f>SUM(F93:F102)</f>
        <v>1837000</v>
      </c>
      <c r="G103" s="68">
        <f>SUM(G93:G102)</f>
        <v>0</v>
      </c>
      <c r="H103" s="68">
        <f t="shared" si="5"/>
        <v>3742448.65</v>
      </c>
    </row>
    <row r="104" spans="1:8" ht="12.75" thickTop="1" thickBot="1" x14ac:dyDescent="0.25">
      <c r="A104" s="32" t="s">
        <v>761</v>
      </c>
      <c r="C104" s="68">
        <f>C63+C81+C91+C103</f>
        <v>31408311.950000003</v>
      </c>
      <c r="D104" s="68">
        <f>D63+D81+D91+D103</f>
        <v>1022273.74</v>
      </c>
      <c r="E104" s="68">
        <f>E63+E81+E91+E103</f>
        <v>1064654.8900000001</v>
      </c>
      <c r="F104" s="68">
        <f>F63+F81+F91+F103</f>
        <v>1837000</v>
      </c>
      <c r="G104" s="68">
        <f>G63+G81+G103</f>
        <v>-3510</v>
      </c>
      <c r="H104" s="68">
        <f t="shared" si="5"/>
        <v>35328730.579999998</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12360868.290000003</v>
      </c>
      <c r="D109" s="23" t="s">
        <v>288</v>
      </c>
      <c r="E109" s="73">
        <f>('DOE25'!L277)+('DOE25'!L296)+('DOE25'!L315)</f>
        <v>835567.52</v>
      </c>
      <c r="F109" s="23" t="s">
        <v>288</v>
      </c>
      <c r="G109" s="23" t="s">
        <v>288</v>
      </c>
      <c r="H109" s="13">
        <f t="shared" ref="H109:H115" si="6">SUM(C109:G109)</f>
        <v>13196435.810000002</v>
      </c>
    </row>
    <row r="110" spans="1:8" x14ac:dyDescent="0.2">
      <c r="A110" t="s">
        <v>198</v>
      </c>
      <c r="B110" s="31" t="s">
        <v>199</v>
      </c>
      <c r="C110" s="73">
        <f>('DOE25'!L199)+('DOE25'!L217)+('DOE25'!L235)</f>
        <v>3176774.0700000003</v>
      </c>
      <c r="D110" s="23" t="s">
        <v>288</v>
      </c>
      <c r="E110" s="73">
        <f>('DOE25'!L278)+('DOE25'!L297)+('DOE25'!L316)</f>
        <v>193537.1</v>
      </c>
      <c r="F110" s="23" t="s">
        <v>288</v>
      </c>
      <c r="G110" s="23" t="s">
        <v>288</v>
      </c>
      <c r="H110" s="13">
        <f t="shared" si="6"/>
        <v>3370311.1700000004</v>
      </c>
    </row>
    <row r="111" spans="1:8" x14ac:dyDescent="0.2">
      <c r="A111" t="s">
        <v>200</v>
      </c>
      <c r="B111" s="31" t="s">
        <v>165</v>
      </c>
      <c r="C111" s="73">
        <f>('DOE25'!L200)+('DOE25'!L218)+('DOE25'!L236)</f>
        <v>141905.79999999999</v>
      </c>
      <c r="D111" s="23" t="s">
        <v>288</v>
      </c>
      <c r="E111" s="73">
        <f>('DOE25'!L279)+('DOE25'!L298)+('DOE25'!L317)</f>
        <v>0</v>
      </c>
      <c r="F111" s="23" t="s">
        <v>288</v>
      </c>
      <c r="G111" s="23" t="s">
        <v>288</v>
      </c>
      <c r="H111" s="13">
        <f t="shared" si="6"/>
        <v>141905.79999999999</v>
      </c>
    </row>
    <row r="112" spans="1:8" x14ac:dyDescent="0.2">
      <c r="A112" t="s">
        <v>201</v>
      </c>
      <c r="B112" s="31" t="s">
        <v>167</v>
      </c>
      <c r="C112" s="73">
        <f>('DOE25'!L201)+('DOE25'!L219)+('DOE25'!L237)</f>
        <v>1047556.09</v>
      </c>
      <c r="D112" s="23" t="s">
        <v>288</v>
      </c>
      <c r="E112" s="73">
        <f>+('DOE25'!L280)+('DOE25'!L299)+('DOE25'!L318)</f>
        <v>0</v>
      </c>
      <c r="F112" s="23" t="s">
        <v>288</v>
      </c>
      <c r="G112" s="23" t="s">
        <v>288</v>
      </c>
      <c r="H112" s="13">
        <f t="shared" si="6"/>
        <v>1047556.09</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16727104.250000004</v>
      </c>
      <c r="D115" s="68">
        <f>SUM(D109:D114)</f>
        <v>0</v>
      </c>
      <c r="E115" s="68">
        <f>SUM(E109:E114)</f>
        <v>1029104.62</v>
      </c>
      <c r="F115" s="68">
        <f>SUM(F109:F114)</f>
        <v>0</v>
      </c>
      <c r="G115" s="68">
        <f>SUM(G109:G114)</f>
        <v>0</v>
      </c>
      <c r="H115" s="68">
        <f t="shared" si="6"/>
        <v>17756208.870000005</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1709926.5999999999</v>
      </c>
      <c r="D118" s="23" t="s">
        <v>288</v>
      </c>
      <c r="E118" s="73">
        <f>+('DOE25'!L282)+('DOE25'!L301)+('DOE25'!L320)</f>
        <v>0</v>
      </c>
      <c r="F118" s="23" t="s">
        <v>288</v>
      </c>
      <c r="G118" s="23" t="s">
        <v>288</v>
      </c>
      <c r="H118" s="13">
        <f t="shared" ref="H118:H145" si="7">SUM(C118:G118)</f>
        <v>1709926.5999999999</v>
      </c>
    </row>
    <row r="119" spans="1:8" x14ac:dyDescent="0.2">
      <c r="A119" t="s">
        <v>208</v>
      </c>
      <c r="B119" s="31" t="s">
        <v>209</v>
      </c>
      <c r="C119" s="73">
        <f>('DOE25'!L204)+('DOE25'!L222)+('DOE25'!L240)</f>
        <v>806172.35000000009</v>
      </c>
      <c r="D119" s="23" t="s">
        <v>288</v>
      </c>
      <c r="E119" s="73">
        <f>+('DOE25'!L283)+('DOE25'!L302)+('DOE25'!L321)</f>
        <v>11983.95</v>
      </c>
      <c r="F119" s="23" t="s">
        <v>288</v>
      </c>
      <c r="G119" s="23" t="s">
        <v>288</v>
      </c>
      <c r="H119" s="13">
        <f t="shared" si="7"/>
        <v>818156.3</v>
      </c>
    </row>
    <row r="120" spans="1:8" x14ac:dyDescent="0.2">
      <c r="A120" t="s">
        <v>210</v>
      </c>
      <c r="B120" s="31" t="s">
        <v>211</v>
      </c>
      <c r="C120" s="73">
        <f>('DOE25'!L205)+('DOE25'!L223)+('DOE25'!L241)</f>
        <v>1274764.8</v>
      </c>
      <c r="D120" s="23" t="s">
        <v>288</v>
      </c>
      <c r="E120" s="73">
        <f>+('DOE25'!L284)+('DOE25'!L303)+('DOE25'!L322)</f>
        <v>0</v>
      </c>
      <c r="F120" s="23" t="s">
        <v>288</v>
      </c>
      <c r="G120" s="23" t="s">
        <v>288</v>
      </c>
      <c r="H120" s="13">
        <f t="shared" si="7"/>
        <v>1274764.8</v>
      </c>
    </row>
    <row r="121" spans="1:8" x14ac:dyDescent="0.2">
      <c r="A121" t="s">
        <v>212</v>
      </c>
      <c r="B121" s="31" t="s">
        <v>213</v>
      </c>
      <c r="C121" s="73">
        <f>('DOE25'!L206)+('DOE25'!L224)+('DOE25'!L242)</f>
        <v>2351446.89</v>
      </c>
      <c r="D121" s="23" t="s">
        <v>288</v>
      </c>
      <c r="E121" s="73">
        <f>+('DOE25'!L285)+('DOE25'!L304)+('DOE25'!L323)</f>
        <v>0</v>
      </c>
      <c r="F121" s="23" t="s">
        <v>288</v>
      </c>
      <c r="G121" s="23" t="s">
        <v>288</v>
      </c>
      <c r="H121" s="13">
        <f t="shared" si="7"/>
        <v>2351446.89</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2276781.8400000003</v>
      </c>
      <c r="D123" s="23" t="s">
        <v>288</v>
      </c>
      <c r="E123" s="73">
        <f>+('DOE25'!L287)+('DOE25'!L306)+('DOE25'!L325)</f>
        <v>0</v>
      </c>
      <c r="F123" s="23" t="s">
        <v>288</v>
      </c>
      <c r="G123" s="23" t="s">
        <v>288</v>
      </c>
      <c r="H123" s="13">
        <f t="shared" si="7"/>
        <v>2276781.8400000003</v>
      </c>
    </row>
    <row r="124" spans="1:8" x14ac:dyDescent="0.2">
      <c r="A124" t="s">
        <v>218</v>
      </c>
      <c r="B124" s="31" t="s">
        <v>219</v>
      </c>
      <c r="C124" s="73">
        <f>('DOE25'!L209)+('DOE25'!L227)+('DOE25'!L245+'DOE25'!L255)</f>
        <v>259556.84</v>
      </c>
      <c r="D124" s="23" t="s">
        <v>288</v>
      </c>
      <c r="E124" s="73">
        <f>+('DOE25'!L288)+('DOE25'!L307)+('DOE25'!L326)</f>
        <v>0</v>
      </c>
      <c r="F124" s="23" t="s">
        <v>288</v>
      </c>
      <c r="G124" s="23" t="s">
        <v>288</v>
      </c>
      <c r="H124" s="13">
        <f t="shared" si="7"/>
        <v>259556.84</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1021337.84</v>
      </c>
      <c r="E127" s="23" t="s">
        <v>288</v>
      </c>
      <c r="F127" s="23" t="s">
        <v>288</v>
      </c>
      <c r="G127" s="23" t="s">
        <v>288</v>
      </c>
      <c r="H127" s="13">
        <f t="shared" si="7"/>
        <v>1021337.84</v>
      </c>
    </row>
    <row r="128" spans="1:8" ht="12.75" thickTop="1" thickBot="1" x14ac:dyDescent="0.25">
      <c r="A128" s="32" t="s">
        <v>226</v>
      </c>
      <c r="C128" s="68">
        <f>SUM(C118:C127)</f>
        <v>8678649.3200000003</v>
      </c>
      <c r="D128" s="68">
        <f>SUM(D118:D127)</f>
        <v>1021337.84</v>
      </c>
      <c r="E128" s="68">
        <f>SUM(E118:E127)</f>
        <v>11983.95</v>
      </c>
      <c r="F128" s="68">
        <f>SUM(F118:F127)</f>
        <v>0</v>
      </c>
      <c r="G128" s="68">
        <f>SUM(G118:G127)</f>
        <v>0</v>
      </c>
      <c r="H128" s="68">
        <f t="shared" si="7"/>
        <v>9711971.1099999994</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184790.51</v>
      </c>
      <c r="D130" s="23" t="s">
        <v>288</v>
      </c>
      <c r="E130" s="92">
        <f>'DOE25'!L337</f>
        <v>0</v>
      </c>
      <c r="F130" s="92">
        <f>SUM('DOE25'!L375:'DOE25'!L381)</f>
        <v>117848.61</v>
      </c>
      <c r="G130" s="23" t="s">
        <v>288</v>
      </c>
      <c r="H130" s="13">
        <f t="shared" si="7"/>
        <v>302639.12</v>
      </c>
    </row>
    <row r="131" spans="1:8" x14ac:dyDescent="0.2">
      <c r="A131" t="s">
        <v>229</v>
      </c>
      <c r="B131" s="31">
        <v>5110</v>
      </c>
      <c r="C131" s="73">
        <f>'DOE25'!L261</f>
        <v>2028644.44</v>
      </c>
      <c r="D131" s="23" t="s">
        <v>288</v>
      </c>
      <c r="E131" s="92">
        <f>'DOE25'!L342</f>
        <v>0</v>
      </c>
      <c r="F131" s="23" t="s">
        <v>288</v>
      </c>
      <c r="G131" s="23" t="s">
        <v>288</v>
      </c>
      <c r="H131" s="13">
        <f t="shared" si="7"/>
        <v>2028644.44</v>
      </c>
    </row>
    <row r="132" spans="1:8" x14ac:dyDescent="0.2">
      <c r="A132" t="s">
        <v>230</v>
      </c>
      <c r="B132" s="31">
        <v>5120</v>
      </c>
      <c r="C132" s="73">
        <f>'DOE25'!L262</f>
        <v>1590965.48</v>
      </c>
      <c r="D132" s="23" t="s">
        <v>288</v>
      </c>
      <c r="E132" s="92">
        <f>'DOE25'!L343</f>
        <v>0</v>
      </c>
      <c r="F132" s="23" t="s">
        <v>288</v>
      </c>
      <c r="G132" s="23" t="s">
        <v>288</v>
      </c>
      <c r="H132" s="13">
        <f t="shared" si="7"/>
        <v>1590965.48</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68448.649999999994</v>
      </c>
      <c r="D135" s="23" t="s">
        <v>288</v>
      </c>
      <c r="E135" s="92">
        <f>'DOE25'!L346</f>
        <v>0</v>
      </c>
      <c r="F135" s="23" t="s">
        <v>288</v>
      </c>
      <c r="G135" s="23" t="s">
        <v>288</v>
      </c>
      <c r="H135" s="13">
        <f t="shared" si="7"/>
        <v>68448.649999999994</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1837000</v>
      </c>
      <c r="D137" s="23" t="s">
        <v>288</v>
      </c>
      <c r="E137" s="92">
        <f>'DOE25'!L347</f>
        <v>0</v>
      </c>
      <c r="F137" s="23" t="s">
        <v>288</v>
      </c>
      <c r="G137" s="23" t="s">
        <v>288</v>
      </c>
      <c r="H137" s="13">
        <f t="shared" si="7"/>
        <v>1837000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-3510</v>
      </c>
      <c r="D139" s="23" t="s">
        <v>288</v>
      </c>
      <c r="E139" s="23" t="s">
        <v>288</v>
      </c>
      <c r="F139" s="23" t="s">
        <v>288</v>
      </c>
      <c r="G139" s="23" t="s">
        <v>288</v>
      </c>
      <c r="H139" s="13">
        <f t="shared" si="7"/>
        <v>-3510</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3510</v>
      </c>
      <c r="D141" s="23" t="s">
        <v>288</v>
      </c>
      <c r="E141" s="23" t="s">
        <v>288</v>
      </c>
      <c r="F141" s="23" t="s">
        <v>288</v>
      </c>
      <c r="G141" s="23" t="s">
        <v>288</v>
      </c>
      <c r="H141" s="13">
        <f t="shared" si="7"/>
        <v>3510</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5709849.0800000001</v>
      </c>
      <c r="D144" s="98">
        <f>SUM(D130:D143)</f>
        <v>0</v>
      </c>
      <c r="E144" s="98">
        <f>SUM(E130:E143)</f>
        <v>0</v>
      </c>
      <c r="F144" s="98">
        <f>SUM(F130:F143)</f>
        <v>117848.61</v>
      </c>
      <c r="G144" s="98">
        <f>SUM(G130:G143)</f>
        <v>0</v>
      </c>
      <c r="H144" s="98">
        <f t="shared" si="7"/>
        <v>5827697.6900000004</v>
      </c>
    </row>
    <row r="145" spans="1:9" ht="12.75" thickTop="1" thickBot="1" x14ac:dyDescent="0.25">
      <c r="A145" s="32" t="s">
        <v>244</v>
      </c>
      <c r="C145" s="68">
        <f>(C115+C128+C144)</f>
        <v>31115602.650000006</v>
      </c>
      <c r="D145" s="68">
        <f>(D115+D128+D144)</f>
        <v>1021337.84</v>
      </c>
      <c r="E145" s="68">
        <f>(E115+E128+E144)</f>
        <v>1041088.57</v>
      </c>
      <c r="F145" s="68">
        <f>(F115+F128+F144)</f>
        <v>117848.61</v>
      </c>
      <c r="G145" s="68">
        <f>(G115+G128+G144)</f>
        <v>0</v>
      </c>
      <c r="H145" s="68">
        <f t="shared" si="7"/>
        <v>33295877.670000006</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20</v>
      </c>
      <c r="D151" s="110">
        <f>'DOE25'!H491</f>
        <v>20</v>
      </c>
      <c r="E151" s="110">
        <f>'DOE25'!I491</f>
        <v>15</v>
      </c>
      <c r="F151" s="110">
        <f>'DOE25'!J491</f>
        <v>5</v>
      </c>
      <c r="G151" s="23" t="s">
        <v>288</v>
      </c>
    </row>
    <row r="152" spans="1:9" x14ac:dyDescent="0.2">
      <c r="A152" s="21" t="s">
        <v>28</v>
      </c>
      <c r="B152" s="109" t="str">
        <f>'DOE25'!F492</f>
        <v>01/15/07</v>
      </c>
      <c r="C152" s="109" t="str">
        <f>'DOE25'!G492</f>
        <v>12/22/04</v>
      </c>
      <c r="D152" s="109" t="str">
        <f>'DOE25'!H492</f>
        <v>08/15/03</v>
      </c>
      <c r="E152" s="109" t="str">
        <f>'DOE25'!I492</f>
        <v>09/19</v>
      </c>
      <c r="F152" s="109" t="str">
        <f>'DOE25'!J492</f>
        <v>08/21</v>
      </c>
      <c r="G152" s="23" t="s">
        <v>288</v>
      </c>
    </row>
    <row r="153" spans="1:9" x14ac:dyDescent="0.2">
      <c r="A153" s="21" t="s">
        <v>29</v>
      </c>
      <c r="B153" s="109" t="str">
        <f>'DOE25'!F493</f>
        <v>08/27</v>
      </c>
      <c r="C153" s="109" t="str">
        <f>'DOE25'!G493</f>
        <v>01/25</v>
      </c>
      <c r="D153" s="109" t="str">
        <f>'DOE25'!H493</f>
        <v>08/24</v>
      </c>
      <c r="E153" s="109" t="str">
        <f>'DOE25'!I493</f>
        <v>09/34</v>
      </c>
      <c r="F153" s="109" t="str">
        <f>'DOE25'!J493</f>
        <v>08/26</v>
      </c>
      <c r="G153" s="23" t="s">
        <v>288</v>
      </c>
    </row>
    <row r="154" spans="1:9" x14ac:dyDescent="0.2">
      <c r="A154" s="21" t="s">
        <v>30</v>
      </c>
      <c r="B154" s="19">
        <f>'DOE25'!F494</f>
        <v>2532900</v>
      </c>
      <c r="C154" s="19">
        <f>'DOE25'!G494</f>
        <v>4000000</v>
      </c>
      <c r="D154" s="19">
        <f>'DOE25'!H494</f>
        <v>38460936</v>
      </c>
      <c r="E154" s="19">
        <f>'DOE25'!I494</f>
        <v>900000</v>
      </c>
      <c r="F154" s="19">
        <f>'DOE25'!J494</f>
        <v>441958</v>
      </c>
      <c r="G154" s="23" t="s">
        <v>288</v>
      </c>
    </row>
    <row r="155" spans="1:9" x14ac:dyDescent="0.2">
      <c r="A155" s="21" t="s">
        <v>31</v>
      </c>
      <c r="B155" s="19">
        <f>'DOE25'!F495</f>
        <v>4.08</v>
      </c>
      <c r="C155" s="19">
        <f>'DOE25'!G495</f>
        <v>4.47</v>
      </c>
      <c r="D155" s="19">
        <f>'DOE25'!H495</f>
        <v>4.62</v>
      </c>
      <c r="E155" s="19">
        <f>'DOE25'!I495</f>
        <v>2.8</v>
      </c>
      <c r="F155" s="19">
        <f>'DOE25'!J495</f>
        <v>2.5</v>
      </c>
      <c r="G155" s="23" t="s">
        <v>288</v>
      </c>
    </row>
    <row r="156" spans="1:9" x14ac:dyDescent="0.2">
      <c r="A156" s="21" t="s">
        <v>32</v>
      </c>
      <c r="B156" s="19">
        <f>'DOE25'!F496</f>
        <v>444468</v>
      </c>
      <c r="C156" s="19">
        <f>'DOE25'!G496</f>
        <v>399247</v>
      </c>
      <c r="D156" s="19">
        <f>'DOE25'!H496</f>
        <v>2360532</v>
      </c>
      <c r="E156" s="19">
        <f>'DOE25'!I496</f>
        <v>780000</v>
      </c>
      <c r="F156" s="19">
        <f>'DOE25'!J496</f>
        <v>441958</v>
      </c>
      <c r="G156" s="96">
        <f>SUM(B156:F156)</f>
        <v>4426205</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98327</v>
      </c>
      <c r="C158" s="19">
        <f>'DOE25'!G498</f>
        <v>140276</v>
      </c>
      <c r="D158" s="19">
        <f>'DOE25'!H498</f>
        <v>1207991</v>
      </c>
      <c r="E158" s="19">
        <f>'DOE25'!I498</f>
        <v>60000</v>
      </c>
      <c r="F158" s="19">
        <f>'DOE25'!J498</f>
        <v>83702</v>
      </c>
      <c r="G158" s="96">
        <f t="shared" si="8"/>
        <v>1590296</v>
      </c>
    </row>
    <row r="159" spans="1:9" x14ac:dyDescent="0.2">
      <c r="A159" s="21" t="s">
        <v>35</v>
      </c>
      <c r="B159" s="19">
        <f>'DOE25'!F499</f>
        <v>346141</v>
      </c>
      <c r="C159" s="19">
        <f>'DOE25'!G499</f>
        <v>258971</v>
      </c>
      <c r="D159" s="19">
        <f>'DOE25'!H499</f>
        <v>1152541</v>
      </c>
      <c r="E159" s="19">
        <f>'DOE25'!I499</f>
        <v>720000</v>
      </c>
      <c r="F159" s="19">
        <f>'DOE25'!J499</f>
        <v>358256</v>
      </c>
      <c r="G159" s="96">
        <f t="shared" si="8"/>
        <v>2835909</v>
      </c>
    </row>
    <row r="160" spans="1:9" x14ac:dyDescent="0.2">
      <c r="A160" s="21" t="s">
        <v>36</v>
      </c>
      <c r="B160" s="19">
        <f>'DOE25'!F500</f>
        <v>400634</v>
      </c>
      <c r="C160" s="19">
        <f>'DOE25'!G500</f>
        <v>358828</v>
      </c>
      <c r="D160" s="19">
        <f>'DOE25'!H500</f>
        <v>1792797</v>
      </c>
      <c r="E160" s="19">
        <f>'DOE25'!I500</f>
        <v>38640</v>
      </c>
      <c r="F160" s="19">
        <f>'DOE25'!J500</f>
        <v>20363</v>
      </c>
      <c r="G160" s="96">
        <f t="shared" si="8"/>
        <v>2611262</v>
      </c>
    </row>
    <row r="161" spans="1:7" x14ac:dyDescent="0.2">
      <c r="A161" s="21" t="s">
        <v>37</v>
      </c>
      <c r="B161" s="19">
        <f>'DOE25'!F501</f>
        <v>746775</v>
      </c>
      <c r="C161" s="19">
        <f>'DOE25'!G501</f>
        <v>617799</v>
      </c>
      <c r="D161" s="19">
        <f>'DOE25'!H501</f>
        <v>2945338</v>
      </c>
      <c r="E161" s="19">
        <f>'DOE25'!I501</f>
        <v>758640</v>
      </c>
      <c r="F161" s="19">
        <f>'DOE25'!J501</f>
        <v>378619</v>
      </c>
      <c r="G161" s="96">
        <f t="shared" si="8"/>
        <v>5447171</v>
      </c>
    </row>
    <row r="162" spans="1:7" x14ac:dyDescent="0.2">
      <c r="A162" s="21" t="s">
        <v>38</v>
      </c>
      <c r="B162" s="19">
        <f>'DOE25'!F502</f>
        <v>93520</v>
      </c>
      <c r="C162" s="19">
        <f>'DOE25'!G502</f>
        <v>132070</v>
      </c>
      <c r="D162" s="19">
        <f>'DOE25'!H502</f>
        <v>1152541</v>
      </c>
      <c r="E162" s="19">
        <f>'DOE25'!I502</f>
        <v>60000</v>
      </c>
      <c r="F162" s="19">
        <f>'DOE25'!J502</f>
        <v>86279</v>
      </c>
      <c r="G162" s="96">
        <f t="shared" si="8"/>
        <v>1524410</v>
      </c>
    </row>
    <row r="163" spans="1:7" x14ac:dyDescent="0.2">
      <c r="A163" s="21" t="s">
        <v>39</v>
      </c>
      <c r="B163" s="19">
        <f>'DOE25'!F503</f>
        <v>90386</v>
      </c>
      <c r="C163" s="19">
        <f>'DOE25'!G503</f>
        <v>175980</v>
      </c>
      <c r="D163" s="19">
        <f>'DOE25'!H503</f>
        <v>1792797</v>
      </c>
      <c r="E163" s="19">
        <f>'DOE25'!I503</f>
        <v>20160</v>
      </c>
      <c r="F163" s="19">
        <f>'DOE25'!J503</f>
        <v>8956</v>
      </c>
      <c r="G163" s="96">
        <f t="shared" si="8"/>
        <v>2088279</v>
      </c>
    </row>
    <row r="164" spans="1:7" x14ac:dyDescent="0.2">
      <c r="A164" s="21" t="s">
        <v>246</v>
      </c>
      <c r="B164" s="19">
        <f>'DOE25'!F504</f>
        <v>183906</v>
      </c>
      <c r="C164" s="19">
        <f>'DOE25'!G504</f>
        <v>308050</v>
      </c>
      <c r="D164" s="19">
        <f>'DOE25'!H504</f>
        <v>2945338</v>
      </c>
      <c r="E164" s="19">
        <f>'DOE25'!I504</f>
        <v>80160</v>
      </c>
      <c r="F164" s="19">
        <f>'DOE25'!J504</f>
        <v>95235</v>
      </c>
      <c r="G164" s="96">
        <f t="shared" si="8"/>
        <v>3612689</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84" orientation="landscape" r:id="rId1"/>
  <headerFooter alignWithMargins="0">
    <oddHeader>&amp;C&amp;A
2022-2023</oddHeader>
    <oddFooter>&amp;CPage &amp;P&amp;R&amp;D&amp;T</oddFooter>
  </headerFooter>
  <rowBreaks count="4" manualBreakCount="4">
    <brk id="52" max="16383" man="1"/>
    <brk id="81"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Dresden</v>
      </c>
    </row>
    <row r="3" spans="1:4" x14ac:dyDescent="0.2">
      <c r="B3" s="137" t="s">
        <v>1799</v>
      </c>
    </row>
    <row r="4" spans="1:4" x14ac:dyDescent="0.2">
      <c r="B4" t="s">
        <v>61</v>
      </c>
      <c r="C4" s="129">
        <f>IF('DOE25'!F666+'DOE25'!F671=0,0,ROUND('DOE25'!F673,0))</f>
        <v>24848</v>
      </c>
    </row>
    <row r="5" spans="1:4" x14ac:dyDescent="0.2">
      <c r="B5" t="s">
        <v>700</v>
      </c>
      <c r="C5" s="129">
        <f>IF('DOE25'!G666+'DOE25'!G671=0,0,ROUND('DOE25'!G673,0))</f>
        <v>0</v>
      </c>
    </row>
    <row r="6" spans="1:4" x14ac:dyDescent="0.2">
      <c r="B6" t="s">
        <v>62</v>
      </c>
      <c r="C6" s="129">
        <f>IF('DOE25'!H666+'DOE25'!H671=0,0,ROUND('DOE25'!H673,0))</f>
        <v>25158</v>
      </c>
    </row>
    <row r="7" spans="1:4" x14ac:dyDescent="0.2">
      <c r="B7" t="s">
        <v>701</v>
      </c>
      <c r="C7" s="129">
        <f>IF('DOE25'!I666+'DOE25'!I671=0,0,ROUND('DOE25'!I673,0))</f>
        <v>25047</v>
      </c>
    </row>
    <row r="9" spans="1:4" x14ac:dyDescent="0.2">
      <c r="A9" s="136" t="s">
        <v>94</v>
      </c>
      <c r="B9" s="137" t="s">
        <v>1800</v>
      </c>
      <c r="C9" s="131" t="s">
        <v>720</v>
      </c>
      <c r="D9" s="131" t="s">
        <v>721</v>
      </c>
    </row>
    <row r="10" spans="1:4" x14ac:dyDescent="0.2">
      <c r="A10">
        <v>1100</v>
      </c>
      <c r="B10" t="s">
        <v>702</v>
      </c>
      <c r="C10" s="129">
        <f>ROUND('DOE25'!L198+'DOE25'!L216+'DOE25'!L234+'DOE25'!L277+'DOE25'!L296+'DOE25'!L315,0)</f>
        <v>13196436</v>
      </c>
      <c r="D10" s="132">
        <f>ROUND((C10/$C$28)*100,1)</f>
        <v>47</v>
      </c>
    </row>
    <row r="11" spans="1:4" x14ac:dyDescent="0.2">
      <c r="A11">
        <v>1200</v>
      </c>
      <c r="B11" t="s">
        <v>703</v>
      </c>
      <c r="C11" s="129">
        <f>ROUND('DOE25'!L199+'DOE25'!L217+'DOE25'!L235+'DOE25'!L278+'DOE25'!L297+'DOE25'!L316,0)</f>
        <v>3370311</v>
      </c>
      <c r="D11" s="132">
        <f>ROUND((C11/$C$28)*100,1)</f>
        <v>12</v>
      </c>
    </row>
    <row r="12" spans="1:4" x14ac:dyDescent="0.2">
      <c r="A12">
        <v>1300</v>
      </c>
      <c r="B12" t="s">
        <v>704</v>
      </c>
      <c r="C12" s="129">
        <f>ROUND('DOE25'!L200+'DOE25'!L218+'DOE25'!L236+'DOE25'!L279+'DOE25'!L298+'DOE25'!L317,0)</f>
        <v>141906</v>
      </c>
      <c r="D12" s="132">
        <f>ROUND((C12/$C$28)*100,1)</f>
        <v>0.5</v>
      </c>
    </row>
    <row r="13" spans="1:4" x14ac:dyDescent="0.2">
      <c r="A13">
        <v>1400</v>
      </c>
      <c r="B13" t="s">
        <v>705</v>
      </c>
      <c r="C13" s="129">
        <f>ROUND('DOE25'!L201+'DOE25'!L219+'DOE25'!L237+'DOE25'!L280+'DOE25'!L299+'DOE25'!L318,0)</f>
        <v>1047556</v>
      </c>
      <c r="D13" s="132">
        <f>ROUND((C13/$C$28)*100,1)</f>
        <v>3.7</v>
      </c>
    </row>
    <row r="14" spans="1:4" x14ac:dyDescent="0.2">
      <c r="D14" s="132"/>
    </row>
    <row r="15" spans="1:4" x14ac:dyDescent="0.2">
      <c r="A15">
        <v>2100</v>
      </c>
      <c r="B15" t="s">
        <v>706</v>
      </c>
      <c r="C15" s="129">
        <f>ROUND('DOE25'!L203+'DOE25'!L221+'DOE25'!L239+'DOE25'!L282+'DOE25'!L301+'DOE25'!L320,0)</f>
        <v>1709927</v>
      </c>
      <c r="D15" s="132">
        <f t="shared" ref="D15:D27" si="0">ROUND((C15/$C$28)*100,1)</f>
        <v>6.1</v>
      </c>
    </row>
    <row r="16" spans="1:4" x14ac:dyDescent="0.2">
      <c r="A16">
        <v>2200</v>
      </c>
      <c r="B16" t="s">
        <v>707</v>
      </c>
      <c r="C16" s="129">
        <f>ROUND('DOE25'!L204+'DOE25'!L222+'DOE25'!L240+'DOE25'!L283+'DOE25'!L302+'DOE25'!L321,0)</f>
        <v>818156</v>
      </c>
      <c r="D16" s="132">
        <f t="shared" si="0"/>
        <v>2.9</v>
      </c>
    </row>
    <row r="17" spans="1:4" x14ac:dyDescent="0.2">
      <c r="A17" s="133" t="s">
        <v>723</v>
      </c>
      <c r="B17" t="s">
        <v>738</v>
      </c>
      <c r="C17" s="129">
        <f>ROUND('DOE25'!L205+'DOE25'!L210+'DOE25'!L223+'DOE25'!L228+'DOE25'!L241+'DOE25'!L246+'DOE25'!L284+'DOE25'!L289+'DOE25'!L303+'DOE25'!L308+'DOE25'!L322+'DOE25'!L327,0)</f>
        <v>1274765</v>
      </c>
      <c r="D17" s="132">
        <f t="shared" si="0"/>
        <v>4.5</v>
      </c>
    </row>
    <row r="18" spans="1:4" x14ac:dyDescent="0.2">
      <c r="A18">
        <v>2400</v>
      </c>
      <c r="B18" t="s">
        <v>711</v>
      </c>
      <c r="C18" s="129">
        <f>ROUND('DOE25'!L206+'DOE25'!L224+'DOE25'!L242+'DOE25'!L285+'DOE25'!L304+'DOE25'!L323,0)</f>
        <v>2351447</v>
      </c>
      <c r="D18" s="132">
        <f t="shared" si="0"/>
        <v>8.4</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2276782</v>
      </c>
      <c r="D20" s="132">
        <f t="shared" si="0"/>
        <v>8.1</v>
      </c>
    </row>
    <row r="21" spans="1:4" x14ac:dyDescent="0.2">
      <c r="A21">
        <v>2700</v>
      </c>
      <c r="B21" t="s">
        <v>710</v>
      </c>
      <c r="C21" s="129">
        <f>ROUND('DOE25'!L209+'DOE25'!L227+'DOE25'!L245+'DOE25'!L288+'DOE25'!L307+'DOE25'!L326,0)</f>
        <v>259557</v>
      </c>
      <c r="D21" s="132">
        <f t="shared" si="0"/>
        <v>0.9</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1590965</v>
      </c>
      <c r="D25" s="132">
        <f t="shared" si="0"/>
        <v>5.7</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67512.910000000033</v>
      </c>
      <c r="D27" s="132">
        <f t="shared" si="0"/>
        <v>0.2</v>
      </c>
    </row>
    <row r="28" spans="1:4" x14ac:dyDescent="0.2">
      <c r="B28" s="136" t="s">
        <v>719</v>
      </c>
      <c r="C28" s="130">
        <f>SUM(C10:C27)</f>
        <v>28105320.91</v>
      </c>
      <c r="D28" s="134">
        <f>ROUND(SUM(D10:D27),0)</f>
        <v>100</v>
      </c>
    </row>
    <row r="29" spans="1:4" x14ac:dyDescent="0.2">
      <c r="A29">
        <v>4000</v>
      </c>
      <c r="B29" t="s">
        <v>724</v>
      </c>
      <c r="C29" s="129">
        <f>ROUND('DOE25'!L256+'DOE25'!L337+'DOE25'!L375+'DOE25'!L376+'DOE25'!L377+'DOE25'!L378+'DOE25'!L379+'DOE25'!L380+'DOE25'!L381,0)</f>
        <v>302639</v>
      </c>
    </row>
    <row r="30" spans="1:4" x14ac:dyDescent="0.2">
      <c r="B30" s="136" t="s">
        <v>725</v>
      </c>
      <c r="C30" s="130">
        <f>SUM(C28:C29)</f>
        <v>28407959.91</v>
      </c>
    </row>
    <row r="31" spans="1:4" x14ac:dyDescent="0.2">
      <c r="B31" s="32"/>
      <c r="C31" s="130"/>
    </row>
    <row r="32" spans="1:4" x14ac:dyDescent="0.2">
      <c r="A32">
        <v>5100</v>
      </c>
      <c r="B32" s="32" t="s">
        <v>726</v>
      </c>
      <c r="C32" s="130">
        <f>ROUND('DOE25'!L261+'DOE25'!L342,0)</f>
        <v>2028644</v>
      </c>
    </row>
    <row r="34" spans="1:4" x14ac:dyDescent="0.2">
      <c r="A34" s="136" t="s">
        <v>94</v>
      </c>
      <c r="B34" s="137" t="s">
        <v>1801</v>
      </c>
      <c r="C34" s="131" t="s">
        <v>720</v>
      </c>
      <c r="D34" s="131" t="s">
        <v>721</v>
      </c>
    </row>
    <row r="35" spans="1:4" x14ac:dyDescent="0.2">
      <c r="A35">
        <v>1100</v>
      </c>
      <c r="B35" s="71" t="s">
        <v>727</v>
      </c>
      <c r="C35" s="129">
        <f>ROUND('DOE25'!F60+'DOE25'!G60+'DOE25'!H60+'DOE25'!I60+'DOE25'!J60,0)</f>
        <v>26103100</v>
      </c>
      <c r="D35" s="132">
        <f t="shared" ref="D35:D40" si="1">ROUND((C35/$C$41)*100,1)</f>
        <v>85.2</v>
      </c>
    </row>
    <row r="36" spans="1:4" x14ac:dyDescent="0.2">
      <c r="B36" s="71" t="s">
        <v>739</v>
      </c>
      <c r="C36" s="129">
        <f>SUM('DOE25'!F112:J112)-SUM('DOE25'!G97:G110)+('DOE25'!F175+'DOE25'!F176+'DOE25'!I175+'DOE25'!I176)-C35</f>
        <v>3761747.2099999972</v>
      </c>
      <c r="D36" s="132">
        <f t="shared" si="1"/>
        <v>12.3</v>
      </c>
    </row>
    <row r="37" spans="1:4" x14ac:dyDescent="0.2">
      <c r="A37" s="133" t="s">
        <v>834</v>
      </c>
      <c r="B37" s="71" t="s">
        <v>728</v>
      </c>
      <c r="C37" s="129">
        <f>ROUND('DOE25'!F117+'DOE25'!F118,0)</f>
        <v>0</v>
      </c>
      <c r="D37" s="132">
        <f t="shared" si="1"/>
        <v>0</v>
      </c>
    </row>
    <row r="38" spans="1:4" x14ac:dyDescent="0.2">
      <c r="A38" s="133" t="s">
        <v>734</v>
      </c>
      <c r="B38" s="71" t="s">
        <v>729</v>
      </c>
      <c r="C38" s="129">
        <f>ROUND(SUM('DOE25'!F140:J140)-SUM('DOE25'!F117:F119),0)</f>
        <v>370532</v>
      </c>
      <c r="D38" s="132">
        <f t="shared" si="1"/>
        <v>1.2</v>
      </c>
    </row>
    <row r="39" spans="1:4" x14ac:dyDescent="0.2">
      <c r="A39">
        <v>4000</v>
      </c>
      <c r="B39" s="71" t="s">
        <v>730</v>
      </c>
      <c r="C39" s="129">
        <f>ROUND('DOE25'!F170+'DOE25'!G170+'DOE25'!H170+'DOE25'!I170,0)</f>
        <v>397077</v>
      </c>
      <c r="D39" s="132">
        <f t="shared" si="1"/>
        <v>1.3</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30632456.209999997</v>
      </c>
      <c r="D41" s="134">
        <f>SUM(D35:D40)</f>
        <v>100</v>
      </c>
    </row>
    <row r="42" spans="1:4" x14ac:dyDescent="0.2">
      <c r="A42" s="133" t="s">
        <v>737</v>
      </c>
      <c r="B42" s="71" t="s">
        <v>733</v>
      </c>
      <c r="C42" s="129">
        <f>ROUND('DOE25'!F174+'DOE25'!I174+'DOE25'!F177+'DOE25'!I177,0)</f>
        <v>1837000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0" t="s">
        <v>766</v>
      </c>
      <c r="B1" s="331"/>
      <c r="C1" s="331"/>
      <c r="D1" s="331"/>
      <c r="E1" s="331"/>
      <c r="F1" s="331"/>
      <c r="G1" s="331"/>
      <c r="H1" s="331"/>
      <c r="I1" s="331"/>
      <c r="J1" s="155"/>
      <c r="K1" s="155"/>
      <c r="L1" s="155"/>
      <c r="M1" s="156"/>
    </row>
    <row r="2" spans="1:13" ht="12.75" x14ac:dyDescent="0.2">
      <c r="A2" s="335" t="s">
        <v>763</v>
      </c>
      <c r="B2" s="336"/>
      <c r="C2" s="336"/>
      <c r="D2" s="336"/>
      <c r="E2" s="336"/>
      <c r="F2" s="333" t="str">
        <f>'DOE25'!A2</f>
        <v>Dresden</v>
      </c>
      <c r="G2" s="334"/>
      <c r="H2" s="334"/>
      <c r="I2" s="334"/>
      <c r="M2" s="157"/>
    </row>
    <row r="3" spans="1:13" x14ac:dyDescent="0.2">
      <c r="A3" s="158" t="s">
        <v>764</v>
      </c>
      <c r="B3" s="131" t="s">
        <v>765</v>
      </c>
      <c r="C3" s="320" t="s">
        <v>767</v>
      </c>
      <c r="D3" s="320"/>
      <c r="E3" s="320"/>
      <c r="F3" s="320"/>
      <c r="G3" s="320"/>
      <c r="H3" s="320"/>
      <c r="I3" s="320"/>
      <c r="J3" s="320"/>
      <c r="K3" s="320"/>
      <c r="L3" s="320"/>
      <c r="M3" s="332"/>
    </row>
    <row r="4" spans="1:13" x14ac:dyDescent="0.2">
      <c r="A4" s="159"/>
      <c r="B4" s="150"/>
      <c r="C4" s="327"/>
      <c r="D4" s="327"/>
      <c r="E4" s="327"/>
      <c r="F4" s="327"/>
      <c r="G4" s="327"/>
      <c r="H4" s="327"/>
      <c r="I4" s="327"/>
      <c r="J4" s="327"/>
      <c r="K4" s="327"/>
      <c r="L4" s="327"/>
      <c r="M4" s="329"/>
    </row>
    <row r="5" spans="1:13" x14ac:dyDescent="0.2">
      <c r="A5" s="159"/>
      <c r="B5" s="150"/>
      <c r="C5" s="327"/>
      <c r="D5" s="327"/>
      <c r="E5" s="327"/>
      <c r="F5" s="327"/>
      <c r="G5" s="327"/>
      <c r="H5" s="327"/>
      <c r="I5" s="327"/>
      <c r="J5" s="327"/>
      <c r="K5" s="327"/>
      <c r="L5" s="327"/>
      <c r="M5" s="329"/>
    </row>
    <row r="6" spans="1:13" x14ac:dyDescent="0.2">
      <c r="A6" s="159"/>
      <c r="B6" s="150"/>
      <c r="C6" s="327"/>
      <c r="D6" s="327"/>
      <c r="E6" s="327"/>
      <c r="F6" s="327"/>
      <c r="G6" s="327"/>
      <c r="H6" s="327"/>
      <c r="I6" s="327"/>
      <c r="J6" s="327"/>
      <c r="K6" s="327"/>
      <c r="L6" s="327"/>
      <c r="M6" s="329"/>
    </row>
    <row r="7" spans="1:13" x14ac:dyDescent="0.2">
      <c r="A7" s="159"/>
      <c r="B7" s="150"/>
      <c r="C7" s="327"/>
      <c r="D7" s="327"/>
      <c r="E7" s="327"/>
      <c r="F7" s="327"/>
      <c r="G7" s="327"/>
      <c r="H7" s="327"/>
      <c r="I7" s="327"/>
      <c r="J7" s="327"/>
      <c r="K7" s="327"/>
      <c r="L7" s="327"/>
      <c r="M7" s="329"/>
    </row>
    <row r="8" spans="1:13" x14ac:dyDescent="0.2">
      <c r="A8" s="159"/>
      <c r="B8" s="150"/>
      <c r="C8" s="327"/>
      <c r="D8" s="327"/>
      <c r="E8" s="327"/>
      <c r="F8" s="327"/>
      <c r="G8" s="327"/>
      <c r="H8" s="327"/>
      <c r="I8" s="327"/>
      <c r="J8" s="327"/>
      <c r="K8" s="327"/>
      <c r="L8" s="327"/>
      <c r="M8" s="329"/>
    </row>
    <row r="9" spans="1:13" x14ac:dyDescent="0.2">
      <c r="A9" s="159"/>
      <c r="B9" s="150"/>
      <c r="C9" s="327"/>
      <c r="D9" s="327"/>
      <c r="E9" s="327"/>
      <c r="F9" s="327"/>
      <c r="G9" s="327"/>
      <c r="H9" s="327"/>
      <c r="I9" s="327"/>
      <c r="J9" s="327"/>
      <c r="K9" s="327"/>
      <c r="L9" s="327"/>
      <c r="M9" s="329"/>
    </row>
    <row r="10" spans="1:13" x14ac:dyDescent="0.2">
      <c r="A10" s="159"/>
      <c r="B10" s="150"/>
      <c r="C10" s="327"/>
      <c r="D10" s="327"/>
      <c r="E10" s="327"/>
      <c r="F10" s="327"/>
      <c r="G10" s="327"/>
      <c r="H10" s="327"/>
      <c r="I10" s="327"/>
      <c r="J10" s="327"/>
      <c r="K10" s="327"/>
      <c r="L10" s="327"/>
      <c r="M10" s="329"/>
    </row>
    <row r="11" spans="1:13" x14ac:dyDescent="0.2">
      <c r="A11" s="159"/>
      <c r="B11" s="150"/>
      <c r="C11" s="327"/>
      <c r="D11" s="327"/>
      <c r="E11" s="327"/>
      <c r="F11" s="327"/>
      <c r="G11" s="327"/>
      <c r="H11" s="327"/>
      <c r="I11" s="327"/>
      <c r="J11" s="327"/>
      <c r="K11" s="327"/>
      <c r="L11" s="327"/>
      <c r="M11" s="329"/>
    </row>
    <row r="12" spans="1:13" x14ac:dyDescent="0.2">
      <c r="A12" s="159"/>
      <c r="B12" s="150"/>
      <c r="C12" s="327"/>
      <c r="D12" s="327"/>
      <c r="E12" s="327"/>
      <c r="F12" s="327"/>
      <c r="G12" s="327"/>
      <c r="H12" s="327"/>
      <c r="I12" s="327"/>
      <c r="J12" s="327"/>
      <c r="K12" s="327"/>
      <c r="L12" s="327"/>
      <c r="M12" s="329"/>
    </row>
    <row r="13" spans="1:13" x14ac:dyDescent="0.2">
      <c r="A13" s="159"/>
      <c r="B13" s="150"/>
      <c r="C13" s="327"/>
      <c r="D13" s="327"/>
      <c r="E13" s="327"/>
      <c r="F13" s="327"/>
      <c r="G13" s="327"/>
      <c r="H13" s="327"/>
      <c r="I13" s="327"/>
      <c r="J13" s="327"/>
      <c r="K13" s="327"/>
      <c r="L13" s="327"/>
      <c r="M13" s="329"/>
    </row>
    <row r="14" spans="1:13" x14ac:dyDescent="0.2">
      <c r="A14" s="159"/>
      <c r="B14" s="150"/>
      <c r="C14" s="327"/>
      <c r="D14" s="327"/>
      <c r="E14" s="327"/>
      <c r="F14" s="327"/>
      <c r="G14" s="327"/>
      <c r="H14" s="327"/>
      <c r="I14" s="327"/>
      <c r="J14" s="327"/>
      <c r="K14" s="327"/>
      <c r="L14" s="327"/>
      <c r="M14" s="329"/>
    </row>
    <row r="15" spans="1:13" x14ac:dyDescent="0.2">
      <c r="A15" s="159"/>
      <c r="B15" s="150"/>
      <c r="C15" s="327"/>
      <c r="D15" s="327"/>
      <c r="E15" s="327"/>
      <c r="F15" s="327"/>
      <c r="G15" s="327"/>
      <c r="H15" s="327"/>
      <c r="I15" s="327"/>
      <c r="J15" s="327"/>
      <c r="K15" s="327"/>
      <c r="L15" s="327"/>
      <c r="M15" s="329"/>
    </row>
    <row r="16" spans="1:13" x14ac:dyDescent="0.2">
      <c r="A16" s="159"/>
      <c r="B16" s="150"/>
      <c r="C16" s="327"/>
      <c r="D16" s="327"/>
      <c r="E16" s="327"/>
      <c r="F16" s="327"/>
      <c r="G16" s="327"/>
      <c r="H16" s="327"/>
      <c r="I16" s="327"/>
      <c r="J16" s="327"/>
      <c r="K16" s="327"/>
      <c r="L16" s="327"/>
      <c r="M16" s="329"/>
    </row>
    <row r="17" spans="1:256" x14ac:dyDescent="0.2">
      <c r="A17" s="159"/>
      <c r="B17" s="150"/>
      <c r="C17" s="327"/>
      <c r="D17" s="327"/>
      <c r="E17" s="327"/>
      <c r="F17" s="327"/>
      <c r="G17" s="327"/>
      <c r="H17" s="327"/>
      <c r="I17" s="327"/>
      <c r="J17" s="327"/>
      <c r="K17" s="327"/>
      <c r="L17" s="327"/>
      <c r="M17" s="329"/>
    </row>
    <row r="18" spans="1:256" x14ac:dyDescent="0.2">
      <c r="A18" s="159"/>
      <c r="B18" s="150"/>
      <c r="C18" s="327"/>
      <c r="D18" s="327"/>
      <c r="E18" s="327"/>
      <c r="F18" s="327"/>
      <c r="G18" s="327"/>
      <c r="H18" s="327"/>
      <c r="I18" s="327"/>
      <c r="J18" s="327"/>
      <c r="K18" s="327"/>
      <c r="L18" s="327"/>
      <c r="M18" s="329"/>
    </row>
    <row r="19" spans="1:256" x14ac:dyDescent="0.2">
      <c r="A19" s="159"/>
      <c r="B19" s="150"/>
      <c r="C19" s="327"/>
      <c r="D19" s="327"/>
      <c r="E19" s="327"/>
      <c r="F19" s="327"/>
      <c r="G19" s="327"/>
      <c r="H19" s="327"/>
      <c r="I19" s="327"/>
      <c r="J19" s="327"/>
      <c r="K19" s="327"/>
      <c r="L19" s="327"/>
      <c r="M19" s="329"/>
    </row>
    <row r="20" spans="1:256" x14ac:dyDescent="0.2">
      <c r="A20" s="159"/>
      <c r="B20" s="150"/>
      <c r="C20" s="327"/>
      <c r="D20" s="327"/>
      <c r="E20" s="327"/>
      <c r="F20" s="327"/>
      <c r="G20" s="327"/>
      <c r="H20" s="327"/>
      <c r="I20" s="327"/>
      <c r="J20" s="327"/>
      <c r="K20" s="327"/>
      <c r="L20" s="327"/>
      <c r="M20" s="329"/>
    </row>
    <row r="21" spans="1:256" x14ac:dyDescent="0.2">
      <c r="A21" s="159"/>
      <c r="B21" s="150"/>
      <c r="C21" s="327"/>
      <c r="D21" s="327"/>
      <c r="E21" s="327"/>
      <c r="F21" s="327"/>
      <c r="G21" s="327"/>
      <c r="H21" s="327"/>
      <c r="I21" s="327"/>
      <c r="J21" s="327"/>
      <c r="K21" s="327"/>
      <c r="L21" s="327"/>
      <c r="M21" s="329"/>
    </row>
    <row r="22" spans="1:256" x14ac:dyDescent="0.2">
      <c r="A22" s="159"/>
      <c r="B22" s="150"/>
      <c r="C22" s="327"/>
      <c r="D22" s="327"/>
      <c r="E22" s="327"/>
      <c r="F22" s="327"/>
      <c r="G22" s="327"/>
      <c r="H22" s="327"/>
      <c r="I22" s="327"/>
      <c r="J22" s="327"/>
      <c r="K22" s="327"/>
      <c r="L22" s="327"/>
      <c r="M22" s="329"/>
    </row>
    <row r="23" spans="1:256" x14ac:dyDescent="0.2">
      <c r="A23" s="159"/>
      <c r="B23" s="150"/>
      <c r="C23" s="327"/>
      <c r="D23" s="327"/>
      <c r="E23" s="327"/>
      <c r="F23" s="327"/>
      <c r="G23" s="327"/>
      <c r="H23" s="327"/>
      <c r="I23" s="327"/>
      <c r="J23" s="327"/>
      <c r="K23" s="327"/>
      <c r="L23" s="327"/>
      <c r="M23" s="329"/>
    </row>
    <row r="24" spans="1:256" x14ac:dyDescent="0.2">
      <c r="A24" s="159"/>
      <c r="B24" s="150"/>
      <c r="C24" s="327"/>
      <c r="D24" s="327"/>
      <c r="E24" s="327"/>
      <c r="F24" s="327"/>
      <c r="G24" s="327"/>
      <c r="H24" s="327"/>
      <c r="I24" s="327"/>
      <c r="J24" s="327"/>
      <c r="K24" s="327"/>
      <c r="L24" s="327"/>
      <c r="M24" s="329"/>
    </row>
    <row r="25" spans="1:256" x14ac:dyDescent="0.2">
      <c r="A25" s="159"/>
      <c r="B25" s="150"/>
      <c r="C25" s="327"/>
      <c r="D25" s="327"/>
      <c r="E25" s="327"/>
      <c r="F25" s="327"/>
      <c r="G25" s="327"/>
      <c r="H25" s="327"/>
      <c r="I25" s="327"/>
      <c r="J25" s="327"/>
      <c r="K25" s="327"/>
      <c r="L25" s="327"/>
      <c r="M25" s="329"/>
    </row>
    <row r="26" spans="1:256" x14ac:dyDescent="0.2">
      <c r="A26" s="159"/>
      <c r="B26" s="150"/>
      <c r="C26" s="327"/>
      <c r="D26" s="327"/>
      <c r="E26" s="327"/>
      <c r="F26" s="327"/>
      <c r="G26" s="327"/>
      <c r="H26" s="327"/>
      <c r="I26" s="327"/>
      <c r="J26" s="327"/>
      <c r="K26" s="327"/>
      <c r="L26" s="327"/>
      <c r="M26" s="329"/>
    </row>
    <row r="27" spans="1:256" x14ac:dyDescent="0.2">
      <c r="A27" s="159"/>
      <c r="B27" s="150"/>
      <c r="C27" s="327"/>
      <c r="D27" s="327"/>
      <c r="E27" s="327"/>
      <c r="F27" s="327"/>
      <c r="G27" s="327"/>
      <c r="H27" s="327"/>
      <c r="I27" s="327"/>
      <c r="J27" s="327"/>
      <c r="K27" s="327"/>
      <c r="L27" s="327"/>
      <c r="M27" s="329"/>
    </row>
    <row r="28" spans="1:256" x14ac:dyDescent="0.2">
      <c r="A28" s="159"/>
      <c r="B28" s="150"/>
      <c r="C28" s="327"/>
      <c r="D28" s="327"/>
      <c r="E28" s="327"/>
      <c r="F28" s="327"/>
      <c r="G28" s="327"/>
      <c r="H28" s="327"/>
      <c r="I28" s="327"/>
      <c r="J28" s="327"/>
      <c r="K28" s="327"/>
      <c r="L28" s="327"/>
      <c r="M28" s="329"/>
    </row>
    <row r="29" spans="1:256" x14ac:dyDescent="0.2">
      <c r="A29" s="159"/>
      <c r="B29" s="150"/>
      <c r="C29" s="327"/>
      <c r="D29" s="327"/>
      <c r="E29" s="327"/>
      <c r="F29" s="327"/>
      <c r="G29" s="327"/>
      <c r="H29" s="327"/>
      <c r="I29" s="327"/>
      <c r="J29" s="327"/>
      <c r="K29" s="327"/>
      <c r="L29" s="327"/>
      <c r="M29" s="329"/>
      <c r="N29" s="153"/>
      <c r="O29" s="153"/>
      <c r="P29" s="328"/>
      <c r="Q29" s="328"/>
      <c r="R29" s="328"/>
      <c r="S29" s="328"/>
      <c r="T29" s="328"/>
      <c r="U29" s="328"/>
      <c r="V29" s="328"/>
      <c r="W29" s="328"/>
      <c r="X29" s="328"/>
      <c r="Y29" s="328"/>
      <c r="Z29" s="328"/>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9"/>
      <c r="N30" s="153"/>
      <c r="O30" s="153"/>
      <c r="P30" s="328"/>
      <c r="Q30" s="328"/>
      <c r="R30" s="328"/>
      <c r="S30" s="328"/>
      <c r="T30" s="328"/>
      <c r="U30" s="328"/>
      <c r="V30" s="328"/>
      <c r="W30" s="328"/>
      <c r="X30" s="328"/>
      <c r="Y30" s="328"/>
      <c r="Z30" s="328"/>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9"/>
      <c r="N31" s="153"/>
      <c r="O31" s="153"/>
      <c r="P31" s="328"/>
      <c r="Q31" s="328"/>
      <c r="R31" s="328"/>
      <c r="S31" s="328"/>
      <c r="T31" s="328"/>
      <c r="U31" s="328"/>
      <c r="V31" s="328"/>
      <c r="W31" s="328"/>
      <c r="X31" s="328"/>
      <c r="Y31" s="328"/>
      <c r="Z31" s="328"/>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9"/>
      <c r="N32" s="153"/>
      <c r="O32" s="153"/>
      <c r="P32" s="328"/>
      <c r="Q32" s="328"/>
      <c r="R32" s="328"/>
      <c r="S32" s="328"/>
      <c r="T32" s="328"/>
      <c r="U32" s="328"/>
      <c r="V32" s="328"/>
      <c r="W32" s="328"/>
      <c r="X32" s="328"/>
      <c r="Y32" s="328"/>
      <c r="Z32" s="337"/>
      <c r="AA32" s="159"/>
      <c r="AB32" s="150"/>
      <c r="AC32" s="327"/>
      <c r="AD32" s="327"/>
      <c r="AE32" s="327"/>
      <c r="AF32" s="327"/>
      <c r="AG32" s="327"/>
      <c r="AH32" s="327"/>
      <c r="AI32" s="327"/>
      <c r="AJ32" s="327"/>
      <c r="AK32" s="327"/>
      <c r="AL32" s="327"/>
      <c r="AM32" s="329"/>
      <c r="AN32" s="159"/>
      <c r="AO32" s="150"/>
      <c r="AP32" s="327"/>
      <c r="AQ32" s="327"/>
      <c r="AR32" s="327"/>
      <c r="AS32" s="327"/>
      <c r="AT32" s="327"/>
      <c r="AU32" s="327"/>
      <c r="AV32" s="327"/>
      <c r="AW32" s="327"/>
      <c r="AX32" s="327"/>
      <c r="AY32" s="327"/>
      <c r="AZ32" s="329"/>
      <c r="BA32" s="159"/>
      <c r="BB32" s="150"/>
      <c r="BC32" s="327"/>
      <c r="BD32" s="327"/>
      <c r="BE32" s="327"/>
      <c r="BF32" s="327"/>
      <c r="BG32" s="327"/>
      <c r="BH32" s="327"/>
      <c r="BI32" s="327"/>
      <c r="BJ32" s="327"/>
      <c r="BK32" s="327"/>
      <c r="BL32" s="327"/>
      <c r="BM32" s="329"/>
      <c r="BN32" s="159"/>
      <c r="BO32" s="150"/>
      <c r="BP32" s="327"/>
      <c r="BQ32" s="327"/>
      <c r="BR32" s="327"/>
      <c r="BS32" s="327"/>
      <c r="BT32" s="327"/>
      <c r="BU32" s="327"/>
      <c r="BV32" s="327"/>
      <c r="BW32" s="327"/>
      <c r="BX32" s="327"/>
      <c r="BY32" s="327"/>
      <c r="BZ32" s="329"/>
      <c r="CA32" s="159"/>
      <c r="CB32" s="150"/>
      <c r="CC32" s="327"/>
      <c r="CD32" s="327"/>
      <c r="CE32" s="327"/>
      <c r="CF32" s="327"/>
      <c r="CG32" s="327"/>
      <c r="CH32" s="327"/>
      <c r="CI32" s="327"/>
      <c r="CJ32" s="327"/>
      <c r="CK32" s="327"/>
      <c r="CL32" s="327"/>
      <c r="CM32" s="329"/>
      <c r="CN32" s="159"/>
      <c r="CO32" s="150"/>
      <c r="CP32" s="327"/>
      <c r="CQ32" s="327"/>
      <c r="CR32" s="327"/>
      <c r="CS32" s="327"/>
      <c r="CT32" s="327"/>
      <c r="CU32" s="327"/>
      <c r="CV32" s="327"/>
      <c r="CW32" s="327"/>
      <c r="CX32" s="327"/>
      <c r="CY32" s="327"/>
      <c r="CZ32" s="329"/>
      <c r="DA32" s="159"/>
      <c r="DB32" s="150"/>
      <c r="DC32" s="327"/>
      <c r="DD32" s="327"/>
      <c r="DE32" s="327"/>
      <c r="DF32" s="327"/>
      <c r="DG32" s="327"/>
      <c r="DH32" s="327"/>
      <c r="DI32" s="327"/>
      <c r="DJ32" s="327"/>
      <c r="DK32" s="327"/>
      <c r="DL32" s="327"/>
      <c r="DM32" s="329"/>
      <c r="DN32" s="159"/>
      <c r="DO32" s="150"/>
      <c r="DP32" s="327"/>
      <c r="DQ32" s="327"/>
      <c r="DR32" s="327"/>
      <c r="DS32" s="327"/>
      <c r="DT32" s="327"/>
      <c r="DU32" s="327"/>
      <c r="DV32" s="327"/>
      <c r="DW32" s="327"/>
      <c r="DX32" s="327"/>
      <c r="DY32" s="327"/>
      <c r="DZ32" s="329"/>
      <c r="EA32" s="159"/>
      <c r="EB32" s="150"/>
      <c r="EC32" s="327"/>
      <c r="ED32" s="327"/>
      <c r="EE32" s="327"/>
      <c r="EF32" s="327"/>
      <c r="EG32" s="327"/>
      <c r="EH32" s="327"/>
      <c r="EI32" s="327"/>
      <c r="EJ32" s="327"/>
      <c r="EK32" s="327"/>
      <c r="EL32" s="327"/>
      <c r="EM32" s="329"/>
      <c r="EN32" s="159"/>
      <c r="EO32" s="150"/>
      <c r="EP32" s="327"/>
      <c r="EQ32" s="327"/>
      <c r="ER32" s="327"/>
      <c r="ES32" s="327"/>
      <c r="ET32" s="327"/>
      <c r="EU32" s="327"/>
      <c r="EV32" s="327"/>
      <c r="EW32" s="327"/>
      <c r="EX32" s="327"/>
      <c r="EY32" s="327"/>
      <c r="EZ32" s="329"/>
      <c r="FA32" s="159"/>
      <c r="FB32" s="150"/>
      <c r="FC32" s="327"/>
      <c r="FD32" s="327"/>
      <c r="FE32" s="327"/>
      <c r="FF32" s="327"/>
      <c r="FG32" s="327"/>
      <c r="FH32" s="327"/>
      <c r="FI32" s="327"/>
      <c r="FJ32" s="327"/>
      <c r="FK32" s="327"/>
      <c r="FL32" s="327"/>
      <c r="FM32" s="329"/>
      <c r="FN32" s="159"/>
      <c r="FO32" s="150"/>
      <c r="FP32" s="327"/>
      <c r="FQ32" s="327"/>
      <c r="FR32" s="327"/>
      <c r="FS32" s="327"/>
      <c r="FT32" s="327"/>
      <c r="FU32" s="327"/>
      <c r="FV32" s="327"/>
      <c r="FW32" s="327"/>
      <c r="FX32" s="327"/>
      <c r="FY32" s="327"/>
      <c r="FZ32" s="329"/>
      <c r="GA32" s="159"/>
      <c r="GB32" s="150"/>
      <c r="GC32" s="327"/>
      <c r="GD32" s="327"/>
      <c r="GE32" s="327"/>
      <c r="GF32" s="327"/>
      <c r="GG32" s="327"/>
      <c r="GH32" s="327"/>
      <c r="GI32" s="327"/>
      <c r="GJ32" s="327"/>
      <c r="GK32" s="327"/>
      <c r="GL32" s="327"/>
      <c r="GM32" s="329"/>
      <c r="GN32" s="159"/>
      <c r="GO32" s="150"/>
      <c r="GP32" s="327"/>
      <c r="GQ32" s="327"/>
      <c r="GR32" s="327"/>
      <c r="GS32" s="327"/>
      <c r="GT32" s="327"/>
      <c r="GU32" s="327"/>
      <c r="GV32" s="327"/>
      <c r="GW32" s="327"/>
      <c r="GX32" s="327"/>
      <c r="GY32" s="327"/>
      <c r="GZ32" s="329"/>
      <c r="HA32" s="159"/>
      <c r="HB32" s="150"/>
      <c r="HC32" s="327"/>
      <c r="HD32" s="327"/>
      <c r="HE32" s="327"/>
      <c r="HF32" s="327"/>
      <c r="HG32" s="327"/>
      <c r="HH32" s="327"/>
      <c r="HI32" s="327"/>
      <c r="HJ32" s="327"/>
      <c r="HK32" s="327"/>
      <c r="HL32" s="327"/>
      <c r="HM32" s="329"/>
      <c r="HN32" s="159"/>
      <c r="HO32" s="150"/>
      <c r="HP32" s="327"/>
      <c r="HQ32" s="327"/>
      <c r="HR32" s="327"/>
      <c r="HS32" s="327"/>
      <c r="HT32" s="327"/>
      <c r="HU32" s="327"/>
      <c r="HV32" s="327"/>
      <c r="HW32" s="327"/>
      <c r="HX32" s="327"/>
      <c r="HY32" s="327"/>
      <c r="HZ32" s="329"/>
      <c r="IA32" s="159"/>
      <c r="IB32" s="150"/>
      <c r="IC32" s="327"/>
      <c r="ID32" s="327"/>
      <c r="IE32" s="327"/>
      <c r="IF32" s="327"/>
      <c r="IG32" s="327"/>
      <c r="IH32" s="327"/>
      <c r="II32" s="327"/>
      <c r="IJ32" s="327"/>
      <c r="IK32" s="327"/>
      <c r="IL32" s="327"/>
      <c r="IM32" s="329"/>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9"/>
      <c r="N38" s="153"/>
      <c r="O38" s="153"/>
      <c r="P38" s="328"/>
      <c r="Q38" s="328"/>
      <c r="R38" s="328"/>
      <c r="S38" s="328"/>
      <c r="T38" s="328"/>
      <c r="U38" s="328"/>
      <c r="V38" s="328"/>
      <c r="W38" s="328"/>
      <c r="X38" s="328"/>
      <c r="Y38" s="328"/>
      <c r="Z38" s="328"/>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9"/>
      <c r="N39" s="153"/>
      <c r="O39" s="153"/>
      <c r="P39" s="328"/>
      <c r="Q39" s="328"/>
      <c r="R39" s="328"/>
      <c r="S39" s="328"/>
      <c r="T39" s="328"/>
      <c r="U39" s="328"/>
      <c r="V39" s="328"/>
      <c r="W39" s="328"/>
      <c r="X39" s="328"/>
      <c r="Y39" s="328"/>
      <c r="Z39" s="328"/>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9"/>
      <c r="N40" s="153"/>
      <c r="O40" s="153"/>
      <c r="P40" s="328"/>
      <c r="Q40" s="328"/>
      <c r="R40" s="328"/>
      <c r="S40" s="328"/>
      <c r="T40" s="328"/>
      <c r="U40" s="328"/>
      <c r="V40" s="328"/>
      <c r="W40" s="328"/>
      <c r="X40" s="328"/>
      <c r="Y40" s="328"/>
      <c r="Z40" s="328"/>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9"/>
    </row>
    <row r="51" spans="1:256" x14ac:dyDescent="0.2">
      <c r="A51" s="159"/>
      <c r="B51" s="150"/>
      <c r="C51" s="327"/>
      <c r="D51" s="327"/>
      <c r="E51" s="327"/>
      <c r="F51" s="327"/>
      <c r="G51" s="327"/>
      <c r="H51" s="327"/>
      <c r="I51" s="327"/>
      <c r="J51" s="327"/>
      <c r="K51" s="327"/>
      <c r="L51" s="327"/>
      <c r="M51" s="329"/>
    </row>
    <row r="52" spans="1:256" x14ac:dyDescent="0.2">
      <c r="A52" s="159"/>
      <c r="B52" s="150"/>
      <c r="C52" s="327"/>
      <c r="D52" s="327"/>
      <c r="E52" s="327"/>
      <c r="F52" s="327"/>
      <c r="G52" s="327"/>
      <c r="H52" s="327"/>
      <c r="I52" s="327"/>
      <c r="J52" s="327"/>
      <c r="K52" s="327"/>
      <c r="L52" s="327"/>
      <c r="M52" s="329"/>
    </row>
    <row r="53" spans="1:256" x14ac:dyDescent="0.2">
      <c r="A53" s="159"/>
      <c r="B53" s="150"/>
      <c r="C53" s="327"/>
      <c r="D53" s="327"/>
      <c r="E53" s="327"/>
      <c r="F53" s="327"/>
      <c r="G53" s="327"/>
      <c r="H53" s="327"/>
      <c r="I53" s="327"/>
      <c r="J53" s="327"/>
      <c r="K53" s="327"/>
      <c r="L53" s="327"/>
      <c r="M53" s="329"/>
    </row>
    <row r="54" spans="1:256" x14ac:dyDescent="0.2">
      <c r="A54" s="159"/>
      <c r="B54" s="150"/>
      <c r="C54" s="327"/>
      <c r="D54" s="327"/>
      <c r="E54" s="327"/>
      <c r="F54" s="327"/>
      <c r="G54" s="327"/>
      <c r="H54" s="327"/>
      <c r="I54" s="327"/>
      <c r="J54" s="327"/>
      <c r="K54" s="327"/>
      <c r="L54" s="327"/>
      <c r="M54" s="329"/>
    </row>
    <row r="55" spans="1:256" x14ac:dyDescent="0.2">
      <c r="A55" s="159"/>
      <c r="B55" s="150"/>
      <c r="C55" s="327"/>
      <c r="D55" s="327"/>
      <c r="E55" s="327"/>
      <c r="F55" s="327"/>
      <c r="G55" s="327"/>
      <c r="H55" s="327"/>
      <c r="I55" s="327"/>
      <c r="J55" s="327"/>
      <c r="K55" s="327"/>
      <c r="L55" s="327"/>
      <c r="M55" s="329"/>
    </row>
    <row r="56" spans="1:256" x14ac:dyDescent="0.2">
      <c r="A56" s="159"/>
      <c r="B56" s="150"/>
      <c r="C56" s="327"/>
      <c r="D56" s="327"/>
      <c r="E56" s="327"/>
      <c r="F56" s="327"/>
      <c r="G56" s="327"/>
      <c r="H56" s="327"/>
      <c r="I56" s="327"/>
      <c r="J56" s="327"/>
      <c r="K56" s="327"/>
      <c r="L56" s="327"/>
      <c r="M56" s="329"/>
    </row>
    <row r="57" spans="1:256" x14ac:dyDescent="0.2">
      <c r="A57" s="159"/>
      <c r="B57" s="150"/>
      <c r="C57" s="327"/>
      <c r="D57" s="327"/>
      <c r="E57" s="327"/>
      <c r="F57" s="327"/>
      <c r="G57" s="327"/>
      <c r="H57" s="327"/>
      <c r="I57" s="327"/>
      <c r="J57" s="327"/>
      <c r="K57" s="327"/>
      <c r="L57" s="327"/>
      <c r="M57" s="329"/>
    </row>
    <row r="58" spans="1:256" x14ac:dyDescent="0.2">
      <c r="A58" s="159"/>
      <c r="B58" s="150"/>
      <c r="C58" s="327"/>
      <c r="D58" s="327"/>
      <c r="E58" s="327"/>
      <c r="F58" s="327"/>
      <c r="G58" s="327"/>
      <c r="H58" s="327"/>
      <c r="I58" s="327"/>
      <c r="J58" s="327"/>
      <c r="K58" s="327"/>
      <c r="L58" s="327"/>
      <c r="M58" s="329"/>
    </row>
    <row r="59" spans="1:256" x14ac:dyDescent="0.2">
      <c r="A59" s="159"/>
      <c r="B59" s="150"/>
      <c r="C59" s="327"/>
      <c r="D59" s="327"/>
      <c r="E59" s="327"/>
      <c r="F59" s="327"/>
      <c r="G59" s="327"/>
      <c r="H59" s="327"/>
      <c r="I59" s="327"/>
      <c r="J59" s="327"/>
      <c r="K59" s="327"/>
      <c r="L59" s="327"/>
      <c r="M59" s="329"/>
    </row>
    <row r="60" spans="1:256" x14ac:dyDescent="0.2">
      <c r="A60" s="159"/>
      <c r="B60" s="150"/>
      <c r="C60" s="327"/>
      <c r="D60" s="327"/>
      <c r="E60" s="327"/>
      <c r="F60" s="327"/>
      <c r="G60" s="327"/>
      <c r="H60" s="327"/>
      <c r="I60" s="327"/>
      <c r="J60" s="327"/>
      <c r="K60" s="327"/>
      <c r="L60" s="327"/>
      <c r="M60" s="329"/>
    </row>
    <row r="61" spans="1:256" x14ac:dyDescent="0.2">
      <c r="A61" s="159"/>
      <c r="B61" s="150"/>
      <c r="C61" s="327"/>
      <c r="D61" s="327"/>
      <c r="E61" s="327"/>
      <c r="F61" s="327"/>
      <c r="G61" s="327"/>
      <c r="H61" s="327"/>
      <c r="I61" s="327"/>
      <c r="J61" s="327"/>
      <c r="K61" s="327"/>
      <c r="L61" s="327"/>
      <c r="M61" s="329"/>
    </row>
    <row r="62" spans="1:256" x14ac:dyDescent="0.2">
      <c r="A62" s="159"/>
      <c r="B62" s="150"/>
      <c r="C62" s="327"/>
      <c r="D62" s="327"/>
      <c r="E62" s="327"/>
      <c r="F62" s="327"/>
      <c r="G62" s="327"/>
      <c r="H62" s="327"/>
      <c r="I62" s="327"/>
      <c r="J62" s="327"/>
      <c r="K62" s="327"/>
      <c r="L62" s="327"/>
      <c r="M62" s="329"/>
    </row>
    <row r="63" spans="1:256" x14ac:dyDescent="0.2">
      <c r="A63" s="159"/>
      <c r="B63" s="150"/>
      <c r="C63" s="327"/>
      <c r="D63" s="327"/>
      <c r="E63" s="327"/>
      <c r="F63" s="327"/>
      <c r="G63" s="327"/>
      <c r="H63" s="327"/>
      <c r="I63" s="327"/>
      <c r="J63" s="327"/>
      <c r="K63" s="327"/>
      <c r="L63" s="327"/>
      <c r="M63" s="329"/>
    </row>
    <row r="64" spans="1:256" x14ac:dyDescent="0.2">
      <c r="A64" s="159"/>
      <c r="B64" s="150"/>
      <c r="C64" s="327"/>
      <c r="D64" s="327"/>
      <c r="E64" s="327"/>
      <c r="F64" s="327"/>
      <c r="G64" s="327"/>
      <c r="H64" s="327"/>
      <c r="I64" s="327"/>
      <c r="J64" s="327"/>
      <c r="K64" s="327"/>
      <c r="L64" s="327"/>
      <c r="M64" s="329"/>
    </row>
    <row r="65" spans="1:13" x14ac:dyDescent="0.2">
      <c r="A65" s="159"/>
      <c r="B65" s="150"/>
      <c r="C65" s="327"/>
      <c r="D65" s="327"/>
      <c r="E65" s="327"/>
      <c r="F65" s="327"/>
      <c r="G65" s="327"/>
      <c r="H65" s="327"/>
      <c r="I65" s="327"/>
      <c r="J65" s="327"/>
      <c r="K65" s="327"/>
      <c r="L65" s="327"/>
      <c r="M65" s="329"/>
    </row>
    <row r="66" spans="1:13" x14ac:dyDescent="0.2">
      <c r="A66" s="159"/>
      <c r="B66" s="150"/>
      <c r="C66" s="327"/>
      <c r="D66" s="327"/>
      <c r="E66" s="327"/>
      <c r="F66" s="327"/>
      <c r="G66" s="327"/>
      <c r="H66" s="327"/>
      <c r="I66" s="327"/>
      <c r="J66" s="327"/>
      <c r="K66" s="327"/>
      <c r="L66" s="327"/>
      <c r="M66" s="329"/>
    </row>
    <row r="67" spans="1:13" x14ac:dyDescent="0.2">
      <c r="A67" s="159"/>
      <c r="B67" s="150"/>
      <c r="C67" s="327"/>
      <c r="D67" s="327"/>
      <c r="E67" s="327"/>
      <c r="F67" s="327"/>
      <c r="G67" s="327"/>
      <c r="H67" s="327"/>
      <c r="I67" s="327"/>
      <c r="J67" s="327"/>
      <c r="K67" s="327"/>
      <c r="L67" s="327"/>
      <c r="M67" s="329"/>
    </row>
    <row r="68" spans="1:13" x14ac:dyDescent="0.2">
      <c r="A68" s="159"/>
      <c r="B68" s="150"/>
      <c r="C68" s="327"/>
      <c r="D68" s="327"/>
      <c r="E68" s="327"/>
      <c r="F68" s="327"/>
      <c r="G68" s="327"/>
      <c r="H68" s="327"/>
      <c r="I68" s="327"/>
      <c r="J68" s="327"/>
      <c r="K68" s="327"/>
      <c r="L68" s="327"/>
      <c r="M68" s="329"/>
    </row>
    <row r="69" spans="1:13" x14ac:dyDescent="0.2">
      <c r="A69" s="159"/>
      <c r="B69" s="150"/>
      <c r="C69" s="327"/>
      <c r="D69" s="327"/>
      <c r="E69" s="327"/>
      <c r="F69" s="327"/>
      <c r="G69" s="327"/>
      <c r="H69" s="327"/>
      <c r="I69" s="327"/>
      <c r="J69" s="327"/>
      <c r="K69" s="327"/>
      <c r="L69" s="327"/>
      <c r="M69" s="329"/>
    </row>
    <row r="70" spans="1:13" ht="12" thickBot="1" x14ac:dyDescent="0.25">
      <c r="A70" s="160"/>
      <c r="B70" s="161"/>
      <c r="C70" s="338"/>
      <c r="D70" s="338"/>
      <c r="E70" s="338"/>
      <c r="F70" s="338"/>
      <c r="G70" s="338"/>
      <c r="H70" s="338"/>
      <c r="I70" s="338"/>
      <c r="J70" s="338"/>
      <c r="K70" s="338"/>
      <c r="L70" s="338"/>
      <c r="M70" s="339"/>
    </row>
    <row r="71" spans="1:13" ht="12" thickTop="1" x14ac:dyDescent="0.2">
      <c r="A71" s="151"/>
      <c r="B71" s="151"/>
      <c r="C71" s="152"/>
      <c r="D71" s="152"/>
      <c r="E71" s="152"/>
      <c r="F71" s="152"/>
      <c r="G71" s="152"/>
      <c r="H71" s="152"/>
      <c r="I71" s="152"/>
      <c r="J71" s="152"/>
      <c r="K71" s="152"/>
      <c r="L71" s="152"/>
    </row>
    <row r="72" spans="1:13" ht="12.75" x14ac:dyDescent="0.2">
      <c r="A72" s="340" t="s">
        <v>831</v>
      </c>
      <c r="B72" s="340"/>
      <c r="C72" s="340"/>
      <c r="D72" s="340"/>
      <c r="E72" s="340"/>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86</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f>IFERROR(SMALL(AE4:$AE$100,ROWS($AE$4:AE4)),"")</f>
        <v>29</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f>IF('School Level Expenditures'!$B$2='School Tables'!W32,'School Tables'!AD32,"")</f>
        <v>29</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f>IF('School Level Expenditures'!$B$2=A89,'School Tables'!H89,"")</f>
        <v>86</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2023-10-24T21:44:49Z</cp:lastPrinted>
  <dcterms:created xsi:type="dcterms:W3CDTF">1997-12-04T19:04:30Z</dcterms:created>
  <dcterms:modified xsi:type="dcterms:W3CDTF">2023-12-28T16:41:16Z</dcterms:modified>
</cp:coreProperties>
</file>