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8E66A857-EB4E-4AEA-BDAB-23380A08BB6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H88" i="2" s="1"/>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C120" i="2" s="1"/>
  <c r="H120" i="2" s="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G651" i="1" s="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F56" i="2"/>
  <c r="C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H80" i="2" s="1"/>
  <c r="E80" i="2"/>
  <c r="C85" i="2"/>
  <c r="F85" i="2"/>
  <c r="C87" i="2"/>
  <c r="H87" i="2" s="1"/>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2" i="1"/>
  <c r="J652" i="1" s="1"/>
  <c r="H653" i="1"/>
  <c r="G654" i="1"/>
  <c r="H654" i="1"/>
  <c r="H655" i="1"/>
  <c r="H656" i="1"/>
  <c r="I170" i="1"/>
  <c r="H69" i="2" l="1"/>
  <c r="H30" i="2"/>
  <c r="H25" i="2"/>
  <c r="H17" i="2"/>
  <c r="H102" i="2"/>
  <c r="H100" i="2"/>
  <c r="H98" i="2"/>
  <c r="H73" i="2"/>
  <c r="H23" i="2"/>
  <c r="H15" i="2"/>
  <c r="H11" i="2"/>
  <c r="H28" i="2"/>
  <c r="H77" i="2"/>
  <c r="M2" i="14"/>
  <c r="M3" i="14" s="1"/>
  <c r="D144" i="2"/>
  <c r="K2" i="14"/>
  <c r="K3" i="14" s="1"/>
  <c r="C12" i="10"/>
  <c r="H112" i="2"/>
  <c r="H94" i="2"/>
  <c r="H29" i="2"/>
  <c r="H27" i="2"/>
  <c r="H24" i="2"/>
  <c r="H12" i="2"/>
  <c r="H8" i="2"/>
  <c r="H113" i="2"/>
  <c r="H132" i="2"/>
  <c r="C110" i="2"/>
  <c r="H36" i="2"/>
  <c r="H42" i="2"/>
  <c r="H44" i="2"/>
  <c r="H48" i="2"/>
  <c r="H101" i="2"/>
  <c r="H99" i="2"/>
  <c r="H79" i="2"/>
  <c r="H76" i="2"/>
  <c r="H58" i="2"/>
  <c r="E121" i="2"/>
  <c r="H121" i="2" s="1"/>
  <c r="N2" i="14"/>
  <c r="N3" i="14" s="1"/>
  <c r="I409" i="1"/>
  <c r="H97" i="2"/>
  <c r="H61" i="2"/>
  <c r="H22" i="2"/>
  <c r="H143" i="2"/>
  <c r="G409" i="1"/>
  <c r="H646" i="1" s="1"/>
  <c r="H96" i="2"/>
  <c r="D15" i="13"/>
  <c r="C15" i="13" s="1"/>
  <c r="G663" i="1"/>
  <c r="D6" i="13"/>
  <c r="C6" i="13" s="1"/>
  <c r="L2" i="14"/>
  <c r="L3" i="14"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I662" i="1"/>
  <c r="I663" i="1"/>
  <c r="H21" i="2"/>
  <c r="F194" i="1"/>
  <c r="G628" i="1" s="1"/>
  <c r="J628" i="1" s="1"/>
  <c r="H31" i="2"/>
  <c r="H62" i="2"/>
  <c r="E128" i="2"/>
  <c r="H18" i="2"/>
  <c r="H57" i="2"/>
  <c r="H134" i="2"/>
  <c r="H85" i="2"/>
  <c r="D128" i="2"/>
  <c r="D145" i="2" s="1"/>
  <c r="H127" i="2"/>
  <c r="H91" i="2"/>
  <c r="H16" i="2"/>
  <c r="H118" i="2"/>
  <c r="H103" i="2"/>
  <c r="H50" i="2"/>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128" i="2" l="1"/>
  <c r="H51" i="2"/>
  <c r="C144" i="2"/>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<sst xmlns="http://schemas.openxmlformats.org/spreadsheetml/2006/main" count="6556" uniqueCount="1812">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</sst>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10" zoomScaleNormal="110" workbookViewId="0">
      <selection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1762</v>
      </c>
      <c r="B2">
        <f>INDEX('School Tables'!$AH$3:$AH$209,MATCH('DOE25'!A2,'School Tables'!$AJ$3:$AJ$209,0))</f>
        <v>147</v>
      </c>
      <c r="C2">
        <f>INDEX('School Tables'!$AI$3:$AI$209,MATCH('DOE25'!A2,'School Tables'!$AJ$3:$AJ$209,0))</f>
        <v>147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87460.54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149229.92000000001</v>
      </c>
      <c r="G10" s="18"/>
      <c r="H10" s="18"/>
      <c r="I10" s="18"/>
      <c r="J10" s="13">
        <f>SUM(I441)</f>
        <v>79095.240000000005</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236690.46000000002</v>
      </c>
      <c r="G19" s="38">
        <f>SUM(G9:G18)</f>
        <v>0</v>
      </c>
      <c r="H19" s="38">
        <f>SUM(H9:H18)</f>
        <v>0</v>
      </c>
      <c r="I19" s="38">
        <f>SUM(I9:I18)</f>
        <v>0</v>
      </c>
      <c r="J19" s="38">
        <f>SUM(J9:J18)</f>
        <v>79095.240000000005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36563.15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79095.240000000005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200127.31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236690.46</v>
      </c>
      <c r="G51" s="38">
        <f>SUM(G35:G50)</f>
        <v>0</v>
      </c>
      <c r="H51" s="38">
        <f>SUM(H35:H50)</f>
        <v>0</v>
      </c>
      <c r="I51" s="38">
        <f>SUM(I35:I50)</f>
        <v>0</v>
      </c>
      <c r="J51" s="38">
        <f>SUM(J35:J50)</f>
        <v>79095.240000000005</v>
      </c>
      <c r="K51" s="42" t="s">
        <v>288</v>
      </c>
      <c r="L51" s="42" t="s">
        <v>288</v>
      </c>
      <c r="N51" s="131"/>
    </row>
    <row r="52" spans="1:14" s="3" customFormat="1" ht="12.2" customHeight="1" thickTop="1" x14ac:dyDescent="0.15">
      <c r="A52" s="35" t="s">
        <v>455</v>
      </c>
      <c r="B52" s="36" t="s">
        <v>289</v>
      </c>
      <c r="C52" s="6">
        <v>37</v>
      </c>
      <c r="D52" s="36" t="s">
        <v>653</v>
      </c>
      <c r="E52" s="36"/>
      <c r="F52" s="38">
        <f>F51+F32</f>
        <v>236690.46</v>
      </c>
      <c r="G52" s="38">
        <f>G51+G32</f>
        <v>0</v>
      </c>
      <c r="H52" s="38">
        <f>H51+H32</f>
        <v>0</v>
      </c>
      <c r="I52" s="38">
        <f>I51+I32</f>
        <v>0</v>
      </c>
      <c r="J52" s="38">
        <f>J51+J32</f>
        <v>79095.240000000005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687405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687405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10881.2</v>
      </c>
      <c r="G96" s="18"/>
      <c r="H96" s="18"/>
      <c r="I96" s="18"/>
      <c r="J96" s="18">
        <v>997.01</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10881.2</v>
      </c>
      <c r="G111" s="38">
        <f>SUM(G96:G110)</f>
        <v>0</v>
      </c>
      <c r="H111" s="38">
        <f>SUM(H96:H110)</f>
        <v>0</v>
      </c>
      <c r="I111" s="38">
        <f>SUM(I96:I110)</f>
        <v>0</v>
      </c>
      <c r="J111" s="38">
        <f>SUM(J96:J110)</f>
        <v>997.01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698286.2</v>
      </c>
      <c r="G112" s="38">
        <f>G60+G111</f>
        <v>0</v>
      </c>
      <c r="H112" s="38">
        <f>H60+H79+H94+H111</f>
        <v>0</v>
      </c>
      <c r="I112" s="38">
        <f>I60+I111</f>
        <v>0</v>
      </c>
      <c r="J112" s="38">
        <f>J60+J111</f>
        <v>997.01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121038.98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43858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164896.97999999998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164896.97999999998</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5600+439.21</f>
        <v>6039.21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6039.21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6039.21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863183.17999999993</v>
      </c>
      <c r="G194" s="38">
        <f>G112+G140+G170+G193</f>
        <v>0</v>
      </c>
      <c r="H194" s="38">
        <f>H112+H140+H170+H193</f>
        <v>6039.21</v>
      </c>
      <c r="I194" s="38">
        <f>I112+I140+I170+I193</f>
        <v>0</v>
      </c>
      <c r="J194" s="38">
        <f>J112+J140+J193</f>
        <v>15997.01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225285.97</v>
      </c>
      <c r="I198" s="18"/>
      <c r="J198" s="18"/>
      <c r="K198" s="18"/>
      <c r="L198" s="13">
        <f>SUM(F198:K198)</f>
        <v>225285.97</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v>9948.7999999999993</v>
      </c>
      <c r="I203" s="18"/>
      <c r="J203" s="18"/>
      <c r="K203" s="18"/>
      <c r="L203" s="13">
        <f t="shared" ref="L203:L209" si="0">SUM(F203:K203)</f>
        <v>9948.7999999999993</v>
      </c>
      <c r="M203" s="8"/>
      <c r="N203" s="165"/>
    </row>
    <row r="204" spans="1:14" s="3" customFormat="1" ht="12.2" customHeight="1" x14ac:dyDescent="0.15">
      <c r="A204" s="1" t="s">
        <v>443</v>
      </c>
      <c r="B204" s="2" t="s">
        <v>341</v>
      </c>
      <c r="C204" s="2" t="s">
        <v>295</v>
      </c>
      <c r="D204" s="2" t="s">
        <v>431</v>
      </c>
      <c r="E204" s="6">
        <v>2200</v>
      </c>
      <c r="F204" s="18"/>
      <c r="G204" s="18"/>
      <c r="H204" s="18"/>
      <c r="I204" s="18">
        <v>5.51</v>
      </c>
      <c r="J204" s="18"/>
      <c r="K204" s="18"/>
      <c r="L204" s="13">
        <f t="shared" si="0"/>
        <v>5.51</v>
      </c>
      <c r="M204" s="8"/>
      <c r="N204" s="165"/>
    </row>
    <row r="205" spans="1:14" s="3" customFormat="1" ht="12.2" customHeight="1" x14ac:dyDescent="0.15">
      <c r="A205" s="1" t="s">
        <v>444</v>
      </c>
      <c r="B205" s="2" t="s">
        <v>341</v>
      </c>
      <c r="C205" s="2" t="s">
        <v>296</v>
      </c>
      <c r="D205" s="2" t="s">
        <v>431</v>
      </c>
      <c r="E205" s="6">
        <v>2300</v>
      </c>
      <c r="F205" s="18">
        <v>740.79</v>
      </c>
      <c r="G205" s="18">
        <v>366.44</v>
      </c>
      <c r="H205" s="18">
        <v>20413.38</v>
      </c>
      <c r="I205" s="18"/>
      <c r="J205" s="18"/>
      <c r="K205" s="18">
        <v>801.34</v>
      </c>
      <c r="L205" s="13">
        <f t="shared" si="0"/>
        <v>22321.95</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v>54581.51</v>
      </c>
      <c r="I209" s="18">
        <v>4450.3</v>
      </c>
      <c r="J209" s="18"/>
      <c r="K209" s="18"/>
      <c r="L209" s="13">
        <f t="shared" si="0"/>
        <v>59031.810000000005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740.79</v>
      </c>
      <c r="G212" s="38">
        <f t="shared" si="1"/>
        <v>366.44</v>
      </c>
      <c r="H212" s="38">
        <f t="shared" si="1"/>
        <v>310229.65999999997</v>
      </c>
      <c r="I212" s="38">
        <f t="shared" si="1"/>
        <v>4455.8100000000004</v>
      </c>
      <c r="J212" s="38">
        <f t="shared" si="1"/>
        <v>0</v>
      </c>
      <c r="K212" s="38">
        <f t="shared" si="1"/>
        <v>801.34</v>
      </c>
      <c r="L212" s="38">
        <f t="shared" si="1"/>
        <v>316594.04000000004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49467</v>
      </c>
      <c r="I216" s="18"/>
      <c r="J216" s="18"/>
      <c r="K216" s="18"/>
      <c r="L216" s="13">
        <f>SUM(F216:K216)</f>
        <v>49467</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174.85</v>
      </c>
      <c r="G223" s="18">
        <v>86.49</v>
      </c>
      <c r="H223" s="18">
        <v>4818.26</v>
      </c>
      <c r="I223" s="18"/>
      <c r="J223" s="18"/>
      <c r="K223" s="18">
        <v>189.14</v>
      </c>
      <c r="L223" s="13">
        <f t="shared" si="2"/>
        <v>5268.7400000000007</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12785.41</v>
      </c>
      <c r="I227" s="18">
        <v>1050.43</v>
      </c>
      <c r="J227" s="18"/>
      <c r="K227" s="18"/>
      <c r="L227" s="13">
        <f t="shared" si="2"/>
        <v>13835.84</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174.85</v>
      </c>
      <c r="G230" s="38">
        <f>SUM(G216:G229)</f>
        <v>86.49</v>
      </c>
      <c r="H230" s="38">
        <f>SUM(H216:H229)</f>
        <v>67070.67</v>
      </c>
      <c r="I230" s="38">
        <f>SUM(I216:I229)</f>
        <v>1050.43</v>
      </c>
      <c r="J230" s="38">
        <f>SUM(J216:J229)</f>
        <v>0</v>
      </c>
      <c r="K230" s="38">
        <f t="shared" si="3"/>
        <v>189.14</v>
      </c>
      <c r="L230" s="38">
        <f t="shared" si="3"/>
        <v>68571.58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233769.8</v>
      </c>
      <c r="I234" s="18"/>
      <c r="J234" s="18"/>
      <c r="K234" s="18"/>
      <c r="L234" s="13">
        <f>SUM(F234:K234)</f>
        <v>233769.8</v>
      </c>
      <c r="M234" s="8"/>
      <c r="N234" s="165"/>
    </row>
    <row r="235" spans="1:14" s="3" customFormat="1" ht="12.2" customHeight="1" x14ac:dyDescent="0.15">
      <c r="A235" s="1" t="s">
        <v>439</v>
      </c>
      <c r="B235" s="2" t="s">
        <v>350</v>
      </c>
      <c r="C235" s="2" t="s">
        <v>291</v>
      </c>
      <c r="D235" s="2" t="s">
        <v>431</v>
      </c>
      <c r="E235" s="6">
        <v>1200</v>
      </c>
      <c r="F235" s="18"/>
      <c r="G235" s="18"/>
      <c r="H235" s="18">
        <v>18298.080000000002</v>
      </c>
      <c r="I235" s="18"/>
      <c r="J235" s="18"/>
      <c r="K235" s="18"/>
      <c r="L235" s="13">
        <f>SUM(F235:K235)</f>
        <v>18298.080000000002</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1015</v>
      </c>
      <c r="I239" s="18"/>
      <c r="J239" s="18"/>
      <c r="K239" s="18"/>
      <c r="L239" s="13">
        <f t="shared" ref="L239:L245" si="4">SUM(F239:K239)</f>
        <v>1015</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757.69</v>
      </c>
      <c r="G241" s="18">
        <v>374.8</v>
      </c>
      <c r="H241" s="18">
        <v>20879.14</v>
      </c>
      <c r="I241" s="18"/>
      <c r="J241" s="18"/>
      <c r="K241" s="18">
        <v>819.62</v>
      </c>
      <c r="L241" s="13">
        <f t="shared" si="4"/>
        <v>22831.25</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55403.44</v>
      </c>
      <c r="I245" s="18">
        <v>4551.84</v>
      </c>
      <c r="J245" s="18"/>
      <c r="K245" s="18"/>
      <c r="L245" s="13">
        <f t="shared" si="4"/>
        <v>59955.28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757.69</v>
      </c>
      <c r="G248" s="38">
        <f t="shared" si="5"/>
        <v>374.8</v>
      </c>
      <c r="H248" s="38">
        <f t="shared" si="5"/>
        <v>329365.46000000002</v>
      </c>
      <c r="I248" s="38">
        <f t="shared" si="5"/>
        <v>4551.84</v>
      </c>
      <c r="J248" s="38">
        <f t="shared" si="5"/>
        <v>0</v>
      </c>
      <c r="K248" s="38">
        <f t="shared" si="5"/>
        <v>819.62</v>
      </c>
      <c r="L248" s="38">
        <f t="shared" si="5"/>
        <v>335869.41000000003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1673.33</v>
      </c>
      <c r="G258" s="38">
        <f t="shared" si="8"/>
        <v>827.73</v>
      </c>
      <c r="H258" s="38">
        <f t="shared" si="8"/>
        <v>706665.79</v>
      </c>
      <c r="I258" s="38">
        <f t="shared" si="8"/>
        <v>10058.080000000002</v>
      </c>
      <c r="J258" s="38">
        <f t="shared" si="8"/>
        <v>0</v>
      </c>
      <c r="K258" s="38">
        <f t="shared" si="8"/>
        <v>1810.1</v>
      </c>
      <c r="L258" s="38">
        <f t="shared" si="8"/>
        <v>721035.03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v>
      </c>
      <c r="L267" s="13">
        <f t="shared" si="9"/>
        <v>15000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15000</v>
      </c>
      <c r="L271" s="38">
        <f t="shared" si="9"/>
        <v>15000</v>
      </c>
      <c r="M271" s="8"/>
      <c r="N271" s="165"/>
    </row>
    <row r="272" spans="1:14" s="33" customFormat="1" ht="12.2" customHeight="1" thickTop="1" x14ac:dyDescent="0.2">
      <c r="A272" s="40" t="s">
        <v>464</v>
      </c>
      <c r="B272" s="37">
        <v>10</v>
      </c>
      <c r="C272" s="37">
        <v>18</v>
      </c>
      <c r="D272" s="36" t="s">
        <v>431</v>
      </c>
      <c r="E272" s="37"/>
      <c r="F272" s="39">
        <f t="shared" ref="F272:L272" si="11">F258+F271</f>
        <v>1673.33</v>
      </c>
      <c r="G272" s="39">
        <f t="shared" si="11"/>
        <v>827.73</v>
      </c>
      <c r="H272" s="39">
        <f t="shared" si="11"/>
        <v>706665.79</v>
      </c>
      <c r="I272" s="39">
        <f t="shared" si="11"/>
        <v>10058.080000000002</v>
      </c>
      <c r="J272" s="39">
        <f t="shared" si="11"/>
        <v>0</v>
      </c>
      <c r="K272" s="39">
        <f t="shared" si="11"/>
        <v>16810.099999999999</v>
      </c>
      <c r="L272" s="39">
        <f t="shared" si="11"/>
        <v>736035.03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v>413.33</v>
      </c>
      <c r="J283" s="18"/>
      <c r="K283" s="18"/>
      <c r="L283" s="13">
        <f t="shared" si="12"/>
        <v>413.33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413.33</v>
      </c>
      <c r="J291" s="39">
        <f t="shared" si="13"/>
        <v>0</v>
      </c>
      <c r="K291" s="39">
        <f t="shared" si="13"/>
        <v>0</v>
      </c>
      <c r="L291" s="38">
        <f t="shared" si="13"/>
        <v>413.33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v>1600</v>
      </c>
      <c r="K316" s="18"/>
      <c r="L316" s="13">
        <f>SUM(F316:K316)</f>
        <v>1600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v>4000</v>
      </c>
      <c r="I320" s="18"/>
      <c r="J320" s="18"/>
      <c r="K320" s="18"/>
      <c r="L320" s="13">
        <f t="shared" ref="L320:L326" si="16">SUM(F320:K320)</f>
        <v>4000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4000</v>
      </c>
      <c r="I329" s="39">
        <f t="shared" si="17"/>
        <v>0</v>
      </c>
      <c r="J329" s="39">
        <f t="shared" si="17"/>
        <v>1600</v>
      </c>
      <c r="K329" s="39">
        <f t="shared" si="17"/>
        <v>0</v>
      </c>
      <c r="L329" s="38">
        <f t="shared" si="17"/>
        <v>5600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4000</v>
      </c>
      <c r="I339" s="38">
        <f t="shared" si="20"/>
        <v>413.33</v>
      </c>
      <c r="J339" s="38">
        <f t="shared" si="20"/>
        <v>1600</v>
      </c>
      <c r="K339" s="38">
        <f t="shared" si="20"/>
        <v>0</v>
      </c>
      <c r="L339" s="38">
        <f t="shared" si="20"/>
        <v>6013.33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25.88</v>
      </c>
      <c r="L351" s="13">
        <f t="shared" si="21"/>
        <v>25.88</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25.88</v>
      </c>
      <c r="L352" s="38">
        <f>SUM(L342:L351)</f>
        <v>25.88</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4000</v>
      </c>
      <c r="I353" s="38">
        <f>I339</f>
        <v>413.33</v>
      </c>
      <c r="J353" s="38">
        <f>J339</f>
        <v>1600</v>
      </c>
      <c r="K353" s="38">
        <f>K339+K352</f>
        <v>25.88</v>
      </c>
      <c r="L353" s="38">
        <f>L339+L352</f>
        <v>6039.21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v>15000</v>
      </c>
      <c r="H399" s="18">
        <v>997.01</v>
      </c>
      <c r="I399" s="18"/>
      <c r="J399" s="23" t="s">
        <v>288</v>
      </c>
      <c r="K399" s="23" t="s">
        <v>288</v>
      </c>
      <c r="L399" s="13">
        <f t="shared" si="26"/>
        <v>15997.01</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15000</v>
      </c>
      <c r="H402" s="38">
        <f>SUM(H396:H401)</f>
        <v>997.01</v>
      </c>
      <c r="I402" s="38">
        <f>SUM(I396:I401)</f>
        <v>0</v>
      </c>
      <c r="J402" s="42" t="s">
        <v>288</v>
      </c>
      <c r="K402" s="42" t="s">
        <v>288</v>
      </c>
      <c r="L402" s="38">
        <f>SUM(L396:L401)</f>
        <v>15997.01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15000</v>
      </c>
      <c r="H409" s="38">
        <f>H394+H402+H408</f>
        <v>997.01</v>
      </c>
      <c r="I409" s="38">
        <f>I394+I402+I408</f>
        <v>0</v>
      </c>
      <c r="J409" s="23" t="s">
        <v>288</v>
      </c>
      <c r="K409" s="23" t="s">
        <v>288</v>
      </c>
      <c r="L409" s="38">
        <f>L394+L402+L408</f>
        <v>15997.01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79095.240000000005</v>
      </c>
      <c r="H441" s="18"/>
      <c r="I441" s="13">
        <f t="shared" si="33"/>
        <v>79095.240000000005</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79095.240000000005</v>
      </c>
      <c r="H447" s="13">
        <f>SUM(H440:H446)</f>
        <v>0</v>
      </c>
      <c r="I447" s="13">
        <f>SUM(I440:I446)</f>
        <v>79095.240000000005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79095.240000000005</v>
      </c>
      <c r="H460" s="18"/>
      <c r="I460" s="13">
        <f t="shared" si="34"/>
        <v>79095.240000000005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79095.240000000005</v>
      </c>
      <c r="H461" s="65">
        <f>SUM(H455:H460)</f>
        <v>0</v>
      </c>
      <c r="I461" s="65">
        <f>SUM(I455:I460)</f>
        <v>79095.240000000005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79095.240000000005</v>
      </c>
      <c r="H462" s="39">
        <f>H453+H461</f>
        <v>0</v>
      </c>
      <c r="I462" s="39">
        <f>I453+I461</f>
        <v>79095.240000000005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109542.31</v>
      </c>
      <c r="G466" s="18"/>
      <c r="H466" s="18"/>
      <c r="I466" s="18"/>
      <c r="J466" s="18">
        <v>64160.79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863183.18</v>
      </c>
      <c r="G469" s="18"/>
      <c r="H469" s="18">
        <v>6039.21</v>
      </c>
      <c r="I469" s="18"/>
      <c r="J469" s="18">
        <v>15997.01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863183.18</v>
      </c>
      <c r="G471" s="19">
        <f>SUM(G469:G470)</f>
        <v>0</v>
      </c>
      <c r="H471" s="19">
        <f>SUM(H469:H470)</f>
        <v>6039.21</v>
      </c>
      <c r="I471" s="19">
        <f>SUM(I469:I470)</f>
        <v>0</v>
      </c>
      <c r="J471" s="19">
        <f>SUM(J469:J470)</f>
        <v>15997.01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736035.03</v>
      </c>
      <c r="G473" s="18"/>
      <c r="H473" s="18">
        <v>6039.21</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v>1062.56</v>
      </c>
      <c r="K474" s="23" t="s">
        <v>288</v>
      </c>
      <c r="L474" s="23" t="s">
        <v>288</v>
      </c>
      <c r="N474" s="131"/>
    </row>
    <row r="475" spans="1:14" ht="12.2" customHeight="1" x14ac:dyDescent="0.2">
      <c r="A475" s="32" t="s">
        <v>426</v>
      </c>
      <c r="B475" s="22">
        <v>19</v>
      </c>
      <c r="C475" s="31">
        <v>7</v>
      </c>
      <c r="D475" s="2" t="s">
        <v>432</v>
      </c>
      <c r="E475" s="31"/>
      <c r="F475" s="19">
        <f>SUM(F473:F474)</f>
        <v>736035.03</v>
      </c>
      <c r="G475" s="19">
        <f>SUM(G473:G474)</f>
        <v>0</v>
      </c>
      <c r="H475" s="19">
        <f>SUM(H473:H474)</f>
        <v>6039.21</v>
      </c>
      <c r="I475" s="19">
        <f>SUM(I473:I474)</f>
        <v>0</v>
      </c>
      <c r="J475" s="19">
        <f>SUM(J473:J474)</f>
        <v>1062.56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236690.45999999996</v>
      </c>
      <c r="G477" s="19">
        <f>(G466+G471)- G475</f>
        <v>0</v>
      </c>
      <c r="H477" s="19">
        <f>(H466+H471)- H475</f>
        <v>0</v>
      </c>
      <c r="I477" s="19">
        <f>(I466+I471)- I475</f>
        <v>0</v>
      </c>
      <c r="J477" s="19">
        <f>(J466+J471)- J475</f>
        <v>79095.240000000005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18298.080000000002</v>
      </c>
      <c r="I524" s="18"/>
      <c r="J524" s="18"/>
      <c r="K524" s="18"/>
      <c r="L524" s="69">
        <f>SUM(F524:K524)</f>
        <v>18298.080000000002</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18298.080000000002</v>
      </c>
      <c r="I525" s="81">
        <f t="shared" si="36"/>
        <v>0</v>
      </c>
      <c r="J525" s="81">
        <f t="shared" si="36"/>
        <v>0</v>
      </c>
      <c r="K525" s="81">
        <f t="shared" si="36"/>
        <v>0</v>
      </c>
      <c r="L525" s="70">
        <f t="shared" si="36"/>
        <v>18298.080000000002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9948.7999999999993</v>
      </c>
      <c r="I527" s="18"/>
      <c r="J527" s="18"/>
      <c r="K527" s="18"/>
      <c r="L527" s="69">
        <f>SUM(F527:K527)</f>
        <v>9948.7999999999993</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1015</v>
      </c>
      <c r="I529" s="18"/>
      <c r="J529" s="18"/>
      <c r="K529" s="18"/>
      <c r="L529" s="69">
        <f>SUM(F529:K529)</f>
        <v>1015</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10963.8</v>
      </c>
      <c r="I530" s="70">
        <f t="shared" si="37"/>
        <v>0</v>
      </c>
      <c r="J530" s="70">
        <f t="shared" si="37"/>
        <v>0</v>
      </c>
      <c r="K530" s="70">
        <f t="shared" si="37"/>
        <v>0</v>
      </c>
      <c r="L530" s="70">
        <f t="shared" si="37"/>
        <v>10963.8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1861.57</v>
      </c>
      <c r="I532" s="18"/>
      <c r="J532" s="18"/>
      <c r="K532" s="18"/>
      <c r="L532" s="69">
        <f>SUM(F532:K532)</f>
        <v>1861.57</v>
      </c>
      <c r="M532" s="8"/>
      <c r="N532" s="165"/>
    </row>
    <row r="533" spans="1:14" s="3" customFormat="1" ht="12.2" customHeight="1" x14ac:dyDescent="0.15">
      <c r="A533" s="21" t="s">
        <v>634</v>
      </c>
      <c r="B533" s="22">
        <v>21</v>
      </c>
      <c r="C533" s="22">
        <v>10</v>
      </c>
      <c r="D533" s="2" t="s">
        <v>432</v>
      </c>
      <c r="E533" s="22"/>
      <c r="F533" s="18"/>
      <c r="G533" s="18"/>
      <c r="H533" s="18">
        <v>1861.57</v>
      </c>
      <c r="I533" s="18"/>
      <c r="J533" s="18"/>
      <c r="K533" s="18"/>
      <c r="L533" s="69">
        <f>SUM(F533:K533)</f>
        <v>1861.57</v>
      </c>
      <c r="M533" s="8"/>
      <c r="N533" s="165"/>
    </row>
    <row r="534" spans="1:14" s="3" customFormat="1" ht="12.2" customHeight="1" thickBot="1" x14ac:dyDescent="0.2">
      <c r="A534" s="21" t="s">
        <v>635</v>
      </c>
      <c r="B534" s="22">
        <v>21</v>
      </c>
      <c r="C534" s="22">
        <v>11</v>
      </c>
      <c r="D534" s="2" t="s">
        <v>432</v>
      </c>
      <c r="E534" s="22"/>
      <c r="F534" s="18"/>
      <c r="G534" s="18"/>
      <c r="H534" s="18">
        <v>3723.13</v>
      </c>
      <c r="I534" s="18"/>
      <c r="J534" s="18"/>
      <c r="K534" s="18"/>
      <c r="L534" s="69">
        <f>SUM(F534:K534)</f>
        <v>3723.13</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7446.27</v>
      </c>
      <c r="I535" s="70">
        <f t="shared" si="38"/>
        <v>0</v>
      </c>
      <c r="J535" s="70">
        <f t="shared" si="38"/>
        <v>0</v>
      </c>
      <c r="K535" s="70">
        <f t="shared" si="38"/>
        <v>0</v>
      </c>
      <c r="L535" s="70">
        <f t="shared" si="38"/>
        <v>7446.27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414</v>
      </c>
      <c r="I542" s="18"/>
      <c r="J542" s="18"/>
      <c r="K542" s="18"/>
      <c r="L542" s="69">
        <f>SUM(F542:K542)</f>
        <v>414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414</v>
      </c>
      <c r="I545" s="141">
        <f t="shared" si="40"/>
        <v>0</v>
      </c>
      <c r="J545" s="141">
        <f t="shared" si="40"/>
        <v>0</v>
      </c>
      <c r="K545" s="141">
        <f t="shared" si="40"/>
        <v>0</v>
      </c>
      <c r="L545" s="141">
        <f t="shared" si="40"/>
        <v>414</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37122.15</v>
      </c>
      <c r="I546" s="70">
        <f t="shared" si="41"/>
        <v>0</v>
      </c>
      <c r="J546" s="70">
        <f t="shared" si="41"/>
        <v>0</v>
      </c>
      <c r="K546" s="70">
        <f t="shared" si="41"/>
        <v>0</v>
      </c>
      <c r="L546" s="70">
        <f t="shared" si="41"/>
        <v>37122.15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9948.7999999999993</v>
      </c>
      <c r="H550" s="69">
        <f>L532</f>
        <v>1861.57</v>
      </c>
      <c r="I550" s="69">
        <f>L537</f>
        <v>0</v>
      </c>
      <c r="J550" s="69">
        <f>L542</f>
        <v>414</v>
      </c>
      <c r="K550" s="69">
        <f>SUM(F550:J550)</f>
        <v>12224.369999999999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1861.57</v>
      </c>
      <c r="I551" s="69">
        <f>L538</f>
        <v>0</v>
      </c>
      <c r="J551" s="69">
        <f>L543</f>
        <v>0</v>
      </c>
      <c r="K551" s="69">
        <f>SUM(F551:J551)</f>
        <v>1861.57</v>
      </c>
      <c r="L551" s="23" t="s">
        <v>288</v>
      </c>
      <c r="M551" s="8"/>
      <c r="N551" s="165"/>
    </row>
    <row r="552" spans="1:14" s="3" customFormat="1" ht="12.2" customHeight="1" thickBot="1" x14ac:dyDescent="0.2">
      <c r="A552" s="21" t="s">
        <v>635</v>
      </c>
      <c r="B552" s="22">
        <v>21</v>
      </c>
      <c r="C552" s="22">
        <v>24</v>
      </c>
      <c r="D552" s="2" t="s">
        <v>432</v>
      </c>
      <c r="E552" s="22"/>
      <c r="F552" s="69">
        <f>L524</f>
        <v>18298.080000000002</v>
      </c>
      <c r="G552" s="69">
        <f>L529</f>
        <v>1015</v>
      </c>
      <c r="H552" s="69">
        <f>L534</f>
        <v>3723.13</v>
      </c>
      <c r="I552" s="69">
        <f>L539</f>
        <v>0</v>
      </c>
      <c r="J552" s="69">
        <f>L544</f>
        <v>0</v>
      </c>
      <c r="K552" s="69">
        <f>SUM(F552:J552)</f>
        <v>23036.210000000003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18298.080000000002</v>
      </c>
      <c r="G553" s="70">
        <f t="shared" si="42"/>
        <v>10963.8</v>
      </c>
      <c r="H553" s="70">
        <f t="shared" si="42"/>
        <v>7446.27</v>
      </c>
      <c r="I553" s="70">
        <f t="shared" si="42"/>
        <v>0</v>
      </c>
      <c r="J553" s="70">
        <f t="shared" si="42"/>
        <v>414</v>
      </c>
      <c r="K553" s="70">
        <f t="shared" si="42"/>
        <v>37122.15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225285.97</v>
      </c>
      <c r="G576" s="18">
        <v>49467</v>
      </c>
      <c r="H576" s="18">
        <v>233769.8</v>
      </c>
      <c r="I576" s="69">
        <f>SUM(F576:H576)</f>
        <v>508522.76999999996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58617.81</v>
      </c>
      <c r="I592" s="18">
        <v>13835.84</v>
      </c>
      <c r="J592" s="18">
        <v>59955.28</v>
      </c>
      <c r="K592" s="80">
        <f t="shared" ref="K592:K598" si="48">SUM(H592:J592)</f>
        <v>132408.93</v>
      </c>
      <c r="L592" s="23" t="s">
        <v>288</v>
      </c>
      <c r="M592" s="8"/>
      <c r="N592" s="165"/>
    </row>
    <row r="593" spans="1:14" s="3" customFormat="1" ht="12.2" customHeight="1" x14ac:dyDescent="0.15">
      <c r="A593" s="3" t="s">
        <v>638</v>
      </c>
      <c r="B593" s="22">
        <v>23</v>
      </c>
      <c r="C593" s="22">
        <v>2</v>
      </c>
      <c r="D593" s="2" t="s">
        <v>432</v>
      </c>
      <c r="E593" s="22"/>
      <c r="F593" s="78">
        <v>2722</v>
      </c>
      <c r="G593" s="79" t="s">
        <v>97</v>
      </c>
      <c r="H593" s="18">
        <v>414</v>
      </c>
      <c r="I593" s="18"/>
      <c r="J593" s="18"/>
      <c r="K593" s="80">
        <f t="shared" si="48"/>
        <v>414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59031.81</v>
      </c>
      <c r="I599" s="81">
        <f>SUM(I592:I598)</f>
        <v>13835.84</v>
      </c>
      <c r="J599" s="81">
        <f>SUM(J592:J598)</f>
        <v>59955.28</v>
      </c>
      <c r="K599" s="81">
        <f>SUM(K592:K598)</f>
        <v>132822.93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1600</v>
      </c>
      <c r="I605" s="18"/>
      <c r="J605" s="18"/>
      <c r="K605" s="80">
        <f>SUM(H605:J605)</f>
        <v>1600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1600</v>
      </c>
      <c r="I606" s="81">
        <f>SUM(I603:I605)</f>
        <v>0</v>
      </c>
      <c r="J606" s="81">
        <f>SUM(J603:J605)</f>
        <v>0</v>
      </c>
      <c r="K606" s="81">
        <f>SUM(K603:K605)</f>
        <v>1600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236690.46000000002</v>
      </c>
      <c r="H618" s="80">
        <f>SUM(F52)</f>
        <v>236690.46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79095.240000000005</v>
      </c>
      <c r="H622" s="80">
        <f>SUM(J52)</f>
        <v>79095.240000000005</v>
      </c>
      <c r="I622" s="87" t="s">
        <v>878</v>
      </c>
      <c r="J622" s="80">
        <f>G622-H622</f>
        <v>0</v>
      </c>
      <c r="K622" s="80"/>
      <c r="L622" s="80"/>
      <c r="M622" s="8"/>
    </row>
    <row r="623" spans="1:14" s="3" customFormat="1" ht="12.2" customHeight="1" x14ac:dyDescent="0.15">
      <c r="A623" s="74"/>
      <c r="B623" s="22"/>
      <c r="C623" s="22"/>
      <c r="D623" s="22"/>
      <c r="E623" s="22"/>
      <c r="F623" s="87" t="s">
        <v>864</v>
      </c>
      <c r="G623" s="80">
        <f>F51</f>
        <v>236690.46</v>
      </c>
      <c r="H623" s="80">
        <f>F477</f>
        <v>236690.45999999996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79095.240000000005</v>
      </c>
      <c r="H627" s="80">
        <f>J477</f>
        <v>79095.240000000005</v>
      </c>
      <c r="I627" s="87" t="s">
        <v>105</v>
      </c>
      <c r="J627" s="80">
        <f t="shared" si="50"/>
        <v>0</v>
      </c>
      <c r="K627" s="67"/>
      <c r="L627" s="69"/>
      <c r="M627" s="8"/>
    </row>
    <row r="628" spans="1:13" s="3" customFormat="1" ht="12.2" customHeight="1" x14ac:dyDescent="0.15">
      <c r="A628" s="21"/>
      <c r="B628" s="22"/>
      <c r="C628" s="22"/>
      <c r="D628" s="22"/>
      <c r="E628" s="22"/>
      <c r="F628" s="86" t="s">
        <v>658</v>
      </c>
      <c r="G628" s="80">
        <f>F194</f>
        <v>863183.17999999993</v>
      </c>
      <c r="H628" s="80">
        <f>SUM(F469)</f>
        <v>863183.18</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6039.21</v>
      </c>
      <c r="H630" s="80">
        <f>SUM(H469)</f>
        <v>6039.21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15997.01</v>
      </c>
      <c r="H632" s="80">
        <f>SUM(J469)</f>
        <v>15997.01</v>
      </c>
      <c r="I632" s="87" t="s">
        <v>110</v>
      </c>
      <c r="J632" s="80">
        <f>G632-H632</f>
        <v>0</v>
      </c>
      <c r="K632" s="67"/>
      <c r="L632" s="69"/>
      <c r="M632" s="8"/>
    </row>
    <row r="633" spans="1:13" s="3" customFormat="1" ht="12.2" customHeight="1" x14ac:dyDescent="0.15">
      <c r="A633" s="21"/>
      <c r="B633" s="22"/>
      <c r="C633" s="22"/>
      <c r="D633" s="22"/>
      <c r="E633" s="22"/>
      <c r="F633" s="86" t="s">
        <v>394</v>
      </c>
      <c r="G633" s="80">
        <f>SUM(L272)</f>
        <v>736035.03</v>
      </c>
      <c r="H633" s="80">
        <f>SUM(F473)</f>
        <v>736035.03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6039.21</v>
      </c>
      <c r="H634" s="80">
        <f>SUM(H473)</f>
        <v>6039.21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15997.01</v>
      </c>
      <c r="H638" s="108">
        <f>SUM(J469)</f>
        <v>15997.01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79095.240000000005</v>
      </c>
      <c r="H641" s="80">
        <f>SUM(G462)</f>
        <v>79095.240000000005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79095.240000000005</v>
      </c>
      <c r="H643" s="80">
        <f>SUM(I462)</f>
        <v>79095.240000000005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997.01</v>
      </c>
      <c r="H645" s="80">
        <f>H409</f>
        <v>997.01</v>
      </c>
      <c r="I645" s="87" t="s">
        <v>480</v>
      </c>
      <c r="J645" s="80">
        <f t="shared" si="50"/>
        <v>0</v>
      </c>
      <c r="K645" s="67"/>
      <c r="L645" s="69"/>
      <c r="M645" s="8"/>
    </row>
    <row r="646" spans="1:13" s="3" customFormat="1" ht="12.2" customHeight="1" x14ac:dyDescent="0.15">
      <c r="A646" s="21"/>
      <c r="B646" s="22"/>
      <c r="C646" s="22"/>
      <c r="D646" s="22"/>
      <c r="E646" s="22"/>
      <c r="F646" s="86" t="s">
        <v>664</v>
      </c>
      <c r="G646" s="80">
        <f>J184</f>
        <v>15000</v>
      </c>
      <c r="H646" s="80">
        <f>G409</f>
        <v>15000</v>
      </c>
      <c r="I646" s="87" t="s">
        <v>481</v>
      </c>
      <c r="J646" s="80">
        <f t="shared" si="50"/>
        <v>0</v>
      </c>
      <c r="K646" s="67"/>
      <c r="L646" s="69"/>
      <c r="M646" s="8"/>
    </row>
    <row r="647" spans="1:13" s="3" customFormat="1" ht="12.2" customHeight="1" x14ac:dyDescent="0.15">
      <c r="A647" s="21"/>
      <c r="B647" s="22"/>
      <c r="C647" s="22"/>
      <c r="D647" s="22"/>
      <c r="E647" s="22"/>
      <c r="F647" s="86" t="s">
        <v>662</v>
      </c>
      <c r="G647" s="80">
        <f>J194</f>
        <v>15997.01</v>
      </c>
      <c r="H647" s="80">
        <f>L409</f>
        <v>15997.01</v>
      </c>
      <c r="I647" s="87" t="s">
        <v>477</v>
      </c>
      <c r="J647" s="80">
        <f t="shared" si="50"/>
        <v>0</v>
      </c>
      <c r="K647" s="67"/>
      <c r="L647" s="69"/>
      <c r="M647" s="8"/>
    </row>
    <row r="648" spans="1:13" s="3" customFormat="1" ht="12.2" customHeight="1" x14ac:dyDescent="0.15">
      <c r="A648" s="21"/>
      <c r="B648" s="22"/>
      <c r="C648" s="22"/>
      <c r="D648" s="22"/>
      <c r="E648" s="22"/>
      <c r="F648" s="86" t="s">
        <v>51</v>
      </c>
      <c r="G648" s="80">
        <f>K599</f>
        <v>132822.93</v>
      </c>
      <c r="H648" s="80">
        <f>L209+L227+L245</f>
        <v>132822.93</v>
      </c>
      <c r="I648" s="87" t="s">
        <v>396</v>
      </c>
      <c r="J648" s="80">
        <f t="shared" si="50"/>
        <v>0</v>
      </c>
      <c r="K648" s="67"/>
      <c r="L648" s="69"/>
      <c r="M648" s="8"/>
    </row>
    <row r="649" spans="1:13" s="3" customFormat="1" ht="12.2" customHeight="1" x14ac:dyDescent="0.15">
      <c r="A649" s="21"/>
      <c r="B649" s="22"/>
      <c r="C649" s="22"/>
      <c r="D649" s="22"/>
      <c r="E649" s="22"/>
      <c r="F649" s="86" t="s">
        <v>52</v>
      </c>
      <c r="G649" s="80">
        <f>K606</f>
        <v>1600</v>
      </c>
      <c r="H649" s="80">
        <f>(J258+J339)-(J256+J337)</f>
        <v>1600</v>
      </c>
      <c r="I649" s="87" t="s">
        <v>699</v>
      </c>
      <c r="J649" s="80">
        <f t="shared" si="50"/>
        <v>0</v>
      </c>
      <c r="K649" s="67"/>
      <c r="L649" s="69"/>
      <c r="M649" s="8"/>
    </row>
    <row r="650" spans="1:13" s="3" customFormat="1" ht="12.2" customHeight="1" x14ac:dyDescent="0.15">
      <c r="A650" s="21"/>
      <c r="B650" s="22"/>
      <c r="C650" s="22"/>
      <c r="D650" s="22"/>
      <c r="E650" s="22"/>
      <c r="F650" s="86" t="s">
        <v>387</v>
      </c>
      <c r="G650" s="80">
        <f>L209</f>
        <v>59031.810000000005</v>
      </c>
      <c r="H650" s="80">
        <f>H599</f>
        <v>59031.81</v>
      </c>
      <c r="I650" s="87" t="s">
        <v>388</v>
      </c>
      <c r="J650" s="80">
        <f t="shared" si="50"/>
        <v>0</v>
      </c>
      <c r="K650" s="67"/>
      <c r="L650" s="69"/>
      <c r="M650" s="8"/>
    </row>
    <row r="651" spans="1:13" s="3" customFormat="1" ht="12.2" customHeight="1" x14ac:dyDescent="0.15">
      <c r="A651" s="21"/>
      <c r="B651" s="22"/>
      <c r="C651" s="22"/>
      <c r="D651" s="22"/>
      <c r="E651" s="22"/>
      <c r="F651" s="86" t="s">
        <v>392</v>
      </c>
      <c r="G651" s="80">
        <f>L227</f>
        <v>13835.84</v>
      </c>
      <c r="H651" s="80">
        <f>I599</f>
        <v>13835.84</v>
      </c>
      <c r="I651" s="87" t="s">
        <v>389</v>
      </c>
      <c r="J651" s="80">
        <f t="shared" si="50"/>
        <v>0</v>
      </c>
      <c r="K651" s="67"/>
      <c r="L651" s="69"/>
      <c r="M651" s="8"/>
    </row>
    <row r="652" spans="1:13" s="3" customFormat="1" ht="12.2" customHeight="1" x14ac:dyDescent="0.15">
      <c r="A652" s="21"/>
      <c r="B652" s="22"/>
      <c r="C652" s="22"/>
      <c r="D652" s="22"/>
      <c r="E652" s="22"/>
      <c r="F652" s="86" t="s">
        <v>393</v>
      </c>
      <c r="G652" s="80">
        <f>L245</f>
        <v>59955.28</v>
      </c>
      <c r="H652" s="80">
        <f>J599</f>
        <v>59955.28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15000</v>
      </c>
      <c r="H656" s="80">
        <f>K267+K348</f>
        <v>15000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317007.37000000005</v>
      </c>
      <c r="G661" s="13">
        <f>(L230+L310+L360)</f>
        <v>68571.58</v>
      </c>
      <c r="H661" s="13">
        <f>(L248+L329+L361)</f>
        <v>341469.41000000003</v>
      </c>
      <c r="I661" s="13">
        <f>SUM(F661:H661)</f>
        <v>727048.3600000001</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59031.810000000005</v>
      </c>
      <c r="G663" s="13">
        <f>(L227+L307)-(J227+J307)</f>
        <v>13835.84</v>
      </c>
      <c r="H663" s="13">
        <f>(L245+L326)-(J245+J326)</f>
        <v>59955.28</v>
      </c>
      <c r="I663" s="13">
        <f>SUM(F663:H663)</f>
        <v>132822.93</v>
      </c>
      <c r="J663"/>
      <c r="K663" s="13"/>
      <c r="L663" s="13"/>
      <c r="M663" s="9"/>
    </row>
    <row r="664" spans="1:13" s="3" customFormat="1" ht="12.2" customHeight="1" x14ac:dyDescent="0.15">
      <c r="A664" s="142" t="s">
        <v>129</v>
      </c>
      <c r="B664" s="124"/>
      <c r="C664" s="124"/>
      <c r="D664" s="124"/>
      <c r="E664" s="124"/>
      <c r="F664" s="143">
        <f>SUM(F576:F588)+SUM(H603:H605)+SUM(L612)</f>
        <v>226885.97</v>
      </c>
      <c r="G664" s="143">
        <f>SUM(G576:G588)+SUM(I603:I605)+L613</f>
        <v>49467</v>
      </c>
      <c r="H664" s="143">
        <f>SUM(H576:H588)+SUM(J603:J605)+L614</f>
        <v>233769.8</v>
      </c>
      <c r="I664" s="13">
        <f>SUM(F664:H664)</f>
        <v>510122.76999999996</v>
      </c>
      <c r="J664" s="13"/>
      <c r="K664" s="13"/>
      <c r="L664" s="13"/>
      <c r="M664" s="9"/>
    </row>
    <row r="665" spans="1:13" s="3" customFormat="1" ht="12.2" customHeight="1" x14ac:dyDescent="0.15">
      <c r="A665" s="1" t="s">
        <v>130</v>
      </c>
      <c r="F665" s="13">
        <f>F661-SUM(F662:F664)</f>
        <v>31089.590000000026</v>
      </c>
      <c r="G665" s="13">
        <f>G661-SUM(G662:G664)</f>
        <v>5268.7400000000052</v>
      </c>
      <c r="H665" s="13">
        <f>H661-SUM(H662:H664)</f>
        <v>47744.330000000075</v>
      </c>
      <c r="I665" s="13">
        <f>I661-SUM(I662:I664)</f>
        <v>84102.660000000149</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-31089.590000000026</v>
      </c>
      <c r="G670" s="73">
        <f t="shared" si="51"/>
        <v>-5268.7400000000052</v>
      </c>
      <c r="H670" s="73">
        <f t="shared" si="51"/>
        <v>-47744.330000000075</v>
      </c>
      <c r="I670" s="13">
        <f>SUM(F670:H670)</f>
        <v>-84102.660000000105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26" sqref="F26"/>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Dummer</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8" sqref="B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Dummer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Dummer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526820.85</v>
      </c>
      <c r="D5" s="19">
        <f>SUM('DOE25'!L198:L201)+SUM('DOE25'!L216:L219)+SUM('DOE25'!L234:L237)-F5-G5-H5</f>
        <v>526820.85</v>
      </c>
      <c r="E5" s="180"/>
      <c r="F5" s="181"/>
      <c r="G5" s="19">
        <f>SUM('DOE25'!J198:J201)+SUM('DOE25'!J216:J219)+SUM('DOE25'!J234:J237)</f>
        <v>0</v>
      </c>
      <c r="H5" s="19">
        <f>SUM('DOE25'!K198:K201)+SUM('DOE25'!K216:K219)+SUM('DOE25'!K234:K237)</f>
        <v>0</v>
      </c>
      <c r="I5" s="192"/>
    </row>
    <row r="6" spans="1:9" x14ac:dyDescent="0.2">
      <c r="A6" s="31">
        <v>2100</v>
      </c>
      <c r="B6" t="s">
        <v>796</v>
      </c>
      <c r="C6" s="206">
        <f t="shared" si="0"/>
        <v>10963.8</v>
      </c>
      <c r="D6" s="19">
        <f>'DOE25'!L203+'DOE25'!L221+'DOE25'!L239-F6-G6-H6</f>
        <v>10963.8</v>
      </c>
      <c r="E6" s="180"/>
      <c r="F6" s="181"/>
      <c r="G6" s="19">
        <f>'DOE25'!J203+'DOE25'!J221+'DOE25'!J239</f>
        <v>0</v>
      </c>
      <c r="H6" s="19">
        <f>'DOE25'!K203+'DOE25'!K221+'DOE25'!K239</f>
        <v>0</v>
      </c>
      <c r="I6" s="192"/>
    </row>
    <row r="7" spans="1:9" x14ac:dyDescent="0.2">
      <c r="A7" s="31">
        <v>2200</v>
      </c>
      <c r="B7" t="s">
        <v>820</v>
      </c>
      <c r="C7" s="206">
        <f t="shared" si="0"/>
        <v>5.51</v>
      </c>
      <c r="D7" s="19">
        <f>'DOE25'!L204+'DOE25'!L222+'DOE25'!L240-F7-G7-H7</f>
        <v>5.51</v>
      </c>
      <c r="E7" s="180"/>
      <c r="F7" s="181"/>
      <c r="G7" s="19">
        <f>'DOE25'!J204+'DOE25'!J222+'DOE25'!J240</f>
        <v>0</v>
      </c>
      <c r="H7" s="19">
        <f>'DOE25'!K204+'DOE25'!K222+'DOE25'!K240</f>
        <v>0</v>
      </c>
      <c r="I7" s="192"/>
    </row>
    <row r="8" spans="1:9" x14ac:dyDescent="0.2">
      <c r="A8" s="31">
        <v>2300</v>
      </c>
      <c r="B8" t="s">
        <v>797</v>
      </c>
      <c r="C8" s="206">
        <f t="shared" si="0"/>
        <v>44071.94</v>
      </c>
      <c r="D8" s="180"/>
      <c r="E8" s="19">
        <f>'DOE25'!L205+'DOE25'!L223+'DOE25'!L241-F8-G8-H8-D9-D11</f>
        <v>42261.840000000004</v>
      </c>
      <c r="F8" s="181"/>
      <c r="G8" s="19">
        <f>'DOE25'!J205+'DOE25'!J223+'DOE25'!J241</f>
        <v>0</v>
      </c>
      <c r="H8" s="19">
        <f>'DOE25'!K205+'DOE25'!K223+'DOE25'!K241</f>
        <v>1810.1</v>
      </c>
      <c r="I8" s="192"/>
    </row>
    <row r="9" spans="1:9" ht="14.25" x14ac:dyDescent="0.2">
      <c r="A9" s="31">
        <v>2310</v>
      </c>
      <c r="B9" s="71" t="s">
        <v>887</v>
      </c>
      <c r="C9" s="206">
        <f t="shared" si="0"/>
        <v>6350</v>
      </c>
      <c r="D9" s="181">
        <v>6350</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132822.93</v>
      </c>
      <c r="D15" s="19">
        <f>'DOE25'!L209+'DOE25'!L227+'DOE25'!L245-F15-G15-H15</f>
        <v>35466.579999999987</v>
      </c>
      <c r="E15" s="180"/>
      <c r="F15" s="181">
        <v>97356.35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6013.33</v>
      </c>
      <c r="D31" s="19">
        <f>'DOE25'!L291+'DOE25'!L310+'DOE25'!L329+'DOE25'!L334+'DOE25'!L335+'DOE25'!L336-F31-G31-H31</f>
        <v>4413.33</v>
      </c>
      <c r="E31" s="180"/>
      <c r="F31" s="181"/>
      <c r="G31" s="19">
        <f>'DOE25'!J291+'DOE25'!J310+'DOE25'!J329+'DOE25'!J334+'DOE25'!J335+'DOE25'!J336</f>
        <v>1600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584020.06999999995</v>
      </c>
      <c r="E33" s="182">
        <f t="shared" si="1"/>
        <v>42261.840000000004</v>
      </c>
      <c r="F33" s="182">
        <f t="shared" si="1"/>
        <v>97356.35</v>
      </c>
      <c r="G33" s="182">
        <f t="shared" si="1"/>
        <v>1600</v>
      </c>
      <c r="H33" s="182">
        <f t="shared" si="1"/>
        <v>1810.1</v>
      </c>
      <c r="I33" s="182">
        <f t="shared" si="1"/>
        <v>0</v>
      </c>
    </row>
    <row r="34" spans="1:9" ht="12" thickBot="1" x14ac:dyDescent="0.25"/>
    <row r="35" spans="1:9" ht="12" thickBot="1" x14ac:dyDescent="0.25">
      <c r="B35" s="188" t="s">
        <v>830</v>
      </c>
      <c r="D35" s="189">
        <f>E33</f>
        <v>42261.840000000004</v>
      </c>
      <c r="E35" s="185"/>
      <c r="F35" s="295" t="s">
        <v>1608</v>
      </c>
      <c r="G35" s="296"/>
      <c r="H35" s="296"/>
      <c r="I35" s="297"/>
    </row>
    <row r="36" spans="1:9" ht="12" thickTop="1" x14ac:dyDescent="0.2">
      <c r="B36" t="s">
        <v>810</v>
      </c>
      <c r="D36" s="19">
        <f>D33</f>
        <v>584020.06999999995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13" sqref="A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Dummer</v>
      </c>
      <c r="B2">
        <f>'DOE25'!B2</f>
        <v>147</v>
      </c>
      <c r="J2" s="224" t="s">
        <v>1808</v>
      </c>
      <c r="K2" s="309">
        <f>SUM('DOE25'!L198:L201)+SUM('DOE25'!L216:L219)+SUM('DOE25'!L234:L237)+SUM('DOE25'!L277:L280)+SUM('DOE25'!L296:L299)+SUM('DOE25'!L315:L318)</f>
        <v>528420.85</v>
      </c>
      <c r="L2" s="309">
        <f>'DOE25'!L203+'DOE25'!L221+'DOE25'!L239+'DOE25'!L282+'DOE25'!L301+'DOE25'!L320</f>
        <v>14963.8</v>
      </c>
      <c r="M2" s="309">
        <f>'DOE25'!L204+'DOE25'!L222+'DOE25'!L240+'DOE25'!L283+'DOE25'!L302+'DOE25'!L321</f>
        <v>418.84</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-528420.85</v>
      </c>
      <c r="L3" s="311">
        <f t="shared" ref="L3:P3" si="0">L21+L33+L43-L2</f>
        <v>-14963.8</v>
      </c>
      <c r="M3" s="311">
        <f t="shared" si="0"/>
        <v>-418.84</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317007.37</v>
      </c>
      <c r="G4" s="229">
        <f>'DOE25'!L212+'DOE25'!L291</f>
        <v>317007.37000000005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316594.03999999998</v>
      </c>
      <c r="E5" s="220">
        <v>413.33</v>
      </c>
      <c r="F5" s="232">
        <f>D5+E5</f>
        <v>317007.37</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316594.03999999998</v>
      </c>
      <c r="E21" s="262">
        <f>SUM(E5:E20)</f>
        <v>413.33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68571.58</v>
      </c>
      <c r="G24" s="229">
        <f>'DOE25'!L230+'DOE25'!L310</f>
        <v>68571.58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68571.58</v>
      </c>
      <c r="E25" s="220"/>
      <c r="F25" s="232">
        <f>D25+E25</f>
        <v>68571.58</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68571.58</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341469.41</v>
      </c>
      <c r="G36" s="229">
        <f>'DOE25'!L248+'DOE25'!L329</f>
        <v>341469.41000000003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335869.41</v>
      </c>
      <c r="E37" s="220">
        <v>5600</v>
      </c>
      <c r="F37" s="232">
        <f t="shared" ref="F37:F42" si="7">D37+E37</f>
        <v>341469.41</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335869.41</v>
      </c>
      <c r="E43" s="263">
        <f>SUM(E37:E42)</f>
        <v>5600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Dummer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87460.54</v>
      </c>
      <c r="D8" s="73">
        <f>'DOE25'!G9</f>
        <v>0</v>
      </c>
      <c r="E8" s="73">
        <f>'DOE25'!H9</f>
        <v>0</v>
      </c>
      <c r="F8" s="73">
        <f>'DOE25'!I9</f>
        <v>0</v>
      </c>
      <c r="G8" s="73">
        <f>'DOE25'!J9</f>
        <v>0</v>
      </c>
      <c r="H8" s="13">
        <f>SUM(C8:G8)</f>
        <v>87460.54</v>
      </c>
      <c r="I8" s="90"/>
    </row>
    <row r="9" spans="1:9" x14ac:dyDescent="0.2">
      <c r="A9" s="1" t="s">
        <v>140</v>
      </c>
      <c r="B9" s="6">
        <v>110</v>
      </c>
      <c r="C9" s="73">
        <f>'DOE25'!F10</f>
        <v>149229.92000000001</v>
      </c>
      <c r="D9" s="73">
        <f>'DOE25'!G10</f>
        <v>0</v>
      </c>
      <c r="E9" s="73">
        <f>'DOE25'!H10</f>
        <v>0</v>
      </c>
      <c r="F9" s="73">
        <f>'DOE25'!I10</f>
        <v>0</v>
      </c>
      <c r="G9" s="73">
        <f>'DOE25'!J10</f>
        <v>79095.240000000005</v>
      </c>
      <c r="H9" s="13">
        <f t="shared" ref="H9:H18" si="0">SUM(C9:G9)</f>
        <v>228325.16000000003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236690.46000000002</v>
      </c>
      <c r="D18" s="38">
        <f>SUM(D8:D17)</f>
        <v>0</v>
      </c>
      <c r="E18" s="38">
        <f>SUM(E8:E17)</f>
        <v>0</v>
      </c>
      <c r="F18" s="38">
        <f>SUM(F8:F17)</f>
        <v>0</v>
      </c>
      <c r="G18" s="38">
        <f>SUM(G8:G17)</f>
        <v>79095.240000000005</v>
      </c>
      <c r="H18" s="38">
        <f t="shared" si="0"/>
        <v>315785.7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36563.15</v>
      </c>
      <c r="D45" s="23" t="s">
        <v>288</v>
      </c>
      <c r="E45" s="23" t="s">
        <v>288</v>
      </c>
      <c r="F45" s="23" t="s">
        <v>288</v>
      </c>
      <c r="G45" s="23" t="s">
        <v>288</v>
      </c>
      <c r="H45" s="13">
        <f t="shared" si="2"/>
        <v>36563.15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79095.240000000005</v>
      </c>
      <c r="H47" s="13">
        <f t="shared" si="2"/>
        <v>79095.240000000005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200127.31</v>
      </c>
      <c r="D49" s="23" t="s">
        <v>288</v>
      </c>
      <c r="E49" s="23" t="s">
        <v>288</v>
      </c>
      <c r="F49" s="23" t="s">
        <v>288</v>
      </c>
      <c r="G49" s="23" t="s">
        <v>288</v>
      </c>
      <c r="H49" s="13">
        <f t="shared" si="2"/>
        <v>200127.31</v>
      </c>
      <c r="I49" s="90"/>
    </row>
    <row r="50" spans="1:9" ht="12.75" thickTop="1" thickBot="1" x14ac:dyDescent="0.25">
      <c r="A50" s="35" t="s">
        <v>883</v>
      </c>
      <c r="B50" s="44"/>
      <c r="C50" s="38">
        <f>SUM(C34:C49)</f>
        <v>236690.46</v>
      </c>
      <c r="D50" s="38">
        <f>SUM(D34:D49)</f>
        <v>0</v>
      </c>
      <c r="E50" s="38">
        <f>SUM(E34:E49)</f>
        <v>0</v>
      </c>
      <c r="F50" s="38">
        <f>SUM(F34:F49)</f>
        <v>0</v>
      </c>
      <c r="G50" s="38">
        <f>SUM(G34:G49)</f>
        <v>79095.240000000005</v>
      </c>
      <c r="H50" s="38">
        <f t="shared" si="2"/>
        <v>315785.7</v>
      </c>
      <c r="I50" s="90"/>
    </row>
    <row r="51" spans="1:9" ht="12" thickTop="1" x14ac:dyDescent="0.2">
      <c r="A51" s="35" t="s">
        <v>884</v>
      </c>
      <c r="B51" s="2"/>
      <c r="C51" s="38">
        <f>C50+C31</f>
        <v>236690.46</v>
      </c>
      <c r="D51" s="38">
        <f>D50+D31</f>
        <v>0</v>
      </c>
      <c r="E51" s="38">
        <f>E50+E31</f>
        <v>0</v>
      </c>
      <c r="F51" s="38">
        <f>F50+F31</f>
        <v>0</v>
      </c>
      <c r="G51" s="38">
        <f>G50+G31</f>
        <v>79095.240000000005</v>
      </c>
      <c r="H51" s="38">
        <f t="shared" si="2"/>
        <v>315785.7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687405</v>
      </c>
      <c r="D56" s="73">
        <f>'DOE25'!G60</f>
        <v>0</v>
      </c>
      <c r="E56" s="73">
        <f>'DOE25'!H60</f>
        <v>0</v>
      </c>
      <c r="F56" s="73">
        <f>'DOE25'!I60</f>
        <v>0</v>
      </c>
      <c r="G56" s="73">
        <f>'DOE25'!J60</f>
        <v>0</v>
      </c>
      <c r="H56" s="13">
        <f t="shared" ref="H56:H63" si="3">SUM(C56:G56)</f>
        <v>687405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10881.2</v>
      </c>
      <c r="D59" s="73">
        <f>'DOE25'!G96</f>
        <v>0</v>
      </c>
      <c r="E59" s="73">
        <f>'DOE25'!H96</f>
        <v>0</v>
      </c>
      <c r="F59" s="73">
        <f>'DOE25'!I96</f>
        <v>0</v>
      </c>
      <c r="G59" s="73">
        <f>'DOE25'!J96</f>
        <v>997.01</v>
      </c>
      <c r="H59" s="13">
        <f t="shared" si="3"/>
        <v>11878.210000000001</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10881.2</v>
      </c>
      <c r="D62" s="93">
        <f>SUM(D57:D61)</f>
        <v>0</v>
      </c>
      <c r="E62" s="93">
        <f>SUM(E57:E61)</f>
        <v>0</v>
      </c>
      <c r="F62" s="93">
        <f>SUM(F57:F61)</f>
        <v>0</v>
      </c>
      <c r="G62" s="93">
        <f>SUM(G57:G61)</f>
        <v>997.01</v>
      </c>
      <c r="H62" s="13">
        <f t="shared" si="3"/>
        <v>11878.210000000001</v>
      </c>
      <c r="I62"/>
    </row>
    <row r="63" spans="1:9" ht="12" thickTop="1" x14ac:dyDescent="0.2">
      <c r="A63" s="28" t="s">
        <v>175</v>
      </c>
      <c r="B63" s="6"/>
      <c r="C63" s="21">
        <f>C56+C62</f>
        <v>698286.2</v>
      </c>
      <c r="D63" s="21">
        <f>D56+D62</f>
        <v>0</v>
      </c>
      <c r="E63" s="21">
        <f>E56+E62</f>
        <v>0</v>
      </c>
      <c r="F63" s="21">
        <f>F56+F62</f>
        <v>0</v>
      </c>
      <c r="G63" s="21">
        <f>G56+G62</f>
        <v>997.01</v>
      </c>
      <c r="H63" s="13">
        <f t="shared" si="3"/>
        <v>699283.21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121038.98</v>
      </c>
      <c r="D66" s="23" t="s">
        <v>288</v>
      </c>
      <c r="E66" s="23" t="s">
        <v>288</v>
      </c>
      <c r="F66" s="23" t="s">
        <v>288</v>
      </c>
      <c r="G66" s="23" t="s">
        <v>288</v>
      </c>
      <c r="H66" s="13">
        <f t="shared" ref="H66:H81" si="4">SUM(C66:G66)</f>
        <v>121038.98</v>
      </c>
      <c r="I66"/>
    </row>
    <row r="67" spans="1:9" x14ac:dyDescent="0.2">
      <c r="A67" s="1" t="s">
        <v>770</v>
      </c>
      <c r="B67" s="6">
        <v>3112</v>
      </c>
      <c r="C67" s="73">
        <f>'DOE25'!F118</f>
        <v>43858</v>
      </c>
      <c r="D67" s="23"/>
      <c r="E67" s="23"/>
      <c r="F67" s="23"/>
      <c r="G67" s="23"/>
      <c r="H67" s="13">
        <f t="shared" si="4"/>
        <v>43858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164896.97999999998</v>
      </c>
      <c r="D70" s="97">
        <f>D69</f>
        <v>0</v>
      </c>
      <c r="E70" s="97">
        <f>E69</f>
        <v>0</v>
      </c>
      <c r="F70" s="97">
        <f>F69</f>
        <v>0</v>
      </c>
      <c r="G70" s="97">
        <f>G69</f>
        <v>0</v>
      </c>
      <c r="H70" s="13">
        <f t="shared" si="4"/>
        <v>164896.97999999998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164896.97999999998</v>
      </c>
      <c r="D81" s="93">
        <f>SUM(D79:D80)+D78+D70</f>
        <v>0</v>
      </c>
      <c r="E81" s="93">
        <f>SUM(E79:E80)+E78+E70</f>
        <v>0</v>
      </c>
      <c r="F81" s="93">
        <f>SUM(F79:F80)+F78+F70</f>
        <v>0</v>
      </c>
      <c r="G81" s="93">
        <f>SUM(G79:G80)+G78+G70</f>
        <v>0</v>
      </c>
      <c r="H81" s="93">
        <f t="shared" si="4"/>
        <v>164896.97999999998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6039.21</v>
      </c>
      <c r="F88" s="253">
        <f>SUM('DOE25'!I153:I162)</f>
        <v>0</v>
      </c>
      <c r="G88" s="23" t="s">
        <v>288</v>
      </c>
      <c r="H88" s="13">
        <f t="shared" si="5"/>
        <v>6039.21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6039.21</v>
      </c>
      <c r="F91" s="94">
        <f>SUM(F85:F90)</f>
        <v>0</v>
      </c>
      <c r="G91" s="23" t="s">
        <v>288</v>
      </c>
      <c r="H91" s="13">
        <f t="shared" si="5"/>
        <v>6039.21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15000</v>
      </c>
      <c r="H96" s="13">
        <f t="shared" si="5"/>
        <v>15000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15000</v>
      </c>
      <c r="H103" s="68">
        <f t="shared" si="5"/>
        <v>15000</v>
      </c>
    </row>
    <row r="104" spans="1:8" ht="12.75" thickTop="1" thickBot="1" x14ac:dyDescent="0.25">
      <c r="A104" s="32" t="s">
        <v>761</v>
      </c>
      <c r="C104" s="68">
        <f>C63+C81+C91+C103</f>
        <v>863183.17999999993</v>
      </c>
      <c r="D104" s="68">
        <f>D63+D81+D91+D103</f>
        <v>0</v>
      </c>
      <c r="E104" s="68">
        <f>E63+E81+E91+E103</f>
        <v>6039.21</v>
      </c>
      <c r="F104" s="68">
        <f>F63+F81+F91+F103</f>
        <v>0</v>
      </c>
      <c r="G104" s="68">
        <f>G63+G81+G103</f>
        <v>15997.01</v>
      </c>
      <c r="H104" s="68">
        <f t="shared" si="5"/>
        <v>885219.39999999991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508522.76999999996</v>
      </c>
      <c r="D109" s="23" t="s">
        <v>288</v>
      </c>
      <c r="E109" s="73">
        <f>('DOE25'!L277)+('DOE25'!L296)+('DOE25'!L315)</f>
        <v>0</v>
      </c>
      <c r="F109" s="23" t="s">
        <v>288</v>
      </c>
      <c r="G109" s="23" t="s">
        <v>288</v>
      </c>
      <c r="H109" s="13">
        <f t="shared" ref="H109:H115" si="6">SUM(C109:G109)</f>
        <v>508522.76999999996</v>
      </c>
    </row>
    <row r="110" spans="1:8" x14ac:dyDescent="0.2">
      <c r="A110" t="s">
        <v>198</v>
      </c>
      <c r="B110" s="31" t="s">
        <v>199</v>
      </c>
      <c r="C110" s="73">
        <f>('DOE25'!L199)+('DOE25'!L217)+('DOE25'!L235)</f>
        <v>18298.080000000002</v>
      </c>
      <c r="D110" s="23" t="s">
        <v>288</v>
      </c>
      <c r="E110" s="73">
        <f>('DOE25'!L278)+('DOE25'!L297)+('DOE25'!L316)</f>
        <v>1600</v>
      </c>
      <c r="F110" s="23" t="s">
        <v>288</v>
      </c>
      <c r="G110" s="23" t="s">
        <v>288</v>
      </c>
      <c r="H110" s="13">
        <f t="shared" si="6"/>
        <v>19898.080000000002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526820.85</v>
      </c>
      <c r="D115" s="68">
        <f>SUM(D109:D114)</f>
        <v>0</v>
      </c>
      <c r="E115" s="68">
        <f>SUM(E109:E114)</f>
        <v>1600</v>
      </c>
      <c r="F115" s="68">
        <f>SUM(F109:F114)</f>
        <v>0</v>
      </c>
      <c r="G115" s="68">
        <f>SUM(G109:G114)</f>
        <v>0</v>
      </c>
      <c r="H115" s="68">
        <f t="shared" si="6"/>
        <v>528420.85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10963.8</v>
      </c>
      <c r="D118" s="23" t="s">
        <v>288</v>
      </c>
      <c r="E118" s="73">
        <f>+('DOE25'!L282)+('DOE25'!L301)+('DOE25'!L320)</f>
        <v>4000</v>
      </c>
      <c r="F118" s="23" t="s">
        <v>288</v>
      </c>
      <c r="G118" s="23" t="s">
        <v>288</v>
      </c>
      <c r="H118" s="13">
        <f t="shared" ref="H118:H145" si="7">SUM(C118:G118)</f>
        <v>14963.8</v>
      </c>
    </row>
    <row r="119" spans="1:8" x14ac:dyDescent="0.2">
      <c r="A119" t="s">
        <v>208</v>
      </c>
      <c r="B119" s="31" t="s">
        <v>209</v>
      </c>
      <c r="C119" s="73">
        <f>('DOE25'!L204)+('DOE25'!L222)+('DOE25'!L240)</f>
        <v>5.51</v>
      </c>
      <c r="D119" s="23" t="s">
        <v>288</v>
      </c>
      <c r="E119" s="73">
        <f>+('DOE25'!L283)+('DOE25'!L302)+('DOE25'!L321)</f>
        <v>413.33</v>
      </c>
      <c r="F119" s="23" t="s">
        <v>288</v>
      </c>
      <c r="G119" s="23" t="s">
        <v>288</v>
      </c>
      <c r="H119" s="13">
        <f t="shared" si="7"/>
        <v>418.84</v>
      </c>
    </row>
    <row r="120" spans="1:8" x14ac:dyDescent="0.2">
      <c r="A120" t="s">
        <v>210</v>
      </c>
      <c r="B120" s="31" t="s">
        <v>211</v>
      </c>
      <c r="C120" s="73">
        <f>('DOE25'!L205)+('DOE25'!L223)+('DOE25'!L241)</f>
        <v>50421.94</v>
      </c>
      <c r="D120" s="23" t="s">
        <v>288</v>
      </c>
      <c r="E120" s="73">
        <f>+('DOE25'!L284)+('DOE25'!L303)+('DOE25'!L322)</f>
        <v>0</v>
      </c>
      <c r="F120" s="23" t="s">
        <v>288</v>
      </c>
      <c r="G120" s="23" t="s">
        <v>288</v>
      </c>
      <c r="H120" s="13">
        <f t="shared" si="7"/>
        <v>50421.94</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132822.93</v>
      </c>
      <c r="D124" s="23" t="s">
        <v>288</v>
      </c>
      <c r="E124" s="73">
        <f>+('DOE25'!L288)+('DOE25'!L307)+('DOE25'!L326)</f>
        <v>0</v>
      </c>
      <c r="F124" s="23" t="s">
        <v>288</v>
      </c>
      <c r="G124" s="23" t="s">
        <v>288</v>
      </c>
      <c r="H124" s="13">
        <f t="shared" si="7"/>
        <v>132822.93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194214.18</v>
      </c>
      <c r="D128" s="68">
        <f>SUM(D118:D127)</f>
        <v>0</v>
      </c>
      <c r="E128" s="68">
        <f>SUM(E118:E127)</f>
        <v>4413.33</v>
      </c>
      <c r="F128" s="68">
        <f>SUM(F118:F127)</f>
        <v>0</v>
      </c>
      <c r="G128" s="68">
        <f>SUM(G118:G127)</f>
        <v>0</v>
      </c>
      <c r="H128" s="68">
        <f t="shared" si="7"/>
        <v>198627.50999999998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15997.01</v>
      </c>
      <c r="D139" s="23" t="s">
        <v>288</v>
      </c>
      <c r="E139" s="23" t="s">
        <v>288</v>
      </c>
      <c r="F139" s="23" t="s">
        <v>288</v>
      </c>
      <c r="G139" s="23" t="s">
        <v>288</v>
      </c>
      <c r="H139" s="13">
        <f t="shared" si="7"/>
        <v>15997.01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-997.01000000000022</v>
      </c>
      <c r="D141" s="23" t="s">
        <v>288</v>
      </c>
      <c r="E141" s="23" t="s">
        <v>288</v>
      </c>
      <c r="F141" s="23" t="s">
        <v>288</v>
      </c>
      <c r="G141" s="23" t="s">
        <v>288</v>
      </c>
      <c r="H141" s="13">
        <f t="shared" si="7"/>
        <v>-997.01000000000022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25.88</v>
      </c>
      <c r="F143" s="23" t="s">
        <v>288</v>
      </c>
      <c r="G143" s="23" t="s">
        <v>288</v>
      </c>
      <c r="H143" s="13">
        <f t="shared" si="7"/>
        <v>25.88</v>
      </c>
    </row>
    <row r="144" spans="1:8" ht="12" thickBot="1" x14ac:dyDescent="0.25">
      <c r="A144" s="32" t="s">
        <v>243</v>
      </c>
      <c r="C144" s="98">
        <f>SUM(C130:C143)</f>
        <v>15000</v>
      </c>
      <c r="D144" s="98">
        <f>SUM(D130:D143)</f>
        <v>0</v>
      </c>
      <c r="E144" s="98">
        <f>SUM(E130:E143)</f>
        <v>25.88</v>
      </c>
      <c r="F144" s="98">
        <f>SUM(F130:F143)</f>
        <v>0</v>
      </c>
      <c r="G144" s="98">
        <f>SUM(G130:G143)</f>
        <v>0</v>
      </c>
      <c r="H144" s="98">
        <f t="shared" si="7"/>
        <v>15025.88</v>
      </c>
    </row>
    <row r="145" spans="1:9" ht="12.75" thickTop="1" thickBot="1" x14ac:dyDescent="0.25">
      <c r="A145" s="32" t="s">
        <v>244</v>
      </c>
      <c r="C145" s="68">
        <f>(C115+C128+C144)</f>
        <v>736035.03</v>
      </c>
      <c r="D145" s="68">
        <f>(D115+D128+D144)</f>
        <v>0</v>
      </c>
      <c r="E145" s="68">
        <f>(E115+E128+E144)</f>
        <v>6039.21</v>
      </c>
      <c r="F145" s="68">
        <f>(F115+F128+F144)</f>
        <v>0</v>
      </c>
      <c r="G145" s="68">
        <f>(G115+G128+G144)</f>
        <v>0</v>
      </c>
      <c r="H145" s="68">
        <f t="shared" si="7"/>
        <v>742074.24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Dummer</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508523</v>
      </c>
      <c r="D10" s="132">
        <f>ROUND((C10/$C$28)*100,1)</f>
        <v>69.900000000000006</v>
      </c>
    </row>
    <row r="11" spans="1:4" x14ac:dyDescent="0.2">
      <c r="A11">
        <v>1200</v>
      </c>
      <c r="B11" t="s">
        <v>703</v>
      </c>
      <c r="C11" s="129">
        <f>ROUND('DOE25'!L199+'DOE25'!L217+'DOE25'!L235+'DOE25'!L278+'DOE25'!L297+'DOE25'!L316,0)</f>
        <v>19898</v>
      </c>
      <c r="D11" s="132">
        <f>ROUND((C11/$C$28)*100,1)</f>
        <v>2.7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14964</v>
      </c>
      <c r="D15" s="132">
        <f t="shared" ref="D15:D27" si="0">ROUND((C15/$C$28)*100,1)</f>
        <v>2.1</v>
      </c>
    </row>
    <row r="16" spans="1:4" x14ac:dyDescent="0.2">
      <c r="A16">
        <v>2200</v>
      </c>
      <c r="B16" t="s">
        <v>707</v>
      </c>
      <c r="C16" s="129">
        <f>ROUND('DOE25'!L204+'DOE25'!L222+'DOE25'!L240+'DOE25'!L283+'DOE25'!L302+'DOE25'!L321,0)</f>
        <v>419</v>
      </c>
      <c r="D16" s="132">
        <f t="shared" si="0"/>
        <v>0.1</v>
      </c>
    </row>
    <row r="17" spans="1:4" x14ac:dyDescent="0.2">
      <c r="A17" s="133" t="s">
        <v>723</v>
      </c>
      <c r="B17" t="s">
        <v>738</v>
      </c>
      <c r="C17" s="129">
        <f>ROUND('DOE25'!L205+'DOE25'!L210+'DOE25'!L223+'DOE25'!L228+'DOE25'!L241+'DOE25'!L246+'DOE25'!L284+'DOE25'!L289+'DOE25'!L303+'DOE25'!L308+'DOE25'!L322+'DOE25'!L327,0)</f>
        <v>50422</v>
      </c>
      <c r="D17" s="132">
        <f t="shared" si="0"/>
        <v>6.9</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132823</v>
      </c>
      <c r="D21" s="132">
        <f t="shared" si="0"/>
        <v>18.3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25.88</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727074.88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727074.88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687405</v>
      </c>
      <c r="D35" s="132">
        <f t="shared" ref="D35:D40" si="1">ROUND((C35/$C$41)*100,1)</f>
        <v>79</v>
      </c>
    </row>
    <row r="36" spans="1:4" x14ac:dyDescent="0.2">
      <c r="B36" s="71" t="s">
        <v>739</v>
      </c>
      <c r="C36" s="129">
        <f>SUM('DOE25'!F112:J112)-SUM('DOE25'!G97:G110)+('DOE25'!F175+'DOE25'!F176+'DOE25'!I175+'DOE25'!I176)-C35</f>
        <v>11878.209999999963</v>
      </c>
      <c r="D36" s="132">
        <f t="shared" si="1"/>
        <v>1.4</v>
      </c>
    </row>
    <row r="37" spans="1:4" x14ac:dyDescent="0.2">
      <c r="A37" s="133" t="s">
        <v>834</v>
      </c>
      <c r="B37" s="71" t="s">
        <v>728</v>
      </c>
      <c r="C37" s="129">
        <f>ROUND('DOE25'!F117+'DOE25'!F118,0)</f>
        <v>164897</v>
      </c>
      <c r="D37" s="132">
        <f t="shared" si="1"/>
        <v>18.899999999999999</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6039</v>
      </c>
      <c r="D39" s="132">
        <f t="shared" si="1"/>
        <v>0.7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870219.21</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Dummer</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2023-08-15T18:50:05Z</cp:lastPrinted>
  <dcterms:created xsi:type="dcterms:W3CDTF">1997-12-04T19:04:30Z</dcterms:created>
  <dcterms:modified xsi:type="dcterms:W3CDTF">2023-10-05T15:50:15Z</dcterms:modified>
</cp:coreProperties>
</file>