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D09A7DE6-0F02-4462-A349-AB375A95735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12" l="1"/>
  <c r="B12" i="12"/>
  <c r="B11" i="12"/>
  <c r="H473" i="1"/>
  <c r="H469" i="1"/>
  <c r="K424" i="1"/>
  <c r="H401" i="1" l="1"/>
  <c r="H397" i="1"/>
  <c r="H398" i="1"/>
  <c r="G97" i="1" l="1"/>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E111" i="2"/>
  <c r="D115" i="2"/>
  <c r="F115" i="2"/>
  <c r="G115" i="2"/>
  <c r="E120" i="2"/>
  <c r="E124"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125" i="2" l="1"/>
  <c r="H25" i="2"/>
  <c r="H137" i="2"/>
  <c r="H98" i="2"/>
  <c r="H73" i="2"/>
  <c r="H23" i="2"/>
  <c r="H143" i="2"/>
  <c r="H96" i="2"/>
  <c r="H80" i="2"/>
  <c r="C10" i="12"/>
  <c r="C11" i="12"/>
  <c r="C12" i="12"/>
  <c r="M2" i="14"/>
  <c r="M3" i="14" s="1"/>
  <c r="C13" i="10"/>
  <c r="H131" i="2"/>
  <c r="H69" i="2"/>
  <c r="H30" i="2"/>
  <c r="H100" i="2"/>
  <c r="H135" i="2"/>
  <c r="H89" i="2"/>
  <c r="H34" i="2"/>
  <c r="D18" i="13"/>
  <c r="C18" i="13" s="1"/>
  <c r="D15" i="13"/>
  <c r="C15" i="13" s="1"/>
  <c r="C12" i="10"/>
  <c r="H17" i="2"/>
  <c r="H15" i="2"/>
  <c r="G477" i="1"/>
  <c r="H29" i="2"/>
  <c r="H27" i="2"/>
  <c r="H24" i="2"/>
  <c r="H12" i="2"/>
  <c r="H8" i="2"/>
  <c r="H132" i="2"/>
  <c r="H36" i="2"/>
  <c r="H44" i="2"/>
  <c r="H11" i="2"/>
  <c r="H99" i="2"/>
  <c r="H87" i="2"/>
  <c r="H79" i="2"/>
  <c r="H76" i="2"/>
  <c r="H58" i="2"/>
  <c r="J112" i="1"/>
  <c r="E121" i="2"/>
  <c r="N2" i="14"/>
  <c r="N3" i="14" s="1"/>
  <c r="H28" i="2"/>
  <c r="H102" i="2"/>
  <c r="H97" i="2"/>
  <c r="H93" i="2"/>
  <c r="H26" i="2"/>
  <c r="C20" i="12"/>
  <c r="C19" i="12"/>
  <c r="C22" i="12" s="1"/>
  <c r="H9" i="2"/>
  <c r="H59" i="2"/>
  <c r="H48" i="2"/>
  <c r="H22" i="2"/>
  <c r="G662" i="1"/>
  <c r="C121" i="2"/>
  <c r="C120" i="2"/>
  <c r="H120" i="2" s="1"/>
  <c r="C119" i="2"/>
  <c r="C112" i="2"/>
  <c r="H112" i="2" s="1"/>
  <c r="D6" i="13"/>
  <c r="C6" i="13" s="1"/>
  <c r="L2" i="14"/>
  <c r="L3" i="14" s="1"/>
  <c r="A40" i="12"/>
  <c r="K2" i="14"/>
  <c r="K3" i="14" s="1"/>
  <c r="H477" i="1"/>
  <c r="H625" i="1" s="1"/>
  <c r="J625" i="1" s="1"/>
  <c r="H61" i="2"/>
  <c r="H77"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21" i="2" l="1"/>
  <c r="H57" i="2"/>
  <c r="H103" i="2"/>
  <c r="H118" i="2"/>
  <c r="H16" i="2"/>
  <c r="H42" i="2"/>
  <c r="H119" i="2"/>
  <c r="L572" i="1"/>
  <c r="C13" i="12"/>
  <c r="A13" i="12" s="1"/>
  <c r="G24" i="14"/>
  <c r="H24" i="14" s="1"/>
  <c r="I24" i="14" s="1"/>
  <c r="H21" i="2"/>
  <c r="E128" i="2"/>
  <c r="H123" i="2"/>
  <c r="E91" i="2"/>
  <c r="H91" i="2" s="1"/>
  <c r="H85" i="2"/>
  <c r="G144" i="2"/>
  <c r="G145" i="2" s="1"/>
  <c r="H134" i="2"/>
  <c r="H31" i="2"/>
  <c r="D51" i="2"/>
  <c r="H50" i="2"/>
  <c r="E51" i="2"/>
  <c r="D128" i="2"/>
  <c r="D145" i="2" s="1"/>
  <c r="H127" i="2"/>
  <c r="I662" i="1"/>
  <c r="H62" i="2"/>
  <c r="C81" i="2"/>
  <c r="H81" i="2" s="1"/>
  <c r="H78" i="2"/>
  <c r="H18"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51" i="2"/>
  <c r="C144" i="2"/>
  <c r="C145" i="2" s="1"/>
  <c r="H141" i="2"/>
  <c r="H128" i="2"/>
  <c r="C104" i="2"/>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<sst xmlns="http://schemas.openxmlformats.org/spreadsheetml/2006/main" count="6558" uniqueCount="1813">
  <si>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</si>
  <si>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</si>
  <si>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</si>
  <si>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</si>
  <si>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</si>
  <si>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</si>
  <si>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</si>
  <si>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</si>
  <si>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</si>
  <si>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</si>
  <si>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</si>
  <si>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</si>
  <si>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</si>
  <si>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</si>
  <si>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</si>
  <si>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</si>
  <si>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</si>
  <si>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</si>
  <si>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</si>
  <si>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</si>
  <si>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</si>
  <si>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</si>
  <si>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</si>
  <si>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</si>
  <si>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</si>
  <si>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</si>
  <si>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</si>
  <si>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</si>
  <si>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</si>
  <si>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</si>
  <si>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</si>
  <si>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</si>
  <si>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</si>
  <si>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</si>
  <si>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</si>
  <si>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</si>
  <si>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</si>
  <si>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</si>
  <si>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</si>
  <si>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</si>
  <si>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</si>
  <si>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</si>
  <si>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</si>
  <si>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</si>
  <si>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</si>
  <si>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</si>
  <si>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</si>
  <si>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</si>
  <si>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</si>
  <si>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</si>
  <si>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</si>
  <si>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</si>
  <si>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</si>
  <si>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</si>
  <si>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</si>
  <si>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</si>
  <si>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</si>
  <si>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</si>
  <si>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</si>
  <si>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</si>
  <si>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</si>
  <si>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</si>
  <si>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</si>
  <si>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</si>
  <si>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</si>
  <si>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</si>
  <si>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</si>
  <si>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</si>
  <si>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</si>
  <si>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</si>
  <si>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</si>
  <si>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</si>
  <si>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</si>
  <si>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</si>
  <si>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</si>
  <si>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</si>
  <si>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</si>
  <si>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</si>
  <si>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</si>
  <si>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</si>
  <si>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</si>
  <si>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</si>
  <si>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</si>
  <si>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</si>
  <si>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</si>
  <si>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</si>
  <si>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</si>
  <si>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</si>
  <si>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</si>
  <si>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</si>
  <si>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</si>
  <si>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</si>
  <si>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</si>
  <si>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</si>
  <si>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</si>
  <si>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</si>
  <si>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</si>
  <si>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</si>
  <si>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</si>
  <si>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</si>
  <si>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</si>
  <si>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</si>
  <si>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</si>
  <si>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</si>
  <si>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</si>
  <si>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</si>
  <si>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</si>
  <si>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</si>
  <si>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</si>
  <si>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</si>
  <si>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</si>
  <si>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</si>
  <si>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</si>
  <si>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</si>
  <si>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</si>
  <si>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</si>
  <si>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</si>
  <si>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</si>
  <si>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</si>
  <si>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</si>
  <si>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</si>
  <si>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</si>
  <si>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</si>
  <si>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</si>
  <si>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</si>
  <si>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</si>
  <si>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</si>
  <si>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</si>
  <si>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</si>
  <si>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</si>
  <si>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</si>
  <si>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</si>
  <si>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</si>
  <si>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</si>
  <si>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</si>
  <si>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</si>
  <si>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</si>
  <si>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</si>
  <si>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</si>
  <si>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</si>
  <si>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</si>
  <si>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</si>
  <si>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</si>
  <si>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</si>
  <si>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</si>
  <si>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</si>
  <si>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</si>
  <si>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</si>
  <si>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</si>
  <si>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</si>
  <si>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</si>
  <si>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</si>
  <si>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</si>
  <si>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</si>
  <si>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</si>
  <si>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</si>
  <si>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</si>
  <si>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</si>
  <si>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</si>
  <si>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</si>
  <si>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</si>
  <si>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</si>
  <si>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</si>
  <si>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</si>
  <si>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</si>
  <si>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</si>
  <si>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</si>
  <si>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</si>
  <si>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</si>
  <si>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</si>
  <si>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</si>
  <si>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</si>
  <si>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</si>
  <si>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</si>
  <si>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</si>
  <si>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</si>
  <si>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</si>
  <si>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</si>
  <si>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</si>
  <si>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</si>
  <si>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</si>
  <si>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</si>
  <si>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</si>
  <si>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</si>
  <si>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</si>
  <si>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</si>
  <si>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</si>
  <si>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</si>
  <si>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</si>
  <si>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</si>
  <si>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</si>
  <si>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</si>
  <si>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</si>
  <si>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</si>
  <si>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</si>
  <si>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</si>
  <si>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</si>
  <si>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</si>
  <si>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</si>
  <si>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</si>
  <si>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</si>
  <si>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</si>
  <si>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</si>
  <si>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</si>
  <si>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</si>
  <si>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</si>
  <si>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</si>
  <si>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</si>
  <si>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</si>
  <si>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</si>
  <si>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</si>
  <si>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</si>
  <si>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</si>
  <si>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</si>
  <si>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</si>
  <si>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</si>
  <si>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</si>
  <si>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</si>
  <si>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</si>
  <si>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</si>
  <si>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</si>
  <si>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</si>
  <si>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</si>
  <si>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</si>
  <si>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</si>
  <si>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</si>
  <si>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</si>
  <si>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</si>
  <si>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</si>
  <si>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</si>
  <si>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</si>
  <si>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</si>
  <si>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</si>
  <si>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</si>
  <si>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</si>
  <si>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</si>
  <si>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</si>
  <si>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</si>
  <si>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</si>
  <si>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</si>
  <si>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</si>
  <si>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</si>
  <si>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</si>
  <si>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</si>
  <si>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</si>
  <si>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</si>
  <si>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</si>
  <si>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</si>
  <si>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</si>
  <si>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</si>
  <si>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</si>
  <si>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</si>
  <si>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</si>
  <si>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</si>
  <si>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</si>
  <si>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</si>
  <si>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</si>
  <si>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</si>
  <si>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</si>
  <si>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</si>
  <si>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</si>
  <si>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</si>
  <si>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</si>
  <si>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</si>
  <si>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</si>
  <si>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</si>
  <si>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</si>
  <si>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</si>
  <si>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</si>
  <si>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</si>
  <si>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</si>
  <si>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</si>
  <si>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</si>
  <si>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</si>
  <si>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</si>
  <si>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</si>
  <si>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</si>
  <si>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</si>
  <si>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</si>
  <si>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</si>
  <si>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</si>
  <si>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</si>
  <si>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</si>
  <si>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</si>
  <si>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</si>
  <si>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</si>
  <si>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</si>
  <si>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</si>
  <si>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</si>
  <si>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</si>
  <si>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</si>
  <si>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</si>
  <si>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</si>
  <si>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</si>
  <si>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</si>
  <si>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</si>
  <si>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</si>
  <si>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</si>
  <si>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</si>
  <si>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</si>
  <si>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</si>
  <si>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</si>
  <si>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</si>
  <si>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</si>
  <si>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</si>
  <si>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</si>
  <si>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</si>
  <si>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</si>
  <si>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</si>
  <si>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</si>
  <si>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</si>
  <si>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</si>
  <si>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</si>
  <si>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</si>
  <si>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</si>
  <si>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</si>
  <si>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</si>
  <si>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</si>
  <si>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</si>
  <si>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</si>
  <si>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</si>
  <si>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</si>
  <si>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</si>
  <si>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</si>
  <si>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</si>
  <si>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</si>
  <si>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</si>
  <si>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</si>
  <si>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</si>
  <si>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</si>
  <si>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</si>
  <si>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</si>
  <si>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</si>
  <si>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</si>
  <si>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</si>
  <si>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</si>
  <si>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</si>
  <si>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</si>
  <si>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</si>
  <si>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</si>
  <si>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</si>
  <si>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</si>
  <si>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</si>
  <si>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</si>
  <si>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</si>
  <si>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</si>
  <si>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</si>
  <si>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</si>
  <si>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</si>
  <si>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</si>
  <si>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</si>
  <si>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</si>
  <si>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</si>
  <si>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</si>
  <si>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</si>
  <si>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</si>
  <si>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</si>
  <si>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</si>
  <si>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</si>
  <si>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</si>
  <si>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</si>
  <si>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</si>
  <si>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</si>
  <si>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</si>
  <si>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</si>
  <si>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</si>
  <si>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</si>
  <si>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</si>
  <si>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</si>
  <si>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</si>
  <si>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</si>
  <si>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</si>
  <si>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</si>
  <si>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</si>
  <si>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</si>
  <si>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</si>
  <si>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</si>
  <si>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</si>
  <si>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</si>
  <si>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</si>
  <si>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</si>
  <si>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</si>
  <si>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</si>
  <si>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</si>
  <si>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</si>
  <si>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</si>
  <si>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</si>
  <si>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</si>
  <si>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</si>
  <si>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</si>
  <si>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</si>
  <si>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</si>
  <si>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</si>
  <si>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</si>
  <si>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</si>
  <si>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</si>
  <si>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</si>
  <si>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</si>
  <si>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</si>
  <si>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</si>
  <si>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</si>
  <si>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</si>
  <si>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</si>
  <si>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</si>
  <si>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</si>
  <si>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</si>
  <si>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</si>
  <si>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</si>
  <si>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</si>
  <si>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</si>
  <si>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</si>
  <si>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</si>
  <si>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</si>
  <si>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</si>
  <si>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</si>
  <si>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</si>
  <si>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</si>
  <si>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</si>
  <si>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</si>
  <si>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</si>
  <si>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</si>
  <si>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</si>
  <si>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</si>
  <si>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</si>
  <si>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</si>
  <si>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</si>
  <si>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</si>
  <si>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</si>
  <si>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</si>
  <si>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</si>
  <si>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</si>
  <si>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</si>
  <si>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</si>
  <si>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</si>
  <si>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</si>
  <si>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</si>
  <si>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</si>
  <si>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</si>
  <si>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</si>
  <si>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</si>
  <si>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</si>
  <si>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</si>
  <si>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</si>
  <si>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</si>
  <si>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</si>
  <si>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</si>
  <si>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</si>
  <si>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</si>
  <si>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</si>
  <si>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</si>
  <si>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</si>
  <si>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</si>
  <si>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</si>
  <si>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</si>
  <si>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</si>
  <si>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</si>
  <si>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</si>
  <si>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</si>
  <si>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</si>
  <si>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</si>
  <si>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</si>
  <si>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</si>
  <si>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</si>
  <si>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</si>
  <si>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</si>
  <si>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</si>
  <si>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</si>
  <si>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</si>
  <si>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</si>
  <si>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</si>
  <si>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</si>
  <si>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</si>
  <si>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</si>
  <si>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</si>
  <si>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</si>
  <si>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</si>
  <si>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</si>
  <si>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</si>
  <si>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</si>
  <si>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</si>
  <si>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</si>
  <si>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</si>
  <si>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</si>
  <si>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</si>
  <si>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</si>
  <si>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</si>
  <si>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</si>
  <si>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</si>
  <si>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</si>
  <si>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</si>
  <si>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</si>
  <si>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</si>
  <si>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</si>
  <si>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</si>
  <si>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</si>
  <si>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</si>
  <si>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</si>
  <si>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</si>
  <si>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</si>
  <si>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</si>
  <si>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</si>
  <si>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</si>
  <si>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</si>
  <si>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</si>
  <si>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</si>
  <si>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</si>
  <si>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</si>
  <si>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</si>
  <si>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</si>
  <si>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</si>
  <si>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</si>
  <si>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</si>
  <si>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</si>
  <si>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</si>
  <si>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</si>
  <si>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</si>
  <si>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</si>
  <si>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</si>
  <si>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</si>
  <si>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</si>
  <si>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</si>
  <si>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</si>
  <si>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</si>
  <si>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</si>
  <si>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</si>
  <si>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</si>
  <si>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</si>
  <si>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</si>
  <si>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</si>
  <si>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</si>
  <si>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</si>
  <si>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</si>
  <si>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</si>
  <si>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</si>
  <si>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</si>
  <si>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</si>
  <si>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</si>
  <si>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</si>
  <si>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</si>
  <si>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</si>
  <si>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</si>
  <si>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</si>
  <si>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</si>
  <si>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</si>
  <si>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</si>
  <si>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</si>
  <si>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</si>
  <si>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</si>
  <si>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</si>
  <si>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</si>
  <si>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</si>
  <si>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</si>
  <si>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</si>
  <si>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</si>
  <si>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</si>
  <si>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</si>
  <si>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</si>
  <si>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</si>
  <si>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</si>
  <si>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</si>
  <si>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</si>
  <si>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</si>
  <si>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</si>
  <si>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</si>
  <si>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</si>
  <si>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</si>
  <si>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</si>
  <si>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</si>
  <si>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</si>
  <si>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</si>
  <si>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</si>
  <si>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</si>
  <si>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</si>
  <si>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</si>
  <si>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</si>
  <si>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</si>
  <si>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</si>
  <si>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</si>
  <si>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</si>
  <si>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</si>
  <si>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</si>
  <si>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</si>
  <si>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</si>
  <si>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</si>
  <si>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</si>
  <si>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</si>
  <si>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</si>
  <si>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</si>
  <si>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</si>
  <si>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</si>
  <si>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</si>
  <si>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</si>
  <si>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</si>
  <si>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</si>
  <si>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</si>
  <si>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</si>
  <si>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</si>
  <si>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</si>
  <si>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</si>
  <si>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</si>
  <si>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</si>
  <si>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</si>
  <si>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</si>
  <si>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</si>
  <si>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</si>
  <si>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</si>
  <si>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</si>
  <si>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</si>
  <si>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</si>
  <si>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</si>
  <si>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</si>
  <si>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</si>
  <si>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</si>
  <si>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</si>
  <si>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</si>
  <si>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</si>
  <si>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</si>
  <si>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</si>
  <si>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</si>
  <si>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</si>
  <si>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</si>
  <si>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</si>
  <si>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</si>
  <si>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</si>
  <si>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</si>
  <si>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</si>
  <si>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</si>
  <si>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</si>
  <si>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</si>
  <si>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</si>
  <si>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</si>
  <si>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</si>
  <si>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</si>
  <si>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</si>
  <si>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</si>
  <si>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</si>
  <si>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</si>
  <si>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</si>
  <si>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</si>
  <si>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</si>
  <si>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</si>
  <si>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</si>
  <si>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</si>
  <si>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</si>
  <si>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</si>
  <si>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</si>
  <si>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</si>
  <si>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</si>
  <si>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</si>
  <si>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</si>
  <si>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</si>
  <si>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</si>
  <si>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</si>
  <si>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</si>
  <si>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</si>
  <si>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</si>
  <si>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</si>
  <si>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</si>
  <si>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</si>
  <si>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</si>
  <si>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</si>
  <si>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</si>
  <si>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</si>
  <si>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</si>
  <si>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</si>
  <si>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</si>
  <si>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</si>
  <si>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</si>
  <si>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</si>
  <si>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</si>
  <si>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</si>
  <si>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</si>
  <si>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</si>
  <si>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</si>
  <si>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</si>
  <si>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</si>
  <si>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</si>
  <si>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</si>
  <si>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</si>
  <si>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</si>
  <si>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</si>
  <si>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</si>
  <si>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</si>
  <si>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</si>
  <si>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</si>
  <si>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</si>
  <si>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</si>
  <si>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</si>
  <si>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</si>
  <si>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</si>
  <si>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</si>
  <si>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</si>
  <si>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</si>
  <si>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</si>
  <si>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</si>
  <si>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</si>
  <si>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</si>
  <si>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</si>
  <si>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</si>
  <si>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</si>
  <si>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</si>
  <si>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</si>
  <si>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</si>
  <si>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</si>
  <si>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</si>
  <si>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</si>
  <si>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</si>
  <si>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</si>
  <si>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</si>
  <si>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</si>
  <si>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</si>
  <si>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</si>
  <si>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</si>
  <si>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</si>
  <si>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</si>
  <si>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</si>
  <si>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</si>
  <si>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</si>
  <si>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</si>
  <si>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</si>
  <si>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</si>
  <si>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</si>
  <si>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</si>
  <si>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</si>
  <si>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</si>
  <si>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</si>
  <si>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</si>
  <si>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</si>
  <si>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</si>
  <si>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</si>
  <si>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</si>
  <si>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</si>
  <si>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</si>
  <si>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</si>
  <si>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</si>
  <si>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</si>
  <si>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</si>
  <si>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</si>
  <si>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</si>
  <si>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</si>
  <si>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</si>
  <si>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</si>
  <si>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</si>
  <si>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</si>
  <si>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</si>
  <si>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</si>
  <si>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</si>
  <si>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</si>
  <si>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</si>
  <si>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</si>
  <si>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</si>
  <si>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</si>
  <si>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</si>
  <si>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</si>
  <si>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</si>
  <si>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</si>
  <si>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</si>
  <si>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</si>
  <si>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</si>
  <si>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</si>
  <si>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</si>
  <si>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</si>
  <si>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</si>
  <si>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</si>
  <si>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</si>
  <si>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</si>
  <si>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</si>
  <si>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</si>
  <si>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</si>
  <si>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</si>
  <si>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</si>
  <si>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</si>
  <si>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</si>
  <si>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</si>
  <si>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</si>
  <si>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</si>
  <si>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</si>
  <si>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</si>
  <si>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</si>
  <si>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</si>
  <si>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</si>
  <si>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</si>
  <si>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</si>
  <si>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</si>
  <si>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</si>
  <si>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</si>
  <si>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</si>
  <si>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</si>
  <si>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</si>
  <si>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</si>
  <si>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</si>
  <si>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</si>
  <si>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</si>
  <si>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</si>
  <si>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</si>
  <si>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</si>
  <si>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</si>
  <si>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</si>
  <si>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</si>
  <si>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</si>
  <si>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</si>
  <si>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</si>
  <si>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</si>
  <si>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</si>
  <si>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</si>
  <si>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</si>
  <si>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</si>
  <si>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</si>
  <si>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</si>
  <si>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</si>
  <si>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</si>
  <si>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</si>
  <si>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</si>
  <si>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</si>
  <si>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</si>
  <si>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</si>
  <si>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</si>
  <si>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</si>
  <si>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</si>
  <si>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</si>
  <si>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</si>
  <si>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</si>
  <si>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</si>
  <si>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</si>
  <si>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</si>
  <si>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</si>
  <si>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</si>
  <si>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</si>
  <si>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</si>
  <si>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</si>
  <si>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</si>
  <si>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</si>
  <si>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</si>
  <si>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</si>
  <si>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</si>
  <si>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</si>
  <si>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</si>
  <si>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</si>
  <si>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</si>
  <si>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</si>
  <si>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</si>
  <si>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</si>
  <si>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</si>
  <si>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</si>
  <si>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</si>
  <si>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</si>
  <si>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</si>
  <si>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</si>
  <si>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</si>
  <si>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</si>
  <si>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</si>
  <si>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</si>
  <si>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</si>
  <si>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</si>
  <si>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</si>
  <si>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</si>
  <si>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</si>
  <si>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</si>
  <si>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</si>
  <si>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</si>
  <si>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</si>
  <si>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</si>
  <si>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</si>
  <si>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</si>
  <si>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</si>
  <si>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</si>
  <si>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</si>
  <si>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</si>
  <si>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</si>
  <si>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</si>
  <si>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</si>
  <si>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</si>
  <si>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</si>
  <si>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</si>
  <si>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</si>
  <si>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</si>
  <si>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</si>
  <si>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</si>
  <si>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</si>
  <si>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</si>
  <si>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</si>
  <si>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</si>
  <si>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</si>
  <si>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</si>
  <si>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</si>
  <si>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</si>
  <si>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</si>
  <si>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</si>
  <si>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</si>
  <si>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</si>
  <si>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</si>
  <si>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</si>
  <si>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</si>
  <si>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</si>
  <si>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</si>
  <si>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</si>
  <si>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</si>
  <si>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</si>
  <si>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</si>
  <si>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</si>
  <si>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</si>
  <si>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</si>
  <si>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</si>
  <si>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</si>
  <si>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</si>
  <si>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</si>
  <si>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</si>
  <si>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</si>
  <si>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</si>
  <si>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</si>
  <si>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</si>
  <si>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</si>
  <si>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</si>
  <si>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</si>
  <si>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</si>
  <si>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</si>
  <si>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</si>
  <si>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</si>
  <si>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</si>
  <si>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</si>
  <si>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</si>
  <si>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</si>
  <si>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</si>
  <si>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</si>
  <si>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</si>
  <si>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</si>
  <si>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</si>
  <si>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</si>
  <si>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</si>
  <si>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</si>
  <si>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</si>
  <si>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</si>
  <si>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</si>
  <si>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</si>
  <si>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</si>
  <si>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</si>
  <si>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</si>
  <si>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</si>
  <si>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</si>
  <si>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</si>
  <si>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</si>
  <si>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</si>
  <si>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</si>
  <si>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</si>
  <si>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</si>
  <si>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</si>
  <si>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</si>
  <si>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</si>
  <si>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</si>
  <si>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</si>
  <si>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</si>
  <si>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</si>
  <si>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</si>
  <si>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</si>
  <si>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</si>
  <si>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</si>
  <si>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</si>
  <si>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</si>
  <si>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</si>
  <si>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</si>
  <si>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</si>
  <si>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</si>
  <si>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</si>
  <si>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</si>
  <si>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</si>
  <si>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</si>
  <si>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</si>
  <si>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</si>
  <si>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</si>
  <si>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</si>
  <si>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</si>
  <si>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</si>
  <si>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</si>
  <si>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</si>
  <si>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</si>
  <si>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</si>
  <si>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</si>
  <si>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</si>
  <si>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</si>
  <si>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</si>
  <si>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</si>
  <si>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</si>
  <si>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</si>
  <si>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</si>
  <si>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</si>
  <si>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</si>
  <si>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</si>
  <si>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</si>
  <si>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</si>
  <si>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</si>
  <si>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</si>
  <si>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</si>
  <si>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</si>
  <si>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</si>
  <si>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</si>
  <si>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</si>
  <si>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</si>
  <si>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</si>
  <si>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</si>
  <si>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</si>
  <si>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</si>
  <si>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</si>
  <si>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</si>
  <si>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</si>
  <si>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</si>
  <si>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</si>
  <si>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</si>
  <si>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</si>
  <si>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</si>
  <si>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</si>
  <si>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</si>
  <si>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</si>
  <si>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</si>
  <si>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</si>
  <si>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</si>
  <si>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</si>
  <si>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</si>
  <si>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</si>
  <si>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</si>
  <si>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</si>
  <si>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</si>
  <si>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</si>
  <si>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</si>
  <si>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</si>
  <si>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</si>
  <si>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</si>
  <si>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</si>
  <si>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</si>
  <si>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</si>
  <si>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</si>
  <si>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</si>
  <si>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</si>
  <si>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</si>
  <si>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</si>
  <si>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</si>
  <si>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</si>
  <si>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</si>
  <si>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</si>
  <si>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</si>
  <si>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</si>
  <si>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</si>
  <si>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</si>
  <si>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</si>
  <si>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</si>
  <si>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</si>
  <si>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</si>
  <si>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</si>
  <si>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</si>
  <si>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</si>
  <si>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</si>
  <si>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</si>
  <si>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</si>
  <si>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</si>
  <si>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</si>
  <si>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</si>
  <si>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</si>
  <si>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</si>
  <si>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</si>
  <si>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</si>
  <si>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</si>
  <si>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</si>
  <si>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</si>
  <si>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</si>
  <si>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</si>
  <si>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</si>
  <si>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</si>
  <si>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</si>
  <si>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</si>
  <si>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</si>
  <si>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</si>
  <si>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</si>
  <si>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</si>
  <si>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</si>
  <si>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</si>
  <si>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</si>
  <si>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</si>
  <si>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</si>
  <si>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</si>
  <si>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</si>
  <si>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</si>
  <si>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</si>
  <si>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</si>
  <si>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</si>
  <si>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</si>
  <si>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</si>
  <si>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</si>
  <si>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</si>
  <si>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</si>
  <si>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</si>
  <si>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</si>
  <si>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</si>
  <si>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</si>
  <si>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</si>
  <si>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</si>
  <si>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</si>
  <si>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</si>
  <si>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</si>
  <si>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</si>
  <si>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</si>
  <si>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</si>
  <si>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</si>
  <si>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</si>
  <si>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</si>
  <si>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</si>
  <si>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</si>
  <si>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</si>
  <si>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</si>
  <si>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</si>
  <si>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</si>
  <si>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</si>
  <si>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</si>
  <si>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</si>
  <si>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</si>
  <si>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</si>
  <si>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</si>
  <si>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</si>
  <si>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</si>
  <si>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</si>
  <si>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</si>
  <si>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</si>
  <si>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</si>
  <si>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</si>
  <si>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</si>
  <si>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</si>
  <si>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</si>
  <si>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</si>
  <si>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</si>
  <si>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</si>
  <si>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</si>
  <si>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</si>
  <si>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</si>
  <si>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</si>
  <si>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</si>
  <si>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</si>
  <si>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</si>
  <si>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</si>
  <si>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</si>
  <si>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</si>
  <si>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</si>
  <si>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</si>
  <si>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</si>
  <si>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</si>
  <si>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</si>
  <si>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</si>
  <si>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</si>
  <si>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</si>
  <si>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</si>
  <si>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</si>
  <si>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</si>
  <si>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</si>
  <si>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</si>
  <si>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</si>
  <si>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</si>
  <si>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</si>
  <si>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</si>
  <si>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</si>
  <si>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</si>
  <si>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</si>
  <si>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</si>
  <si>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</si>
  <si>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</si>
  <si>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</si>
  <si>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</si>
  <si>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</si>
  <si>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</si>
  <si>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</si>
  <si>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</si>
  <si>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</si>
  <si>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</si>
  <si>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</si>
  <si>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</si>
  <si>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</si>
  <si>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</si>
  <si>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</si>
  <si>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</si>
  <si>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</si>
  <si>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</si>
  <si>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</si>
  <si>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</si>
  <si>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</si>
  <si>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</si>
  <si>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</si>
  <si>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</si>
  <si>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</si>
  <si>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</si>
  <si>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</si>
  <si>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</si>
  <si>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</si>
  <si>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</si>
  <si>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</si>
  <si>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</si>
  <si>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</si>
  <si>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</si>
  <si>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</si>
  <si>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</si>
  <si>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</si>
  <si>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</si>
  <si>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</si>
  <si>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</si>
  <si>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</si>
  <si>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</si>
  <si>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</si>
  <si>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</si>
  <si>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</si>
  <si>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</si>
  <si>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</si>
  <si>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</si>
  <si>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</si>
  <si>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</si>
  <si>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</si>
  <si>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</si>
  <si>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</si>
  <si>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</si>
  <si>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</si>
  <si>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</si>
  <si>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</si>
  <si>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</si>
  <si>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</si>
  <si>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</si>
  <si>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</si>
  <si>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</si>
  <si>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</si>
  <si>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</si>
  <si>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</si>
  <si>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</si>
  <si>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</si>
  <si>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</si>
  <si>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</si>
  <si>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</si>
  <si>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</si>
  <si>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</si>
  <si>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</si>
  <si>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</si>
  <si>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</si>
  <si>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</si>
  <si>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</si>
  <si>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</si>
  <si>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</si>
  <si>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</si>
  <si>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</si>
  <si>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</si>
  <si>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</si>
  <si>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</si>
  <si>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</si>
  <si>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</si>
  <si>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</si>
  <si>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</si>
  <si>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</si>
  <si>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</si>
  <si>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</si>
  <si>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</si>
  <si>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</si>
  <si>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</si>
  <si>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</si>
  <si>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</si>
  <si>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</si>
  <si>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</si>
  <si>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</si>
  <si>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</si>
  <si>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</si>
  <si>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</si>
  <si>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</si>
  <si>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</si>
  <si>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</si>
  <si>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</si>
  <si>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</si>
  <si>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</si>
  <si>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</si>
  <si>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</si>
  <si>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</si>
  <si>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</si>
  <si>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</si>
  <si>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</si>
  <si>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</si>
  <si>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</si>
  <si>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</si>
  <si>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</si>
  <si>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</si>
  <si>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</si>
  <si>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</si>
  <si>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</si>
  <si>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</si>
  <si>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</si>
  <si>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</si>
  <si>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</si>
  <si>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</si>
  <si>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</si>
  <si>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</si>
  <si>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</si>
  <si>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</si>
  <si>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</si>
  <si>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</si>
  <si>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</si>
  <si>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</si>
  <si>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</si>
  <si>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</si>
  <si>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</si>
  <si>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</si>
  <si>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</si>
  <si>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</si>
  <si>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</si>
  <si>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</si>
  <si>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</si>
  <si>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</si>
  <si>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</si>
  <si>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</si>
  <si>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</si>
  <si>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</si>
  <si>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</si>
  <si>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</si>
  <si>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</si>
  <si>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</si>
  <si>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</si>
  <si>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</si>
  <si>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</si>
  <si>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</si>
  <si>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</si>
  <si>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</si>
  <si>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</si>
  <si>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</si>
  <si>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</si>
  <si>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</si>
  <si>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</si>
  <si>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</si>
  <si>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</si>
  <si>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</si>
  <si>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</si>
  <si>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</si>
  <si>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</si>
  <si>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</si>
  <si>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</si>
  <si>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</si>
  <si>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</si>
  <si>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</si>
  <si>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</si>
  <si>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</si>
  <si>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</si>
  <si>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</si>
  <si>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</si>
  <si>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</si>
  <si>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</si>
  <si>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</si>
  <si>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</si>
  <si>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</si>
  <si>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</si>
  <si>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</si>
  <si>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</si>
  <si>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</si>
  <si>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</si>
  <si>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</si>
  <si>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</si>
  <si>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</si>
  <si>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</si>
  <si>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</si>
  <si>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</si>
  <si>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</si>
  <si>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</si>
  <si>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</si>
  <si>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</si>
  <si>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</si>
  <si>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</si>
  <si>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</si>
  <si>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</si>
  <si>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</si>
  <si>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</si>
  <si>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</si>
  <si>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</si>
  <si>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</si>
  <si>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</si>
  <si>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</si>
  <si>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</si>
  <si>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</si>
  <si>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</si>
  <si>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</si>
  <si>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</si>
  <si>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</si>
  <si>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</si>
  <si>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</si>
  <si>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</si>
  <si>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</si>
  <si>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</si>
  <si>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</si>
  <si>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</si>
  <si>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</si>
  <si>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</si>
  <si>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</si>
  <si>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</si>
  <si>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</si>
  <si>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</si>
  <si>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</si>
  <si>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</si>
  <si>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</si>
  <si>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</si>
  <si>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</si>
  <si>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</si>
  <si>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</si>
  <si>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</si>
  <si>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</si>
  <si>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</si>
  <si>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</si>
  <si>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</si>
  <si>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</si>
  <si>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</si>
  <si>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</si>
  <si>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</si>
  <si>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</si>
  <si>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</si>
  <si>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</si>
  <si>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</si>
  <si>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</si>
  <si>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</si>
  <si>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</si>
  <si>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</si>
  <si>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</si>
  <si>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</si>
  <si>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</si>
  <si>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</si>
  <si>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</si>
  <si>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</si>
  <si>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</si>
  <si>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</si>
  <si>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</si>
  <si>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</si>
  <si>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</si>
  <si>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</si>
  <si>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</si>
  <si>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</si>
  <si>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</si>
  <si>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</si>
  <si>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</si>
  <si>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</si>
  <si>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</si>
  <si>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</si>
  <si>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</si>
  <si>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</si>
  <si>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</si>
  <si>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</si>
  <si>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</si>
  <si>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</si>
  <si>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</si>
  <si>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</si>
  <si>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</si>
  <si>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</si>
  <si>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</si>
  <si>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</si>
  <si>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</si>
  <si>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</si>
  <si>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</si>
  <si>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</si>
  <si>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</si>
  <si>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</si>
  <si>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</si>
  <si>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</si>
  <si>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</si>
  <si>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</si>
  <si>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</si>
  <si>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</si>
  <si>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</si>
  <si>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</si>
  <si>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</si>
  <si>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</si>
  <si>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</si>
  <si>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</si>
  <si>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</si>
  <si>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</si>
  <si>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</si>
  <si>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</si>
  <si>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</si>
  <si>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</si>
  <si>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</si>
  <si>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</si>
  <si>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</si>
  <si>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</si>
  <si>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</si>
  <si>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</si>
  <si>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</si>
  <si>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</si>
  <si>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</si>
  <si>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</si>
  <si>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</si>
  <si>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</si>
  <si>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</si>
  <si>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</si>
  <si>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</si>
  <si>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</si>
  <si>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</si>
  <si>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</si>
  <si>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</si>
  <si>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</si>
  <si>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</si>
  <si>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</si>
  <si>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</si>
  <si>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</si>
  <si>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</si>
  <si>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</si>
  <si>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</si>
  <si>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</si>
  <si>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</si>
  <si>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</si>
  <si>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</si>
  <si>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</si>
  <si>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</si>
  <si>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</si>
  <si>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</si>
  <si>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</si>
  <si>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</si>
  <si>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</si>
  <si>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</si>
  <si>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</si>
  <si>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</si>
  <si>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</si>
  <si>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</si>
  <si>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</si>
  <si>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</si>
  <si>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</si>
  <si>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</si>
  <si>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</si>
  <si>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</si>
  <si>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</si>
  <si>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</si>
  <si>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</si>
  <si>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</si>
  <si>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</si>
  <si>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</si>
  <si>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</si>
  <si>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</si>
  <si>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</si>
  <si>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</si>
  <si>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</si>
  <si>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</si>
  <si>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</si>
  <si>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</si>
  <si>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</si>
  <si>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</si>
  <si>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</si>
  <si>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</si>
  <si>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</si>
  <si>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</si>
  <si>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</si>
  <si>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</si>
  <si>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</si>
  <si>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</si>
  <si>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</si>
  <si>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</si>
  <si>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</si>
  <si>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</si>
  <si>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</si>
  <si>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</si>
  <si>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</si>
  <si>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</si>
  <si>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</si>
  <si>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</si>
  <si>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</si>
  <si>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</si>
  <si>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</si>
  <si>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</si>
  <si>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</si>
  <si>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</si>
  <si>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</si>
  <si>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</si>
  <si>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</si>
  <si>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</si>
  <si>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</si>
  <si>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</si>
  <si>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</si>
  <si>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</si>
  <si>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</si>
  <si>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</si>
  <si>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</si>
  <si>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</si>
  <si>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</si>
  <si>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</si>
  <si>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</si>
  <si>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</si>
  <si>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</si>
  <si>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</si>
  <si>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</si>
  <si>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</si>
  <si>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</si>
  <si>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</si>
  <si>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</si>
  <si>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</si>
  <si>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</si>
  <si>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</si>
  <si>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</si>
  <si>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</si>
  <si>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</si>
  <si>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</si>
  <si>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</si>
  <si>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</si>
  <si>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</si>
  <si>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</si>
  <si>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</si>
  <si>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</si>
  <si>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</si>
  <si>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</si>
  <si>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</si>
  <si>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</si>
  <si>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</si>
  <si>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</si>
  <si>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</si>
  <si>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</si>
  <si>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</si>
  <si>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</si>
  <si>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</si>
  <si>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</si>
  <si>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</si>
  <si>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</si>
  <si>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</si>
  <si>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</si>
  <si>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</si>
  <si>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</si>
  <si>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</si>
  <si>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</si>
  <si>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</si>
  <si>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</si>
  <si>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</si>
  <si>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</si>
  <si>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</si>
  <si>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</si>
  <si>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</si>
  <si>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</si>
  <si>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</si>
  <si>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</si>
  <si>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</si>
  <si>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</si>
  <si>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</si>
  <si>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</si>
  <si>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</si>
  <si>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</si>
  <si>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</si>
  <si>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</si>
  <si>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</si>
  <si>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</si>
  <si>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</si>
  <si>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</si>
  <si>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</si>
  <si>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</si>
  <si>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</si>
  <si>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</si>
  <si>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</si>
  <si>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</si>
  <si>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</si>
  <si>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</si>
  <si>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</si>
  <si>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</si>
  <si>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</si>
  <si>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</si>
  <si>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</si>
  <si>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</si>
  <si>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</si>
  <si>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</si>
  <si>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</si>
  <si>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</si>
  <si>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</si>
  <si>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</si>
  <si>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</si>
  <si>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</si>
  <si>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</si>
  <si>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</si>
  <si>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</si>
  <si>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</si>
  <si>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</si>
  <si>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</si>
  <si>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</si>
  <si>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</si>
  <si>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</si>
  <si>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</si>
  <si>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</si>
  <si>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</si>
  <si>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</si>
  <si>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</si>
  <si>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</si>
  <si>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</si>
  <si>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</si>
  <si>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</si>
  <si>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</si>
  <si>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</si>
  <si>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</si>
  <si>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</si>
  <si>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</si>
  <si>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</si>
  <si>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</si>
  <si>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</si>
  <si>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</si>
  <si>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</si>
  <si>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</si>
  <si>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</si>
  <si>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</si>
  <si>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</si>
  <si>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</si>
  <si>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</si>
  <si>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</si>
  <si>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</si>
  <si>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</si>
  <si>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</si>
  <si>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</si>
  <si>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</si>
  <si>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</si>
  <si>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</si>
  <si>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</si>
  <si>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</si>
  <si>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</si>
  <si>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</si>
  <si>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</si>
  <si>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</si>
  <si>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</si>
  <si>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</si>
  <si>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</si>
  <si>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</si>
  <si>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</si>
  <si>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</si>
  <si>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</si>
  <si>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</si>
  <si>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</si>
  <si>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</si>
  <si>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</si>
  <si>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</si>
  <si>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</si>
  <si>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</si>
  <si>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</si>
  <si>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</si>
  <si>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</si>
  <si>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</si>
  <si>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</si>
  <si>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</si>
  <si>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</si>
  <si>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</si>
  <si>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</si>
  <si>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</si>
  <si>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</si>
  <si>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</si>
  <si>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</si>
  <si>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</si>
  <si>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</si>
  <si>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</si>
  <si>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</si>
  <si>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</si>
  <si>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</si>
  <si>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</si>
  <si>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</si>
  <si>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</si>
  <si>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</si>
  <si>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</si>
  <si>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</si>
  <si>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</si>
  <si>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</si>
  <si>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</si>
  <si>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</si>
  <si>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</si>
  <si>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</si>
  <si>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</si>
  <si>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</si>
  <si>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</si>
  <si>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</si>
  <si>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</si>
  <si>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</si>
  <si>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</si>
  <si>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</si>
  <si>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</si>
  <si>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</si>
  <si>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</si>
  <si>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</si>
  <si>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</si>
  <si>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</si>
  <si>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</si>
  <si>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</si>
  <si>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</si>
  <si>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</si>
  <si>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</si>
  <si>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</si>
  <si>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</si>
  <si>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</si>
  <si>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</si>
  <si>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</si>
  <si>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</si>
  <si>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</si>
  <si>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</si>
  <si>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</si>
  <si>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</si>
  <si>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</si>
  <si>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</si>
  <si>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</si>
  <si>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</si>
  <si>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</si>
  <si>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</si>
  <si>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</si>
  <si>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</si>
  <si>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</si>
  <si>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</si>
  <si>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</si>
  <si>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</si>
  <si>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</si>
  <si>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</si>
  <si>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</si>
  <si>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</si>
  <si>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</si>
  <si>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</si>
  <si>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</si>
  <si>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</si>
  <si>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</si>
  <si>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</si>
  <si>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</si>
  <si>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</si>
  <si>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</si>
  <si>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</si>
  <si>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</si>
  <si>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</si>
  <si>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</si>
  <si>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</si>
  <si>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</si>
  <si>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</si>
  <si>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$5000 per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</si>
</sst>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F584" sqref="F58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1011</v>
      </c>
      <c r="B2">
        <f>INDEX('School Tables'!$AH$3:$AH$209,MATCH('DOE25'!A2,'School Tables'!$AJ$3:$AJ$209,0))</f>
        <v>153</v>
      </c>
      <c r="C2">
        <f>INDEX('School Tables'!$AI$3:$AI$209,MATCH('DOE25'!A2,'School Tables'!$AJ$3:$AJ$209,0))</f>
        <v>153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15872.18+179697.42</f>
        <v>195569.6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4170.17</v>
      </c>
      <c r="G10" s="18"/>
      <c r="H10" s="18"/>
      <c r="I10" s="18"/>
      <c r="J10" s="13">
        <f>SUM(I441)</f>
        <v>718635.64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47454.14</v>
      </c>
      <c r="G12" s="18">
        <v>7831.01</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247193.91000000003</v>
      </c>
      <c r="G19" s="38">
        <f>SUM(G9:G18)</f>
        <v>7831.01</v>
      </c>
      <c r="H19" s="38">
        <f>SUM(H9:H18)</f>
        <v>0</v>
      </c>
      <c r="I19" s="38">
        <f>SUM(I9:I18)</f>
        <v>0</v>
      </c>
      <c r="J19" s="38">
        <f>SUM(J9:J18)</f>
        <v>718635.64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40509.24</v>
      </c>
      <c r="G22" s="18">
        <v>6830.47</v>
      </c>
      <c r="H22" s="18">
        <v>-43795.75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67164.67</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44776.63</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152450.54</v>
      </c>
      <c r="G32" s="38">
        <f>SUM(G22:G31)</f>
        <v>6830.47</v>
      </c>
      <c r="H32" s="38">
        <f>SUM(H22:H31)</f>
        <v>-43795.75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1000.54</v>
      </c>
      <c r="H48" s="18">
        <v>43795.75</v>
      </c>
      <c r="I48" s="18"/>
      <c r="J48" s="13">
        <f>SUM(I460)</f>
        <v>718635.64</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94743.37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94743.37</v>
      </c>
      <c r="G51" s="38">
        <f>SUM(G35:G50)</f>
        <v>1000.54</v>
      </c>
      <c r="H51" s="38">
        <f>SUM(H35:H50)</f>
        <v>43795.75</v>
      </c>
      <c r="I51" s="38">
        <f>SUM(I35:I50)</f>
        <v>0</v>
      </c>
      <c r="J51" s="38">
        <f>SUM(J35:J50)</f>
        <v>718635.64</v>
      </c>
      <c r="K51" s="42" t="s">
        <v>288</v>
      </c>
      <c r="L51" s="42" t="s">
        <v>288</v>
      </c>
      <c r="N51" s="131"/>
    </row>
    <row r="52" spans="1:14" s="3" customFormat="1" ht="12.2" customHeight="1" thickTop="1" x14ac:dyDescent="0.15">
      <c r="A52" s="35" t="s">
        <v>455</v>
      </c>
      <c r="B52" s="36" t="s">
        <v>289</v>
      </c>
      <c r="C52" s="6">
        <v>37</v>
      </c>
      <c r="D52" s="36" t="s">
        <v>653</v>
      </c>
      <c r="E52" s="36"/>
      <c r="F52" s="38">
        <f>F51+F32</f>
        <v>247193.91</v>
      </c>
      <c r="G52" s="38">
        <f>G51+G32</f>
        <v>7831.01</v>
      </c>
      <c r="H52" s="38">
        <f>H51+H32</f>
        <v>0</v>
      </c>
      <c r="I52" s="38">
        <f>I51+I32</f>
        <v>0</v>
      </c>
      <c r="J52" s="38">
        <f>J51+J32</f>
        <v>718635.64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2273099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2273099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7514.94</v>
      </c>
      <c r="G96" s="18"/>
      <c r="H96" s="18"/>
      <c r="I96" s="18"/>
      <c r="J96" s="18">
        <v>15025.7</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22644.03+7721.07</f>
        <v>30365.1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60600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12928.19</v>
      </c>
      <c r="G110" s="18">
        <v>6216.47</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20443.13</v>
      </c>
      <c r="G111" s="38">
        <f>SUM(G96:G110)</f>
        <v>36581.57</v>
      </c>
      <c r="H111" s="38">
        <f>SUM(H96:H110)</f>
        <v>60600</v>
      </c>
      <c r="I111" s="38">
        <f>SUM(I96:I110)</f>
        <v>0</v>
      </c>
      <c r="J111" s="38">
        <f>SUM(J96:J110)</f>
        <v>15025.7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2293542.13</v>
      </c>
      <c r="G112" s="38">
        <f>G60+G111</f>
        <v>36581.57</v>
      </c>
      <c r="H112" s="38">
        <f>H60+H79+H94+H111</f>
        <v>60600</v>
      </c>
      <c r="I112" s="38">
        <f>I60+I111</f>
        <v>0</v>
      </c>
      <c r="J112" s="38">
        <f>J60+J111</f>
        <v>15025.7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386163.37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215992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45.22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602200.59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57890.57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1463.34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14924.47</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72815.039999999994</v>
      </c>
      <c r="G136" s="38">
        <f>SUM(G123:G135)</f>
        <v>1463.34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675015.63</v>
      </c>
      <c r="G140" s="38">
        <f>G121+SUM(G136:G137)</f>
        <v>1463.34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9111.39</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21800.6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11825.65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128134.05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4243.32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3000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4243.32</v>
      </c>
      <c r="G163" s="38">
        <f>SUM(G150:G162)</f>
        <v>11825.65</v>
      </c>
      <c r="H163" s="38">
        <f>SUM(H150:H162)</f>
        <v>162046.04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4243.32</v>
      </c>
      <c r="G170" s="38">
        <f>G147+G163+SUM(G164:G169)</f>
        <v>11825.65</v>
      </c>
      <c r="H170" s="38">
        <f>H147+H163+SUM(H164:H169)</f>
        <v>162046.04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1829.72</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1829.72</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1829.72</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2972801.0799999996</v>
      </c>
      <c r="G194" s="38">
        <f>G112+G140+G170+G193</f>
        <v>51700.28</v>
      </c>
      <c r="H194" s="38">
        <f>H112+H140+H170+H193</f>
        <v>222646.04</v>
      </c>
      <c r="I194" s="38">
        <f>I112+I140+I170+I193</f>
        <v>0</v>
      </c>
      <c r="J194" s="38">
        <f>J112+J140+J193</f>
        <v>15025.7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1020549.18</v>
      </c>
      <c r="G198" s="18">
        <v>489722.74</v>
      </c>
      <c r="H198" s="18"/>
      <c r="I198" s="18">
        <v>22039.279999999999</v>
      </c>
      <c r="J198" s="18">
        <v>660.97</v>
      </c>
      <c r="K198" s="18">
        <v>9013.56</v>
      </c>
      <c r="L198" s="13">
        <f>SUM(F198:K198)</f>
        <v>1541985.73</v>
      </c>
      <c r="M198" s="8"/>
      <c r="N198" s="165"/>
    </row>
    <row r="199" spans="1:14" s="3" customFormat="1" ht="12.2" customHeight="1" x14ac:dyDescent="0.15">
      <c r="A199" s="1" t="s">
        <v>439</v>
      </c>
      <c r="B199" s="2" t="s">
        <v>341</v>
      </c>
      <c r="C199" s="2" t="s">
        <v>291</v>
      </c>
      <c r="D199" s="2" t="s">
        <v>431</v>
      </c>
      <c r="E199" s="6">
        <v>1200</v>
      </c>
      <c r="F199" s="18">
        <v>205571.56</v>
      </c>
      <c r="G199" s="18">
        <v>95699.66</v>
      </c>
      <c r="H199" s="18">
        <v>30597.56</v>
      </c>
      <c r="I199" s="18">
        <v>2159.8200000000002</v>
      </c>
      <c r="J199" s="18"/>
      <c r="K199" s="18">
        <v>2381.69</v>
      </c>
      <c r="L199" s="13">
        <f>SUM(F199:K199)</f>
        <v>336410.29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3000</v>
      </c>
      <c r="G201" s="18">
        <v>964.4</v>
      </c>
      <c r="H201" s="18"/>
      <c r="I201" s="18"/>
      <c r="J201" s="18"/>
      <c r="K201" s="18">
        <v>7603.27</v>
      </c>
      <c r="L201" s="13">
        <f>SUM(F201:K201)</f>
        <v>11567.67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178556.86</v>
      </c>
      <c r="G203" s="18">
        <v>87015.4</v>
      </c>
      <c r="H203" s="18">
        <v>51007.57</v>
      </c>
      <c r="I203" s="18">
        <v>1127.67</v>
      </c>
      <c r="J203" s="18"/>
      <c r="K203" s="18">
        <v>1344.91</v>
      </c>
      <c r="L203" s="13">
        <f t="shared" ref="L203:L209" si="0">SUM(F203:K203)</f>
        <v>319052.40999999997</v>
      </c>
      <c r="M203" s="8"/>
      <c r="N203" s="165"/>
    </row>
    <row r="204" spans="1:14" s="3" customFormat="1" ht="12.2" customHeight="1" x14ac:dyDescent="0.15">
      <c r="A204" s="1" t="s">
        <v>443</v>
      </c>
      <c r="B204" s="2" t="s">
        <v>341</v>
      </c>
      <c r="C204" s="2" t="s">
        <v>295</v>
      </c>
      <c r="D204" s="2" t="s">
        <v>431</v>
      </c>
      <c r="E204" s="6">
        <v>2200</v>
      </c>
      <c r="F204" s="18">
        <v>40306</v>
      </c>
      <c r="G204" s="18">
        <v>12956.95</v>
      </c>
      <c r="H204" s="18">
        <v>24189.8</v>
      </c>
      <c r="I204" s="18">
        <v>5364.5</v>
      </c>
      <c r="J204" s="18"/>
      <c r="K204" s="18">
        <v>1223.42</v>
      </c>
      <c r="L204" s="13">
        <f t="shared" si="0"/>
        <v>84040.67</v>
      </c>
      <c r="M204" s="8"/>
      <c r="N204" s="165"/>
    </row>
    <row r="205" spans="1:14" s="3" customFormat="1" ht="12.2" customHeight="1" x14ac:dyDescent="0.15">
      <c r="A205" s="1" t="s">
        <v>444</v>
      </c>
      <c r="B205" s="2" t="s">
        <v>341</v>
      </c>
      <c r="C205" s="2" t="s">
        <v>296</v>
      </c>
      <c r="D205" s="2" t="s">
        <v>431</v>
      </c>
      <c r="E205" s="6">
        <v>2300</v>
      </c>
      <c r="F205" s="18">
        <v>6300</v>
      </c>
      <c r="G205" s="18">
        <v>495.74</v>
      </c>
      <c r="H205" s="18">
        <v>86702.42</v>
      </c>
      <c r="I205" s="18"/>
      <c r="J205" s="18"/>
      <c r="K205" s="18"/>
      <c r="L205" s="13">
        <f t="shared" si="0"/>
        <v>93498.16</v>
      </c>
      <c r="M205" s="8"/>
      <c r="N205" s="165"/>
    </row>
    <row r="206" spans="1:14" s="3" customFormat="1" ht="12.2" customHeight="1" x14ac:dyDescent="0.15">
      <c r="A206" s="1" t="s">
        <v>445</v>
      </c>
      <c r="B206" s="2" t="s">
        <v>341</v>
      </c>
      <c r="C206" s="2" t="s">
        <v>297</v>
      </c>
      <c r="D206" s="2" t="s">
        <v>431</v>
      </c>
      <c r="E206" s="6">
        <v>2400</v>
      </c>
      <c r="F206" s="18">
        <v>149633.92000000001</v>
      </c>
      <c r="G206" s="18">
        <v>80297.210000000006</v>
      </c>
      <c r="H206" s="18">
        <v>19804.04</v>
      </c>
      <c r="I206" s="18">
        <v>6675.15</v>
      </c>
      <c r="J206" s="18"/>
      <c r="K206" s="18">
        <v>9428.4500000000007</v>
      </c>
      <c r="L206" s="13">
        <f t="shared" si="0"/>
        <v>265838.77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76466.92</v>
      </c>
      <c r="G208" s="18">
        <v>32976.53</v>
      </c>
      <c r="H208" s="18">
        <v>54363.77</v>
      </c>
      <c r="I208" s="18">
        <v>42744.17</v>
      </c>
      <c r="J208" s="18">
        <v>229.12</v>
      </c>
      <c r="K208" s="18"/>
      <c r="L208" s="13">
        <f t="shared" si="0"/>
        <v>206780.51</v>
      </c>
      <c r="M208" s="8"/>
      <c r="N208" s="165"/>
    </row>
    <row r="209" spans="1:14" s="3" customFormat="1" ht="12.2" customHeight="1" x14ac:dyDescent="0.15">
      <c r="A209" s="1" t="s">
        <v>448</v>
      </c>
      <c r="B209" s="2" t="s">
        <v>341</v>
      </c>
      <c r="C209" s="2" t="s">
        <v>300</v>
      </c>
      <c r="D209" s="2" t="s">
        <v>431</v>
      </c>
      <c r="E209" s="6">
        <v>2700</v>
      </c>
      <c r="F209" s="18"/>
      <c r="G209" s="18"/>
      <c r="H209" s="18">
        <v>173275.51999999999</v>
      </c>
      <c r="I209" s="18"/>
      <c r="J209" s="18"/>
      <c r="K209" s="18"/>
      <c r="L209" s="13">
        <f t="shared" si="0"/>
        <v>173275.51999999999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1680384.44</v>
      </c>
      <c r="G212" s="38">
        <f t="shared" si="1"/>
        <v>800128.63</v>
      </c>
      <c r="H212" s="38">
        <f t="shared" si="1"/>
        <v>439940.68000000005</v>
      </c>
      <c r="I212" s="38">
        <f t="shared" si="1"/>
        <v>80110.59</v>
      </c>
      <c r="J212" s="38">
        <f t="shared" si="1"/>
        <v>890.09</v>
      </c>
      <c r="K212" s="38">
        <f t="shared" si="1"/>
        <v>30995.3</v>
      </c>
      <c r="L212" s="38">
        <f t="shared" si="1"/>
        <v>3032449.73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1680384.44</v>
      </c>
      <c r="G258" s="38">
        <f t="shared" si="8"/>
        <v>800128.63</v>
      </c>
      <c r="H258" s="38">
        <f t="shared" si="8"/>
        <v>439940.68000000005</v>
      </c>
      <c r="I258" s="38">
        <f t="shared" si="8"/>
        <v>80110.59</v>
      </c>
      <c r="J258" s="38">
        <f t="shared" si="8"/>
        <v>890.09</v>
      </c>
      <c r="K258" s="38">
        <f t="shared" si="8"/>
        <v>30995.3</v>
      </c>
      <c r="L258" s="38">
        <f t="shared" si="8"/>
        <v>3032449.73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1829.72</v>
      </c>
      <c r="L264" s="13">
        <f>SUM(F264:K264)</f>
        <v>1829.72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1829.72</v>
      </c>
      <c r="L271" s="38">
        <f t="shared" si="9"/>
        <v>1829.72</v>
      </c>
      <c r="M271" s="8"/>
      <c r="N271" s="165"/>
    </row>
    <row r="272" spans="1:14" s="33" customFormat="1" ht="12.2" customHeight="1" thickTop="1" x14ac:dyDescent="0.2">
      <c r="A272" s="40" t="s">
        <v>464</v>
      </c>
      <c r="B272" s="37">
        <v>10</v>
      </c>
      <c r="C272" s="37">
        <v>18</v>
      </c>
      <c r="D272" s="36" t="s">
        <v>431</v>
      </c>
      <c r="E272" s="37"/>
      <c r="F272" s="39">
        <f t="shared" ref="F272:L272" si="11">F258+F271</f>
        <v>1680384.44</v>
      </c>
      <c r="G272" s="39">
        <f t="shared" si="11"/>
        <v>800128.63</v>
      </c>
      <c r="H272" s="39">
        <f t="shared" si="11"/>
        <v>439940.68000000005</v>
      </c>
      <c r="I272" s="39">
        <f t="shared" si="11"/>
        <v>80110.59</v>
      </c>
      <c r="J272" s="39">
        <f t="shared" si="11"/>
        <v>890.09</v>
      </c>
      <c r="K272" s="39">
        <f t="shared" si="11"/>
        <v>32825.019999999997</v>
      </c>
      <c r="L272" s="39">
        <f t="shared" si="11"/>
        <v>3034279.45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3125</v>
      </c>
      <c r="G277" s="18">
        <v>895.95</v>
      </c>
      <c r="H277" s="18">
        <v>25172.49</v>
      </c>
      <c r="I277" s="18">
        <v>1188</v>
      </c>
      <c r="J277" s="18"/>
      <c r="K277" s="18">
        <v>530.54999999999995</v>
      </c>
      <c r="L277" s="13">
        <f>SUM(F277:K277)</f>
        <v>30911.99</v>
      </c>
      <c r="M277" s="8"/>
      <c r="N277" s="165"/>
    </row>
    <row r="278" spans="1:14" s="3" customFormat="1" ht="12.2" customHeight="1" x14ac:dyDescent="0.15">
      <c r="A278" s="1" t="s">
        <v>439</v>
      </c>
      <c r="B278" s="2" t="s">
        <v>357</v>
      </c>
      <c r="C278" s="2" t="s">
        <v>291</v>
      </c>
      <c r="D278" s="2" t="s">
        <v>431</v>
      </c>
      <c r="E278" s="6">
        <v>1200</v>
      </c>
      <c r="F278" s="18">
        <v>38140.5</v>
      </c>
      <c r="G278" s="18">
        <v>12410.33</v>
      </c>
      <c r="H278" s="18">
        <v>76072.81</v>
      </c>
      <c r="I278" s="18">
        <v>1146.1300000000001</v>
      </c>
      <c r="J278" s="18"/>
      <c r="K278" s="18">
        <v>364.28</v>
      </c>
      <c r="L278" s="13">
        <f>SUM(F278:K278)</f>
        <v>128134.05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3000</v>
      </c>
      <c r="I287" s="18"/>
      <c r="J287" s="18"/>
      <c r="K287" s="18"/>
      <c r="L287" s="13">
        <f t="shared" si="12"/>
        <v>3000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41265.5</v>
      </c>
      <c r="G291" s="39">
        <f t="shared" si="13"/>
        <v>13306.28</v>
      </c>
      <c r="H291" s="39">
        <f t="shared" si="13"/>
        <v>104245.3</v>
      </c>
      <c r="I291" s="39">
        <f t="shared" si="13"/>
        <v>2334.13</v>
      </c>
      <c r="J291" s="39">
        <f t="shared" si="13"/>
        <v>0</v>
      </c>
      <c r="K291" s="39">
        <f t="shared" si="13"/>
        <v>894.82999999999993</v>
      </c>
      <c r="L291" s="38">
        <f t="shared" si="13"/>
        <v>162046.04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41265.5</v>
      </c>
      <c r="G339" s="38">
        <f t="shared" si="20"/>
        <v>13306.28</v>
      </c>
      <c r="H339" s="38">
        <f t="shared" si="20"/>
        <v>104245.3</v>
      </c>
      <c r="I339" s="38">
        <f t="shared" si="20"/>
        <v>2334.13</v>
      </c>
      <c r="J339" s="38">
        <f t="shared" si="20"/>
        <v>0</v>
      </c>
      <c r="K339" s="38">
        <f t="shared" si="20"/>
        <v>894.82999999999993</v>
      </c>
      <c r="L339" s="38">
        <f t="shared" si="20"/>
        <v>162046.04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16804.25</v>
      </c>
      <c r="L345" s="13">
        <f t="shared" ref="L345:L351" si="21">SUM(F345:K345)</f>
        <v>16804.25</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16804.25</v>
      </c>
      <c r="L352" s="38">
        <f>SUM(L342:L351)</f>
        <v>16804.25</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41265.5</v>
      </c>
      <c r="G353" s="38">
        <f>G339</f>
        <v>13306.28</v>
      </c>
      <c r="H353" s="38">
        <f>H339</f>
        <v>104245.3</v>
      </c>
      <c r="I353" s="38">
        <f>I339</f>
        <v>2334.13</v>
      </c>
      <c r="J353" s="38">
        <f>J339</f>
        <v>0</v>
      </c>
      <c r="K353" s="38">
        <f>K339+K352</f>
        <v>17699.080000000002</v>
      </c>
      <c r="L353" s="38">
        <f>L339+L352</f>
        <v>178850.29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35240.46</v>
      </c>
      <c r="G359" s="18">
        <v>10609.4</v>
      </c>
      <c r="H359" s="18">
        <v>1350</v>
      </c>
      <c r="I359" s="18">
        <v>28032.42</v>
      </c>
      <c r="J359" s="18"/>
      <c r="K359" s="18"/>
      <c r="L359" s="13">
        <f>SUM(F359:K359)</f>
        <v>75232.28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35240.46</v>
      </c>
      <c r="G363" s="38">
        <f t="shared" si="22"/>
        <v>10609.4</v>
      </c>
      <c r="H363" s="38">
        <f t="shared" si="22"/>
        <v>1350</v>
      </c>
      <c r="I363" s="38">
        <f t="shared" si="22"/>
        <v>28032.42</v>
      </c>
      <c r="J363" s="38">
        <f t="shared" si="22"/>
        <v>0</v>
      </c>
      <c r="K363" s="38">
        <f t="shared" si="22"/>
        <v>0</v>
      </c>
      <c r="L363" s="38">
        <f t="shared" si="22"/>
        <v>75232.28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26129.59</v>
      </c>
      <c r="G368" s="18"/>
      <c r="H368" s="18"/>
      <c r="I368" s="13">
        <f>SUM(F368:H368)</f>
        <v>26129.59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1902.83</v>
      </c>
      <c r="G369" s="53"/>
      <c r="H369" s="53"/>
      <c r="I369" s="13">
        <f>SUM(F369:H369)</f>
        <v>1902.83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28032.42</v>
      </c>
      <c r="G370" s="38">
        <f>SUM(G368:G369)</f>
        <v>0</v>
      </c>
      <c r="H370" s="38">
        <f>SUM(H368:H369)</f>
        <v>0</v>
      </c>
      <c r="I370" s="38">
        <f>SUM(I368:I369)</f>
        <v>28032.42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2400.56+-515.15+-609.22</f>
        <v>1276.1899999999998</v>
      </c>
      <c r="I397" s="18"/>
      <c r="J397" s="23" t="s">
        <v>288</v>
      </c>
      <c r="K397" s="23" t="s">
        <v>288</v>
      </c>
      <c r="L397" s="13">
        <f t="shared" si="26"/>
        <v>1276.1899999999998</v>
      </c>
      <c r="M397" s="8"/>
      <c r="N397" s="165"/>
    </row>
    <row r="398" spans="1:14" s="3" customFormat="1" ht="12.2" customHeight="1" x14ac:dyDescent="0.15">
      <c r="A398" s="62" t="s">
        <v>515</v>
      </c>
      <c r="B398" s="2" t="s">
        <v>381</v>
      </c>
      <c r="C398" s="6">
        <v>10</v>
      </c>
      <c r="D398" s="2" t="s">
        <v>432</v>
      </c>
      <c r="E398" s="6"/>
      <c r="F398" s="18"/>
      <c r="G398" s="18"/>
      <c r="H398" s="18">
        <f>7691.23+-1451.2+-1963.2</f>
        <v>4276.83</v>
      </c>
      <c r="I398" s="18"/>
      <c r="J398" s="23" t="s">
        <v>288</v>
      </c>
      <c r="K398" s="23" t="s">
        <v>288</v>
      </c>
      <c r="L398" s="13">
        <f t="shared" si="26"/>
        <v>4276.83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501.13+-107.55+-127.18+8490.57+853.08+-1293.37+641.64+64.49+-97.73+557.11+55.99+-84.87+20.42+2.05+-3.1</f>
        <v>9472.6799999999985</v>
      </c>
      <c r="I401" s="18"/>
      <c r="J401" s="23" t="s">
        <v>288</v>
      </c>
      <c r="K401" s="23" t="s">
        <v>288</v>
      </c>
      <c r="L401" s="13">
        <f t="shared" si="26"/>
        <v>9472.6799999999985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15025.699999999997</v>
      </c>
      <c r="I402" s="38">
        <f>SUM(I396:I401)</f>
        <v>0</v>
      </c>
      <c r="J402" s="42" t="s">
        <v>288</v>
      </c>
      <c r="K402" s="42" t="s">
        <v>288</v>
      </c>
      <c r="L402" s="38">
        <f>SUM(L396:L401)</f>
        <v>15025.699999999997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15025.699999999997</v>
      </c>
      <c r="I409" s="38">
        <f>I394+I402+I408</f>
        <v>0</v>
      </c>
      <c r="J409" s="23" t="s">
        <v>288</v>
      </c>
      <c r="K409" s="23" t="s">
        <v>288</v>
      </c>
      <c r="L409" s="38">
        <f>L394+L402+L408</f>
        <v>15025.699999999997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f>54202.26+42545.86+15399.04+32055.1</f>
        <v>144202.26</v>
      </c>
      <c r="L424" s="13">
        <f t="shared" si="29"/>
        <v>144202.26</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144202.26</v>
      </c>
      <c r="L428" s="38">
        <f t="shared" si="30"/>
        <v>144202.26</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144202.26</v>
      </c>
      <c r="L435" s="38">
        <f t="shared" si="32"/>
        <v>144202.26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443456.96</v>
      </c>
      <c r="G441" s="18">
        <v>275178.68</v>
      </c>
      <c r="H441" s="18"/>
      <c r="I441" s="13">
        <f t="shared" si="33"/>
        <v>718635.64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443456.96</v>
      </c>
      <c r="G447" s="13">
        <f>SUM(G440:G446)</f>
        <v>275178.68</v>
      </c>
      <c r="H447" s="13">
        <f>SUM(H440:H446)</f>
        <v>0</v>
      </c>
      <c r="I447" s="13">
        <f>SUM(I440:I446)</f>
        <v>718635.64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443456.96</v>
      </c>
      <c r="G460" s="18">
        <v>275178.68</v>
      </c>
      <c r="H460" s="18"/>
      <c r="I460" s="13">
        <f t="shared" si="34"/>
        <v>718635.64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443456.96</v>
      </c>
      <c r="G461" s="65">
        <f>SUM(G455:G460)</f>
        <v>275178.68</v>
      </c>
      <c r="H461" s="65">
        <f>SUM(H455:H460)</f>
        <v>0</v>
      </c>
      <c r="I461" s="65">
        <f>SUM(I455:I460)</f>
        <v>718635.64</v>
      </c>
      <c r="J461" s="23" t="s">
        <v>288</v>
      </c>
      <c r="K461" s="23" t="s">
        <v>288</v>
      </c>
      <c r="L461" s="23" t="s">
        <v>288</v>
      </c>
      <c r="N461" s="131"/>
    </row>
    <row r="462" spans="1:86" ht="12.2" customHeight="1" thickTop="1" x14ac:dyDescent="0.2">
      <c r="A462" s="40" t="s">
        <v>424</v>
      </c>
      <c r="B462" s="41">
        <v>18</v>
      </c>
      <c r="C462" s="64">
        <v>21</v>
      </c>
      <c r="D462" s="114" t="s">
        <v>432</v>
      </c>
      <c r="E462" s="64"/>
      <c r="F462" s="39">
        <f>F453+F461</f>
        <v>443456.96</v>
      </c>
      <c r="G462" s="39">
        <f>G453+G461</f>
        <v>275178.68</v>
      </c>
      <c r="H462" s="39">
        <f>H453+H461</f>
        <v>0</v>
      </c>
      <c r="I462" s="39">
        <f>I453+I461</f>
        <v>718635.64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156221.74</v>
      </c>
      <c r="G466" s="18">
        <v>24532.54</v>
      </c>
      <c r="H466" s="18">
        <v>0</v>
      </c>
      <c r="I466" s="18"/>
      <c r="J466" s="18">
        <v>847812.2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2972801.08</v>
      </c>
      <c r="G469" s="18">
        <v>51700.28</v>
      </c>
      <c r="H469" s="18">
        <f>162046.04+60600</f>
        <v>222646.04</v>
      </c>
      <c r="I469" s="18"/>
      <c r="J469" s="18">
        <v>15025.7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2972801.08</v>
      </c>
      <c r="G471" s="19">
        <f>SUM(G469:G470)</f>
        <v>51700.28</v>
      </c>
      <c r="H471" s="19">
        <f>SUM(H469:H470)</f>
        <v>222646.04</v>
      </c>
      <c r="I471" s="19">
        <f>SUM(I469:I470)</f>
        <v>0</v>
      </c>
      <c r="J471" s="19">
        <f>SUM(J469:J470)</f>
        <v>15025.7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3034279.45</v>
      </c>
      <c r="G473" s="18">
        <v>75232.28</v>
      </c>
      <c r="H473" s="18">
        <f>162046.04+16804.25</f>
        <v>178850.29</v>
      </c>
      <c r="I473" s="18"/>
      <c r="J473" s="18">
        <v>144202.26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3034279.45</v>
      </c>
      <c r="G475" s="19">
        <f>SUM(G473:G474)</f>
        <v>75232.28</v>
      </c>
      <c r="H475" s="19">
        <f>SUM(H473:H474)</f>
        <v>178850.29</v>
      </c>
      <c r="I475" s="19">
        <f>SUM(I473:I474)</f>
        <v>0</v>
      </c>
      <c r="J475" s="19">
        <f>SUM(J473:J474)</f>
        <v>144202.26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94743.370000000112</v>
      </c>
      <c r="G477" s="19">
        <f>(G466+G471)- G475</f>
        <v>1000.5400000000081</v>
      </c>
      <c r="H477" s="19">
        <f>(H466+H471)- H475</f>
        <v>43795.75</v>
      </c>
      <c r="I477" s="19">
        <f>(I466+I471)- I475</f>
        <v>0</v>
      </c>
      <c r="J477" s="19">
        <f>(J466+J471)- J475</f>
        <v>718635.6399999999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205571.56</v>
      </c>
      <c r="G522" s="18">
        <v>95699.66</v>
      </c>
      <c r="H522" s="18">
        <v>30597.56</v>
      </c>
      <c r="I522" s="18">
        <v>2159.8200000000002</v>
      </c>
      <c r="J522" s="18"/>
      <c r="K522" s="18">
        <v>2381.69</v>
      </c>
      <c r="L522" s="69">
        <f>SUM(F522:K522)</f>
        <v>336410.29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205571.56</v>
      </c>
      <c r="G525" s="81">
        <f t="shared" ref="G525:L525" si="36">SUM(G522:G524)</f>
        <v>95699.66</v>
      </c>
      <c r="H525" s="81">
        <f t="shared" si="36"/>
        <v>30597.56</v>
      </c>
      <c r="I525" s="81">
        <f t="shared" si="36"/>
        <v>2159.8200000000002</v>
      </c>
      <c r="J525" s="81">
        <f t="shared" si="36"/>
        <v>0</v>
      </c>
      <c r="K525" s="81">
        <f t="shared" si="36"/>
        <v>2381.69</v>
      </c>
      <c r="L525" s="70">
        <f t="shared" si="36"/>
        <v>336410.29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178556.86</v>
      </c>
      <c r="G527" s="18">
        <v>87015.4</v>
      </c>
      <c r="H527" s="18">
        <v>51007.57</v>
      </c>
      <c r="I527" s="18">
        <v>1127.67</v>
      </c>
      <c r="J527" s="18"/>
      <c r="K527" s="18">
        <v>1344.91</v>
      </c>
      <c r="L527" s="69">
        <f>SUM(F527:K527)</f>
        <v>319052.40999999997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178556.86</v>
      </c>
      <c r="G530" s="70">
        <f t="shared" ref="G530:L530" si="37">SUM(G527:G529)</f>
        <v>87015.4</v>
      </c>
      <c r="H530" s="70">
        <f t="shared" si="37"/>
        <v>51007.57</v>
      </c>
      <c r="I530" s="70">
        <f t="shared" si="37"/>
        <v>1127.67</v>
      </c>
      <c r="J530" s="70">
        <f t="shared" si="37"/>
        <v>0</v>
      </c>
      <c r="K530" s="70">
        <f t="shared" si="37"/>
        <v>1344.91</v>
      </c>
      <c r="L530" s="70">
        <f t="shared" si="37"/>
        <v>319052.40999999997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18305.62</v>
      </c>
      <c r="G532" s="18">
        <v>9823.24</v>
      </c>
      <c r="H532" s="18">
        <v>2416.09</v>
      </c>
      <c r="I532" s="18">
        <v>814.37</v>
      </c>
      <c r="J532" s="18"/>
      <c r="K532" s="18">
        <v>1150.27</v>
      </c>
      <c r="L532" s="69">
        <f>SUM(F532:K532)</f>
        <v>32509.59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18305.62</v>
      </c>
      <c r="G535" s="70">
        <f t="shared" ref="G535:L535" si="38">SUM(G532:G534)</f>
        <v>9823.24</v>
      </c>
      <c r="H535" s="70">
        <f t="shared" si="38"/>
        <v>2416.09</v>
      </c>
      <c r="I535" s="70">
        <f t="shared" si="38"/>
        <v>814.37</v>
      </c>
      <c r="J535" s="70">
        <f t="shared" si="38"/>
        <v>0</v>
      </c>
      <c r="K535" s="70">
        <f t="shared" si="38"/>
        <v>1150.27</v>
      </c>
      <c r="L535" s="70">
        <f t="shared" si="38"/>
        <v>32509.59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904.5</v>
      </c>
      <c r="I537" s="18"/>
      <c r="J537" s="18"/>
      <c r="K537" s="18"/>
      <c r="L537" s="69">
        <f>SUM(F537:K537)</f>
        <v>904.5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904.5</v>
      </c>
      <c r="I540" s="70">
        <f t="shared" si="39"/>
        <v>0</v>
      </c>
      <c r="J540" s="70">
        <f t="shared" si="39"/>
        <v>0</v>
      </c>
      <c r="K540" s="70">
        <f t="shared" si="39"/>
        <v>0</v>
      </c>
      <c r="L540" s="70">
        <f t="shared" si="39"/>
        <v>904.5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64455.9</v>
      </c>
      <c r="I542" s="18"/>
      <c r="J542" s="18"/>
      <c r="K542" s="18"/>
      <c r="L542" s="69">
        <f>SUM(F542:K542)</f>
        <v>64455.9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64455.9</v>
      </c>
      <c r="I545" s="141">
        <f t="shared" si="40"/>
        <v>0</v>
      </c>
      <c r="J545" s="141">
        <f t="shared" si="40"/>
        <v>0</v>
      </c>
      <c r="K545" s="141">
        <f t="shared" si="40"/>
        <v>0</v>
      </c>
      <c r="L545" s="141">
        <f t="shared" si="40"/>
        <v>64455.9</v>
      </c>
      <c r="M545" s="8"/>
      <c r="N545" s="165"/>
    </row>
    <row r="546" spans="1:14" s="3" customFormat="1" ht="12.2" customHeight="1" thickTop="1" x14ac:dyDescent="0.15">
      <c r="A546" s="75" t="s">
        <v>72</v>
      </c>
      <c r="B546" s="41">
        <v>21</v>
      </c>
      <c r="C546" s="41">
        <v>21</v>
      </c>
      <c r="D546" s="115" t="s">
        <v>432</v>
      </c>
      <c r="E546" s="41"/>
      <c r="F546" s="70">
        <f>F525+F530+F535+F540+F545</f>
        <v>402434.04</v>
      </c>
      <c r="G546" s="70">
        <f t="shared" ref="G546:L546" si="41">G525+G530+G535+G540+G545</f>
        <v>192538.3</v>
      </c>
      <c r="H546" s="70">
        <f t="shared" si="41"/>
        <v>149381.62</v>
      </c>
      <c r="I546" s="70">
        <f t="shared" si="41"/>
        <v>4101.8600000000006</v>
      </c>
      <c r="J546" s="70">
        <f t="shared" si="41"/>
        <v>0</v>
      </c>
      <c r="K546" s="70">
        <f t="shared" si="41"/>
        <v>4876.8700000000008</v>
      </c>
      <c r="L546" s="70">
        <f t="shared" si="41"/>
        <v>753332.69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336410.29</v>
      </c>
      <c r="G550" s="69">
        <f>L527</f>
        <v>319052.40999999997</v>
      </c>
      <c r="H550" s="69">
        <f>L532</f>
        <v>32509.59</v>
      </c>
      <c r="I550" s="69">
        <f>L537</f>
        <v>904.5</v>
      </c>
      <c r="J550" s="69">
        <f>L542</f>
        <v>64455.9</v>
      </c>
      <c r="K550" s="69">
        <f>SUM(F550:J550)</f>
        <v>753332.69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336410.29</v>
      </c>
      <c r="G553" s="70">
        <f t="shared" si="42"/>
        <v>319052.40999999997</v>
      </c>
      <c r="H553" s="70">
        <f t="shared" si="42"/>
        <v>32509.59</v>
      </c>
      <c r="I553" s="70">
        <f t="shared" si="42"/>
        <v>904.5</v>
      </c>
      <c r="J553" s="70">
        <f t="shared" si="42"/>
        <v>64455.9</v>
      </c>
      <c r="K553" s="70">
        <f t="shared" si="42"/>
        <v>753332.69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10036.030000000001</v>
      </c>
      <c r="G583" s="18"/>
      <c r="H583" s="18"/>
      <c r="I583" s="69">
        <f t="shared" si="47"/>
        <v>10036.030000000001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108119.58</v>
      </c>
      <c r="I592" s="18"/>
      <c r="J592" s="18"/>
      <c r="K592" s="80">
        <f t="shared" ref="K592:K598" si="48">SUM(H592:J592)</f>
        <v>108119.58</v>
      </c>
      <c r="L592" s="23" t="s">
        <v>288</v>
      </c>
      <c r="M592" s="8"/>
      <c r="N592" s="165"/>
    </row>
    <row r="593" spans="1:14" s="3" customFormat="1" ht="12.2" customHeight="1" x14ac:dyDescent="0.15">
      <c r="A593" s="3" t="s">
        <v>638</v>
      </c>
      <c r="B593" s="22">
        <v>23</v>
      </c>
      <c r="C593" s="22">
        <v>2</v>
      </c>
      <c r="D593" s="2" t="s">
        <v>432</v>
      </c>
      <c r="E593" s="22"/>
      <c r="F593" s="78">
        <v>2722</v>
      </c>
      <c r="G593" s="79" t="s">
        <v>97</v>
      </c>
      <c r="H593" s="18">
        <v>64455.9</v>
      </c>
      <c r="I593" s="18"/>
      <c r="J593" s="18"/>
      <c r="K593" s="80">
        <f t="shared" si="48"/>
        <v>64455.9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700.04</v>
      </c>
      <c r="I596" s="18"/>
      <c r="J596" s="18"/>
      <c r="K596" s="80">
        <f t="shared" si="48"/>
        <v>700.04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173275.52000000002</v>
      </c>
      <c r="I599" s="81">
        <f>SUM(I592:I598)</f>
        <v>0</v>
      </c>
      <c r="J599" s="81">
        <f>SUM(J592:J598)</f>
        <v>0</v>
      </c>
      <c r="K599" s="81">
        <f>SUM(K592:K598)</f>
        <v>173275.52000000002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890.09</v>
      </c>
      <c r="I605" s="18"/>
      <c r="J605" s="18"/>
      <c r="K605" s="80">
        <f>SUM(H605:J605)</f>
        <v>890.09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890.09</v>
      </c>
      <c r="I606" s="81">
        <f>SUM(I603:I605)</f>
        <v>0</v>
      </c>
      <c r="J606" s="81">
        <f>SUM(J603:J605)</f>
        <v>0</v>
      </c>
      <c r="K606" s="81">
        <f>SUM(K603:K605)</f>
        <v>890.09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247193.91000000003</v>
      </c>
      <c r="H618" s="80">
        <f>SUM(F52)</f>
        <v>247193.91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7831.01</v>
      </c>
      <c r="H619" s="80">
        <f>SUM(G52)</f>
        <v>7831.01</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718635.64</v>
      </c>
      <c r="H622" s="80">
        <f>SUM(J52)</f>
        <v>718635.64</v>
      </c>
      <c r="I622" s="87" t="s">
        <v>878</v>
      </c>
      <c r="J622" s="80">
        <f>G622-H622</f>
        <v>0</v>
      </c>
      <c r="K622" s="80"/>
      <c r="L622" s="80"/>
      <c r="M622" s="8"/>
    </row>
    <row r="623" spans="1:14" s="3" customFormat="1" ht="12.2" customHeight="1" x14ac:dyDescent="0.15">
      <c r="A623" s="74"/>
      <c r="B623" s="22"/>
      <c r="C623" s="22"/>
      <c r="D623" s="22"/>
      <c r="E623" s="22"/>
      <c r="F623" s="87" t="s">
        <v>864</v>
      </c>
      <c r="G623" s="80">
        <f>F51</f>
        <v>94743.37</v>
      </c>
      <c r="H623" s="80">
        <f>F477</f>
        <v>94743.370000000112</v>
      </c>
      <c r="I623" s="87" t="s">
        <v>101</v>
      </c>
      <c r="J623" s="80">
        <f t="shared" ref="J623:J656" si="50">G623-H623</f>
        <v>-1.1641532182693481E-10</v>
      </c>
      <c r="K623" s="80"/>
      <c r="L623" s="80"/>
      <c r="M623" s="8"/>
    </row>
    <row r="624" spans="1:14" s="3" customFormat="1" ht="12.2" customHeight="1" x14ac:dyDescent="0.15">
      <c r="A624" s="74"/>
      <c r="B624" s="22"/>
      <c r="C624" s="85"/>
      <c r="D624" s="85"/>
      <c r="E624" s="85"/>
      <c r="F624" s="85" t="s">
        <v>865</v>
      </c>
      <c r="G624" s="80">
        <f>G51</f>
        <v>1000.54</v>
      </c>
      <c r="H624" s="80">
        <f>G477</f>
        <v>1000.5400000000081</v>
      </c>
      <c r="I624" s="87" t="s">
        <v>102</v>
      </c>
      <c r="J624" s="80">
        <f t="shared" si="50"/>
        <v>-8.1854523159563541E-12</v>
      </c>
      <c r="K624" s="80"/>
      <c r="L624" s="80"/>
      <c r="M624" s="8"/>
    </row>
    <row r="625" spans="1:13" s="3" customFormat="1" ht="12.2" customHeight="1" x14ac:dyDescent="0.15">
      <c r="A625" s="74"/>
      <c r="B625" s="22"/>
      <c r="C625" s="22"/>
      <c r="D625" s="22"/>
      <c r="E625" s="22"/>
      <c r="F625" s="86" t="s">
        <v>866</v>
      </c>
      <c r="G625" s="80">
        <f>H51</f>
        <v>43795.75</v>
      </c>
      <c r="H625" s="80">
        <f>H477</f>
        <v>43795.75</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718635.64</v>
      </c>
      <c r="H627" s="80">
        <f>J477</f>
        <v>718635.6399999999</v>
      </c>
      <c r="I627" s="87" t="s">
        <v>105</v>
      </c>
      <c r="J627" s="80">
        <f t="shared" si="50"/>
        <v>0</v>
      </c>
      <c r="K627" s="67"/>
      <c r="L627" s="69"/>
      <c r="M627" s="8"/>
    </row>
    <row r="628" spans="1:13" s="3" customFormat="1" ht="12.2" customHeight="1" x14ac:dyDescent="0.15">
      <c r="A628" s="21"/>
      <c r="B628" s="22"/>
      <c r="C628" s="22"/>
      <c r="D628" s="22"/>
      <c r="E628" s="22"/>
      <c r="F628" s="86" t="s">
        <v>658</v>
      </c>
      <c r="G628" s="80">
        <f>F194</f>
        <v>2972801.0799999996</v>
      </c>
      <c r="H628" s="80">
        <f>SUM(F469)</f>
        <v>2972801.08</v>
      </c>
      <c r="I628" s="87" t="s">
        <v>106</v>
      </c>
      <c r="J628" s="80">
        <f>G628-H628</f>
        <v>0</v>
      </c>
      <c r="K628" s="67"/>
      <c r="L628" s="69"/>
      <c r="M628" s="8"/>
    </row>
    <row r="629" spans="1:13" s="3" customFormat="1" ht="12.2" customHeight="1" x14ac:dyDescent="0.15">
      <c r="A629" s="21"/>
      <c r="B629" s="22"/>
      <c r="C629" s="22"/>
      <c r="D629" s="22"/>
      <c r="E629" s="22"/>
      <c r="F629" s="86" t="s">
        <v>659</v>
      </c>
      <c r="G629" s="80">
        <f>G194</f>
        <v>51700.28</v>
      </c>
      <c r="H629" s="80">
        <f>SUM(G469)</f>
        <v>51700.28</v>
      </c>
      <c r="I629" s="87" t="s">
        <v>107</v>
      </c>
      <c r="J629" s="80">
        <f>G629-H629</f>
        <v>0</v>
      </c>
      <c r="K629" s="67"/>
      <c r="L629" s="69"/>
      <c r="M629" s="8"/>
    </row>
    <row r="630" spans="1:13" s="3" customFormat="1" ht="12.2" customHeight="1" x14ac:dyDescent="0.15">
      <c r="A630" s="21"/>
      <c r="B630" s="22"/>
      <c r="C630" s="22"/>
      <c r="D630" s="22"/>
      <c r="E630" s="22"/>
      <c r="F630" s="86" t="s">
        <v>660</v>
      </c>
      <c r="G630" s="80">
        <f>H194</f>
        <v>222646.04</v>
      </c>
      <c r="H630" s="80">
        <f>SUM(H469)</f>
        <v>222646.04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15025.7</v>
      </c>
      <c r="H632" s="80">
        <f>SUM(J469)</f>
        <v>15025.7</v>
      </c>
      <c r="I632" s="87" t="s">
        <v>110</v>
      </c>
      <c r="J632" s="80">
        <f>G632-H632</f>
        <v>0</v>
      </c>
      <c r="K632" s="67"/>
      <c r="L632" s="69"/>
      <c r="M632" s="8"/>
    </row>
    <row r="633" spans="1:13" s="3" customFormat="1" ht="12.2" customHeight="1" x14ac:dyDescent="0.15">
      <c r="A633" s="21"/>
      <c r="B633" s="22"/>
      <c r="C633" s="22"/>
      <c r="D633" s="22"/>
      <c r="E633" s="22"/>
      <c r="F633" s="86" t="s">
        <v>394</v>
      </c>
      <c r="G633" s="80">
        <f>SUM(L272)</f>
        <v>3034279.45</v>
      </c>
      <c r="H633" s="80">
        <f>SUM(F473)</f>
        <v>3034279.45</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178850.29</v>
      </c>
      <c r="H634" s="80">
        <f>SUM(H473)</f>
        <v>178850.29</v>
      </c>
      <c r="I634" s="87" t="s">
        <v>112</v>
      </c>
      <c r="J634" s="80">
        <f>G634-H634</f>
        <v>0</v>
      </c>
      <c r="K634" s="67"/>
      <c r="L634" s="69"/>
      <c r="M634" s="8"/>
    </row>
    <row r="635" spans="1:13" s="124" customFormat="1" ht="12.2" customHeight="1" x14ac:dyDescent="0.15">
      <c r="A635" s="21"/>
      <c r="B635" s="22"/>
      <c r="C635" s="22"/>
      <c r="D635" s="22"/>
      <c r="E635" s="22"/>
      <c r="F635" s="99" t="s">
        <v>247</v>
      </c>
      <c r="G635" s="80">
        <f>I363</f>
        <v>28032.42</v>
      </c>
      <c r="H635" s="80">
        <f>I370</f>
        <v>28032.42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75232.28</v>
      </c>
      <c r="H636" s="80">
        <f>SUM(G473)</f>
        <v>75232.28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15025.699999999997</v>
      </c>
      <c r="H638" s="108">
        <f>SUM(J469)</f>
        <v>15025.7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144202.26</v>
      </c>
      <c r="H639" s="108">
        <f>SUM(J473)</f>
        <v>144202.26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443456.96</v>
      </c>
      <c r="H640" s="80">
        <f>SUM(F462)</f>
        <v>443456.96</v>
      </c>
      <c r="I640" s="87" t="s">
        <v>840</v>
      </c>
      <c r="J640" s="80">
        <f t="shared" si="50"/>
        <v>0</v>
      </c>
      <c r="K640" s="67"/>
      <c r="L640" s="69"/>
      <c r="M640" s="8"/>
    </row>
    <row r="641" spans="1:13" s="3" customFormat="1" ht="12.2" customHeight="1" x14ac:dyDescent="0.15">
      <c r="A641" s="21"/>
      <c r="B641" s="22"/>
      <c r="C641" s="22"/>
      <c r="D641" s="22"/>
      <c r="E641" s="22"/>
      <c r="F641" s="86" t="s">
        <v>119</v>
      </c>
      <c r="G641" s="80">
        <f>SUM(G447)</f>
        <v>275178.68</v>
      </c>
      <c r="H641" s="80">
        <f>SUM(G462)</f>
        <v>275178.68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718635.64</v>
      </c>
      <c r="H643" s="80">
        <f>SUM(I462)</f>
        <v>718635.64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15025.7</v>
      </c>
      <c r="H645" s="80">
        <f>H409</f>
        <v>15025.699999999997</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15025.7</v>
      </c>
      <c r="H647" s="80">
        <f>L409</f>
        <v>15025.699999999997</v>
      </c>
      <c r="I647" s="87" t="s">
        <v>477</v>
      </c>
      <c r="J647" s="80">
        <f t="shared" si="50"/>
        <v>0</v>
      </c>
      <c r="K647" s="67"/>
      <c r="L647" s="69"/>
      <c r="M647" s="8"/>
    </row>
    <row r="648" spans="1:13" s="3" customFormat="1" ht="12.2" customHeight="1" x14ac:dyDescent="0.15">
      <c r="A648" s="21"/>
      <c r="B648" s="22"/>
      <c r="C648" s="22"/>
      <c r="D648" s="22"/>
      <c r="E648" s="22"/>
      <c r="F648" s="86" t="s">
        <v>51</v>
      </c>
      <c r="G648" s="80">
        <f>K599</f>
        <v>173275.52000000002</v>
      </c>
      <c r="H648" s="80">
        <f>L209+L227+L245</f>
        <v>173275.51999999999</v>
      </c>
      <c r="I648" s="87" t="s">
        <v>396</v>
      </c>
      <c r="J648" s="80">
        <f t="shared" si="50"/>
        <v>0</v>
      </c>
      <c r="K648" s="67"/>
      <c r="L648" s="69"/>
      <c r="M648" s="8"/>
    </row>
    <row r="649" spans="1:13" s="3" customFormat="1" ht="12.2" customHeight="1" x14ac:dyDescent="0.15">
      <c r="A649" s="21"/>
      <c r="B649" s="22"/>
      <c r="C649" s="22"/>
      <c r="D649" s="22"/>
      <c r="E649" s="22"/>
      <c r="F649" s="86" t="s">
        <v>52</v>
      </c>
      <c r="G649" s="80">
        <f>K606</f>
        <v>890.09</v>
      </c>
      <c r="H649" s="80">
        <f>(J258+J339)-(J256+J337)</f>
        <v>890.09</v>
      </c>
      <c r="I649" s="87" t="s">
        <v>699</v>
      </c>
      <c r="J649" s="80">
        <f t="shared" si="50"/>
        <v>0</v>
      </c>
      <c r="K649" s="67"/>
      <c r="L649" s="69"/>
      <c r="M649" s="8"/>
    </row>
    <row r="650" spans="1:13" s="3" customFormat="1" ht="12.2" customHeight="1" x14ac:dyDescent="0.15">
      <c r="A650" s="21"/>
      <c r="B650" s="22"/>
      <c r="C650" s="22"/>
      <c r="D650" s="22"/>
      <c r="E650" s="22"/>
      <c r="F650" s="86" t="s">
        <v>387</v>
      </c>
      <c r="G650" s="80">
        <f>L209</f>
        <v>173275.51999999999</v>
      </c>
      <c r="H650" s="80">
        <f>H599</f>
        <v>173275.52000000002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1829.72</v>
      </c>
      <c r="H653" s="80">
        <f>K264+K346</f>
        <v>1829.72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3269728.05</v>
      </c>
      <c r="G661" s="13">
        <f>(L230+L310+L360)</f>
        <v>0</v>
      </c>
      <c r="H661" s="13">
        <f>(L248+L329+L361)</f>
        <v>0</v>
      </c>
      <c r="I661" s="13">
        <f>SUM(F661:H661)</f>
        <v>3269728.05</v>
      </c>
      <c r="J661" s="13"/>
      <c r="K661" s="13"/>
      <c r="L661" s="13"/>
      <c r="M661" s="9"/>
    </row>
    <row r="662" spans="1:13" s="3" customFormat="1" ht="12.2" customHeight="1" x14ac:dyDescent="0.2">
      <c r="A662" s="1" t="s">
        <v>127</v>
      </c>
      <c r="F662" s="13">
        <f>(L359/IF(SUM(L359:L361)=0,1,SUM(L359:L361))*(SUM(G97:G110)))</f>
        <v>36581.57</v>
      </c>
      <c r="G662" s="13">
        <f>(L360/IF(SUM(L359:L361)=0,1,SUM(L359:L361))*(SUM(G97:G110)))</f>
        <v>0</v>
      </c>
      <c r="H662" s="13">
        <f>(L361/IF(SUM(L359:L361)=0,1,SUM(L359:L361))*(SUM(G97:G110)))</f>
        <v>0</v>
      </c>
      <c r="I662" s="13">
        <f>SUM(F662:H662)</f>
        <v>36581.57</v>
      </c>
      <c r="J662"/>
      <c r="K662" s="13"/>
      <c r="L662" s="13"/>
      <c r="M662" s="8"/>
    </row>
    <row r="663" spans="1:13" s="3" customFormat="1" ht="12.2" customHeight="1" x14ac:dyDescent="0.2">
      <c r="A663" s="1" t="s">
        <v>128</v>
      </c>
      <c r="F663" s="13">
        <f>(L209+L288)-(J209+J288)</f>
        <v>173275.51999999999</v>
      </c>
      <c r="G663" s="13">
        <f>(L227+L307)-(J227+J307)</f>
        <v>0</v>
      </c>
      <c r="H663" s="13">
        <f>(L245+L326)-(J245+J326)</f>
        <v>0</v>
      </c>
      <c r="I663" s="13">
        <f>SUM(F663:H663)</f>
        <v>173275.51999999999</v>
      </c>
      <c r="J663"/>
      <c r="K663" s="13"/>
      <c r="L663" s="13"/>
      <c r="M663" s="9"/>
    </row>
    <row r="664" spans="1:13" s="3" customFormat="1" ht="12.2" customHeight="1" x14ac:dyDescent="0.15">
      <c r="A664" s="142" t="s">
        <v>129</v>
      </c>
      <c r="B664" s="124"/>
      <c r="C664" s="124"/>
      <c r="D664" s="124"/>
      <c r="E664" s="124"/>
      <c r="F664" s="143">
        <f>SUM(F576:F588)+SUM(H603:H605)+SUM(L612)</f>
        <v>10926.12</v>
      </c>
      <c r="G664" s="143">
        <f>SUM(G576:G588)+SUM(I603:I605)+L613</f>
        <v>0</v>
      </c>
      <c r="H664" s="143">
        <f>SUM(H576:H588)+SUM(J603:J605)+L614</f>
        <v>0</v>
      </c>
      <c r="I664" s="13">
        <f>SUM(F664:H664)</f>
        <v>10926.12</v>
      </c>
      <c r="J664" s="13"/>
      <c r="K664" s="13"/>
      <c r="L664" s="13"/>
      <c r="M664" s="9"/>
    </row>
    <row r="665" spans="1:13" s="3" customFormat="1" ht="12.2" customHeight="1" x14ac:dyDescent="0.15">
      <c r="A665" s="1" t="s">
        <v>130</v>
      </c>
      <c r="F665" s="13">
        <f>F661-SUM(F662:F664)</f>
        <v>3048944.84</v>
      </c>
      <c r="G665" s="13">
        <f>G661-SUM(G662:G664)</f>
        <v>0</v>
      </c>
      <c r="H665" s="13">
        <f>H661-SUM(H662:H664)</f>
        <v>0</v>
      </c>
      <c r="I665" s="13">
        <f>I661-SUM(I662:I664)</f>
        <v>3048944.84</v>
      </c>
      <c r="J665" s="13"/>
      <c r="K665" s="13"/>
      <c r="L665" s="13"/>
      <c r="M665" s="8"/>
    </row>
    <row r="666" spans="1:13" s="3" customFormat="1" ht="12.2" customHeight="1" x14ac:dyDescent="0.2">
      <c r="A666" s="1" t="s">
        <v>131</v>
      </c>
      <c r="F666" s="183">
        <v>130.28</v>
      </c>
      <c r="G666" s="184"/>
      <c r="H666" s="184"/>
      <c r="I666" s="13">
        <f>SUM(F666:H666)</f>
        <v>130.28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23403.02</v>
      </c>
      <c r="G668" s="13" t="e">
        <f>ROUND(G665/G666,2)</f>
        <v>#DIV/0!</v>
      </c>
      <c r="H668" s="13" t="e">
        <f>ROUND(H665/H666,2)</f>
        <v>#DIV/0!</v>
      </c>
      <c r="I668" s="13">
        <f>ROUND(I665/I666,2)</f>
        <v>23403.02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23403.02</v>
      </c>
      <c r="G673" s="13" t="e">
        <f>ROUND((G665+G670)/(G666+G671),2)</f>
        <v>#DIV/0!</v>
      </c>
      <c r="H673" s="13" t="e">
        <f>ROUND((H665+H670)/(H666+H671),2)</f>
        <v>#DIV/0!</v>
      </c>
      <c r="I673" s="13">
        <f>ROUND((I665+I670)/(I666+I671),2)</f>
        <v>23403.02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21800.6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5629.68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16170.92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9111.39</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East Kingston</v>
      </c>
      <c r="C5" s="317"/>
      <c r="D5" s="317"/>
      <c r="E5" s="317"/>
      <c r="F5" s="317"/>
    </row>
    <row r="8" spans="1:9" ht="18" x14ac:dyDescent="0.25">
      <c r="A8" s="240" t="s">
        <v>1560</v>
      </c>
      <c r="F8" s="247" t="s">
        <v>1578</v>
      </c>
    </row>
    <row r="9" spans="1:9" ht="15" x14ac:dyDescent="0.2">
      <c r="A9" s="238" t="s">
        <v>1561</v>
      </c>
      <c r="B9" s="241">
        <f>'DOE25'!G97</f>
        <v>30365.1</v>
      </c>
      <c r="F9" s="238" t="s">
        <v>1574</v>
      </c>
    </row>
    <row r="10" spans="1:9" ht="15" x14ac:dyDescent="0.2">
      <c r="A10" s="238" t="s">
        <v>1562</v>
      </c>
      <c r="B10" s="241">
        <f>'DOE25'!G112-'DOE25'!G97</f>
        <v>6216.4700000000012</v>
      </c>
      <c r="F10" s="238" t="s">
        <v>1575</v>
      </c>
    </row>
    <row r="11" spans="1:9" ht="15" x14ac:dyDescent="0.2">
      <c r="A11" s="238" t="s">
        <v>1563</v>
      </c>
      <c r="B11" s="241">
        <f>'DOE25'!G140</f>
        <v>1463.34</v>
      </c>
      <c r="F11" s="238" t="s">
        <v>1576</v>
      </c>
    </row>
    <row r="12" spans="1:9" ht="15" x14ac:dyDescent="0.2">
      <c r="A12" s="238" t="s">
        <v>1564</v>
      </c>
      <c r="B12" s="241">
        <f>'DOE25'!G170</f>
        <v>11825.65</v>
      </c>
      <c r="F12" s="238" t="s">
        <v>1577</v>
      </c>
    </row>
    <row r="13" spans="1:9" ht="15" x14ac:dyDescent="0.2">
      <c r="A13" s="238" t="s">
        <v>1565</v>
      </c>
      <c r="B13" s="241">
        <f>'DOE25'!G193-'DOE25'!G180</f>
        <v>0</v>
      </c>
      <c r="F13" s="238" t="s">
        <v>1587</v>
      </c>
    </row>
    <row r="14" spans="1:9" ht="18" x14ac:dyDescent="0.25">
      <c r="A14" s="240" t="s">
        <v>732</v>
      </c>
      <c r="B14" s="242">
        <f>SUM(B9:B13)</f>
        <v>49870.559999999998</v>
      </c>
    </row>
    <row r="16" spans="1:9" ht="18" x14ac:dyDescent="0.25">
      <c r="A16" s="240" t="s">
        <v>786</v>
      </c>
      <c r="F16" s="247" t="s">
        <v>1579</v>
      </c>
    </row>
    <row r="17" spans="1:6" ht="15" x14ac:dyDescent="0.2">
      <c r="A17" s="238" t="s">
        <v>1566</v>
      </c>
      <c r="B17" s="241">
        <f>'DOE25'!L363-'DOE25'!L362</f>
        <v>75232.28</v>
      </c>
      <c r="F17" s="238" t="s">
        <v>1580</v>
      </c>
    </row>
    <row r="18" spans="1:6" ht="15" x14ac:dyDescent="0.2">
      <c r="A18" s="238" t="s">
        <v>1567</v>
      </c>
      <c r="B18" s="251"/>
      <c r="F18" s="247" t="s">
        <v>1604</v>
      </c>
    </row>
    <row r="19" spans="1:6" ht="18" x14ac:dyDescent="0.25">
      <c r="A19" s="240" t="s">
        <v>725</v>
      </c>
      <c r="B19" s="242">
        <f>SUM(B17:B18)</f>
        <v>75232.28</v>
      </c>
    </row>
    <row r="21" spans="1:6" ht="18.75" thickBot="1" x14ac:dyDescent="0.3">
      <c r="A21" s="240" t="s">
        <v>1568</v>
      </c>
    </row>
    <row r="22" spans="1:6" ht="18.75" thickTop="1" x14ac:dyDescent="0.25">
      <c r="A22" s="240" t="s">
        <v>1569</v>
      </c>
      <c r="B22" s="246">
        <f>B14-B19</f>
        <v>-25361.72</v>
      </c>
      <c r="F22" s="238" t="s">
        <v>1581</v>
      </c>
    </row>
    <row r="26" spans="1:6" ht="18" x14ac:dyDescent="0.25">
      <c r="A26" s="240" t="s">
        <v>186</v>
      </c>
    </row>
    <row r="27" spans="1:6" ht="15" x14ac:dyDescent="0.2">
      <c r="A27" s="238" t="s">
        <v>1570</v>
      </c>
      <c r="B27" s="241">
        <f>'DOE25'!G180</f>
        <v>1829.72</v>
      </c>
      <c r="F27" s="238" t="s">
        <v>1582</v>
      </c>
    </row>
    <row r="28" spans="1:6" ht="15" x14ac:dyDescent="0.2">
      <c r="A28" s="238" t="s">
        <v>1572</v>
      </c>
      <c r="B28" s="241">
        <f>'DOE25'!L362</f>
        <v>0</v>
      </c>
      <c r="F28" s="238" t="s">
        <v>1583</v>
      </c>
    </row>
    <row r="31" spans="1:6" ht="15" x14ac:dyDescent="0.2">
      <c r="A31" s="238" t="s">
        <v>1797</v>
      </c>
      <c r="B31" s="241">
        <f>'DOE25'!G466</f>
        <v>24532.54</v>
      </c>
      <c r="F31" s="238" t="s">
        <v>1584</v>
      </c>
    </row>
    <row r="33" spans="1:6" ht="15" x14ac:dyDescent="0.2">
      <c r="A33" s="238" t="s">
        <v>1798</v>
      </c>
      <c r="B33" s="241">
        <f>'DOE25'!G477</f>
        <v>1000.5400000000081</v>
      </c>
      <c r="F33" s="238" t="s">
        <v>1585</v>
      </c>
    </row>
    <row r="36" spans="1:6" ht="15" x14ac:dyDescent="0.2">
      <c r="A36" s="238" t="s">
        <v>1571</v>
      </c>
      <c r="B36" s="252">
        <v>7721.07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East Kingston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1023674.18</v>
      </c>
      <c r="C9" s="167">
        <f>'DOE25'!G198+'DOE25'!G216+'DOE25'!G234+'DOE25'!G277+'DOE25'!G296+'DOE25'!G315</f>
        <v>490618.69</v>
      </c>
    </row>
    <row r="10" spans="1:3" x14ac:dyDescent="0.2">
      <c r="A10" t="s">
        <v>775</v>
      </c>
      <c r="B10" s="177">
        <v>921057.87</v>
      </c>
      <c r="C10" s="177">
        <f>(B10/B9)*C9</f>
        <v>441437.53395596077</v>
      </c>
    </row>
    <row r="11" spans="1:3" x14ac:dyDescent="0.2">
      <c r="A11" t="s">
        <v>776</v>
      </c>
      <c r="B11" s="177">
        <f>82307.63</f>
        <v>82307.63</v>
      </c>
      <c r="C11" s="177">
        <f>(B11/B9)*C9</f>
        <v>39447.768046278841</v>
      </c>
    </row>
    <row r="12" spans="1:3" x14ac:dyDescent="0.2">
      <c r="A12" t="s">
        <v>777</v>
      </c>
      <c r="B12" s="177">
        <f>15984.98+4323.7</f>
        <v>20308.68</v>
      </c>
      <c r="C12" s="177">
        <f>(B12/B9)*C9</f>
        <v>9733.387997760381</v>
      </c>
    </row>
    <row r="13" spans="1:3" x14ac:dyDescent="0.2">
      <c r="A13" t="str">
        <f>IF(B9=B13,IF(C9=C13,"Check Total OK","Check Total Error"),"Check Total Error")</f>
        <v>Check Total OK</v>
      </c>
      <c r="B13" s="169">
        <f>SUM(B10:B12)</f>
        <v>1023674.18</v>
      </c>
      <c r="C13" s="169">
        <f>SUM(C10:C12)</f>
        <v>490618.69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243712.06</v>
      </c>
      <c r="C18" s="167">
        <f>'DOE25'!G199+'DOE25'!G217+'DOE25'!G235+'DOE25'!G278+'DOE25'!G297+'DOE25'!G316</f>
        <v>108109.99</v>
      </c>
    </row>
    <row r="19" spans="1:3" x14ac:dyDescent="0.2">
      <c r="A19" t="s">
        <v>775</v>
      </c>
      <c r="B19" s="177">
        <f>101808.89+11340+38140.5</f>
        <v>151289.39000000001</v>
      </c>
      <c r="C19" s="177">
        <f>(B19/B18)*C18</f>
        <v>67111.551393911752</v>
      </c>
    </row>
    <row r="20" spans="1:3" x14ac:dyDescent="0.2">
      <c r="A20" t="s">
        <v>776</v>
      </c>
      <c r="B20" s="177">
        <v>92422.67</v>
      </c>
      <c r="C20" s="177">
        <f>(B20/B18)*C18</f>
        <v>40998.438606088268</v>
      </c>
    </row>
    <row r="21" spans="1:3" x14ac:dyDescent="0.2">
      <c r="A21" t="s">
        <v>777</v>
      </c>
      <c r="B21" s="177"/>
      <c r="C21" s="177"/>
    </row>
    <row r="22" spans="1:3" x14ac:dyDescent="0.2">
      <c r="A22" t="str">
        <f>IF(B18=B22,IF(C18=C22,"Check Total OK","Check Total Error"),"Check Total Error")</f>
        <v>Check Total OK</v>
      </c>
      <c r="B22" s="169">
        <f>SUM(B19:B21)</f>
        <v>243712.06</v>
      </c>
      <c r="C22" s="169">
        <f>SUM(C19:C21)</f>
        <v>108109.99000000002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3000</v>
      </c>
      <c r="C36" s="173">
        <f>'DOE25'!G201+'DOE25'!G219+'DOE25'!G237+'DOE25'!G280+'DOE25'!G299+'DOE25'!G318</f>
        <v>964.4</v>
      </c>
    </row>
    <row r="37" spans="1:3" x14ac:dyDescent="0.2">
      <c r="A37" t="s">
        <v>775</v>
      </c>
      <c r="B37" s="177">
        <v>3000</v>
      </c>
      <c r="C37" s="177">
        <v>964.4</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3000</v>
      </c>
      <c r="C40" s="169">
        <f>SUM(C37:C39)</f>
        <v>964.4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23" activePane="bottomLeft" state="frozen"/>
      <selection activeCell="F46" sqref="F46"/>
      <selection pane="bottomLeft" activeCell="O41" sqref="O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East Kingston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1889963.69</v>
      </c>
      <c r="D5" s="19">
        <f>SUM('DOE25'!L198:L201)+SUM('DOE25'!L216:L219)+SUM('DOE25'!L234:L237)-F5-G5-H5</f>
        <v>1870304.2</v>
      </c>
      <c r="E5" s="180"/>
      <c r="F5" s="181"/>
      <c r="G5" s="19">
        <f>SUM('DOE25'!J198:J201)+SUM('DOE25'!J216:J219)+SUM('DOE25'!J234:J237)</f>
        <v>660.97</v>
      </c>
      <c r="H5" s="19">
        <f>SUM('DOE25'!K198:K201)+SUM('DOE25'!K216:K219)+SUM('DOE25'!K234:K237)</f>
        <v>18998.52</v>
      </c>
      <c r="I5" s="192"/>
    </row>
    <row r="6" spans="1:9" x14ac:dyDescent="0.2">
      <c r="A6" s="31">
        <v>2100</v>
      </c>
      <c r="B6" t="s">
        <v>796</v>
      </c>
      <c r="C6" s="206">
        <f t="shared" si="0"/>
        <v>319052.40999999997</v>
      </c>
      <c r="D6" s="19">
        <f>'DOE25'!L203+'DOE25'!L221+'DOE25'!L239-F6-G6-H6</f>
        <v>317707.5</v>
      </c>
      <c r="E6" s="180"/>
      <c r="F6" s="181"/>
      <c r="G6" s="19">
        <f>'DOE25'!J203+'DOE25'!J221+'DOE25'!J239</f>
        <v>0</v>
      </c>
      <c r="H6" s="19">
        <f>'DOE25'!K203+'DOE25'!K221+'DOE25'!K239</f>
        <v>1344.91</v>
      </c>
      <c r="I6" s="192"/>
    </row>
    <row r="7" spans="1:9" x14ac:dyDescent="0.2">
      <c r="A7" s="31">
        <v>2200</v>
      </c>
      <c r="B7" t="s">
        <v>820</v>
      </c>
      <c r="C7" s="206">
        <f t="shared" si="0"/>
        <v>84040.67</v>
      </c>
      <c r="D7" s="19">
        <f>'DOE25'!L204+'DOE25'!L222+'DOE25'!L240-F7-G7-H7</f>
        <v>82817.25</v>
      </c>
      <c r="E7" s="180"/>
      <c r="F7" s="181"/>
      <c r="G7" s="19">
        <f>'DOE25'!J204+'DOE25'!J222+'DOE25'!J240</f>
        <v>0</v>
      </c>
      <c r="H7" s="19">
        <f>'DOE25'!K204+'DOE25'!K222+'DOE25'!K240</f>
        <v>1223.42</v>
      </c>
      <c r="I7" s="192"/>
    </row>
    <row r="8" spans="1:9" x14ac:dyDescent="0.2">
      <c r="A8" s="31">
        <v>2300</v>
      </c>
      <c r="B8" t="s">
        <v>797</v>
      </c>
      <c r="C8" s="206">
        <f t="shared" si="0"/>
        <v>-11923.359999999993</v>
      </c>
      <c r="D8" s="180"/>
      <c r="E8" s="19">
        <f>'DOE25'!L205+'DOE25'!L223+'DOE25'!L241-F8-G8-H8-D9-D11</f>
        <v>-11923.359999999993</v>
      </c>
      <c r="F8" s="181"/>
      <c r="G8" s="19">
        <f>'DOE25'!J205+'DOE25'!J223+'DOE25'!J241</f>
        <v>0</v>
      </c>
      <c r="H8" s="19">
        <f>'DOE25'!K205+'DOE25'!K223+'DOE25'!K241</f>
        <v>0</v>
      </c>
      <c r="I8" s="192"/>
    </row>
    <row r="9" spans="1:9" ht="14.25" x14ac:dyDescent="0.2">
      <c r="A9" s="31">
        <v>2310</v>
      </c>
      <c r="B9" s="71" t="s">
        <v>887</v>
      </c>
      <c r="C9" s="206">
        <f t="shared" si="0"/>
        <v>86702.42</v>
      </c>
      <c r="D9" s="181">
        <v>86702.42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18719.099999999999</v>
      </c>
      <c r="D11" s="181">
        <v>18719.099999999999</v>
      </c>
      <c r="E11" s="180"/>
      <c r="F11" s="180"/>
      <c r="G11" s="180"/>
      <c r="H11" s="180"/>
      <c r="I11" s="192"/>
    </row>
    <row r="12" spans="1:9" x14ac:dyDescent="0.2">
      <c r="A12" s="31">
        <v>2400</v>
      </c>
      <c r="B12" t="s">
        <v>711</v>
      </c>
      <c r="C12" s="206">
        <f t="shared" si="0"/>
        <v>265838.77</v>
      </c>
      <c r="D12" s="19">
        <f>'DOE25'!L206+'DOE25'!L224+'DOE25'!L242-F12-G12-H12</f>
        <v>256410.32</v>
      </c>
      <c r="E12" s="180"/>
      <c r="F12" s="181"/>
      <c r="G12" s="19">
        <f>'DOE25'!J206+'DOE25'!J224+'DOE25'!J242</f>
        <v>0</v>
      </c>
      <c r="H12" s="19">
        <f>'DOE25'!K206+'DOE25'!K224+'DOE25'!K242</f>
        <v>9428.4500000000007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206780.51</v>
      </c>
      <c r="D14" s="19">
        <f>'DOE25'!L208+'DOE25'!L226+'DOE25'!L244-F14-G14-H14</f>
        <v>206551.39</v>
      </c>
      <c r="E14" s="180"/>
      <c r="F14" s="181"/>
      <c r="G14" s="19">
        <f>'DOE25'!J208+'DOE25'!J226+'DOE25'!J244</f>
        <v>229.12</v>
      </c>
      <c r="H14" s="19">
        <f>'DOE25'!K208+'DOE25'!K226+'DOE25'!K244</f>
        <v>0</v>
      </c>
      <c r="I14" s="192"/>
    </row>
    <row r="15" spans="1:9" x14ac:dyDescent="0.2">
      <c r="A15" s="31">
        <v>2700</v>
      </c>
      <c r="B15" t="s">
        <v>799</v>
      </c>
      <c r="C15" s="206">
        <f t="shared" si="0"/>
        <v>173275.51999999999</v>
      </c>
      <c r="D15" s="19">
        <f>'DOE25'!L209+'DOE25'!L227+'DOE25'!L245-F15-G15-H15</f>
        <v>65155.939999999988</v>
      </c>
      <c r="E15" s="180"/>
      <c r="F15" s="181">
        <v>108119.58</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49102.69</v>
      </c>
      <c r="D29" s="212">
        <f>'DOE25'!L359+'DOE25'!L360+'DOE25'!L361-'DOE25'!I368-F29-G29-H29-F39</f>
        <v>49102.69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162046.04</v>
      </c>
      <c r="D31" s="19">
        <f>'DOE25'!L291+'DOE25'!L310+'DOE25'!L329+'DOE25'!L334+'DOE25'!L335+'DOE25'!L336-F31-G31-H31</f>
        <v>161151.21000000002</v>
      </c>
      <c r="E31" s="180"/>
      <c r="F31" s="181"/>
      <c r="G31" s="19">
        <f>'DOE25'!J291+'DOE25'!J310+'DOE25'!J329+'DOE25'!J334+'DOE25'!J335+'DOE25'!J336</f>
        <v>0</v>
      </c>
      <c r="H31" s="19">
        <f>'DOE25'!K291+'DOE25'!K310+'DOE25'!K329+'DOE25'!K334+'DOE25'!K335+'DOE25'!K336</f>
        <v>894.82999999999993</v>
      </c>
      <c r="I31" s="192"/>
    </row>
    <row r="32" spans="1:9" ht="12" thickBot="1" x14ac:dyDescent="0.25">
      <c r="C32" s="207"/>
      <c r="G32" s="188"/>
      <c r="H32" s="188"/>
      <c r="I32" s="194"/>
    </row>
    <row r="33" spans="1:9" ht="12" thickTop="1" x14ac:dyDescent="0.2">
      <c r="B33" t="s">
        <v>809</v>
      </c>
      <c r="D33" s="182">
        <f t="shared" ref="D33:I33" si="1">SUM(D5:D31)</f>
        <v>3114622.02</v>
      </c>
      <c r="E33" s="182">
        <f t="shared" si="1"/>
        <v>-11923.359999999993</v>
      </c>
      <c r="F33" s="182">
        <f t="shared" si="1"/>
        <v>108119.58</v>
      </c>
      <c r="G33" s="182">
        <f t="shared" si="1"/>
        <v>890.09</v>
      </c>
      <c r="H33" s="182">
        <f t="shared" si="1"/>
        <v>31890.129999999997</v>
      </c>
      <c r="I33" s="182">
        <f t="shared" si="1"/>
        <v>0</v>
      </c>
    </row>
    <row r="34" spans="1:9" ht="12" thickBot="1" x14ac:dyDescent="0.25"/>
    <row r="35" spans="1:9" ht="12" thickBot="1" x14ac:dyDescent="0.25">
      <c r="B35" s="188" t="s">
        <v>830</v>
      </c>
      <c r="D35" s="189">
        <f>E33</f>
        <v>-11923.359999999993</v>
      </c>
      <c r="E35" s="185"/>
      <c r="F35" s="295" t="s">
        <v>1608</v>
      </c>
      <c r="G35" s="296"/>
      <c r="H35" s="296"/>
      <c r="I35" s="297"/>
    </row>
    <row r="36" spans="1:9" ht="12" thickTop="1" x14ac:dyDescent="0.2">
      <c r="B36" t="s">
        <v>810</v>
      </c>
      <c r="D36" s="19">
        <f>D33</f>
        <v>3114622.02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t="s">
        <v>1812</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East Kingston</v>
      </c>
      <c r="B2">
        <f>'DOE25'!B2</f>
        <v>153</v>
      </c>
      <c r="J2" s="224" t="s">
        <v>1808</v>
      </c>
      <c r="K2" s="309">
        <f>SUM('DOE25'!L198:L201)+SUM('DOE25'!L216:L219)+SUM('DOE25'!L234:L237)+SUM('DOE25'!L277:L280)+SUM('DOE25'!L296:L299)+SUM('DOE25'!L315:L318)</f>
        <v>2049009.73</v>
      </c>
      <c r="L2" s="309">
        <f>'DOE25'!L203+'DOE25'!L221+'DOE25'!L239+'DOE25'!L282+'DOE25'!L301+'DOE25'!L320</f>
        <v>319052.40999999997</v>
      </c>
      <c r="M2" s="309">
        <f>'DOE25'!L204+'DOE25'!L222+'DOE25'!L240+'DOE25'!L283+'DOE25'!L302+'DOE25'!L321</f>
        <v>84040.67</v>
      </c>
      <c r="N2" s="309">
        <f>'DOE25'!L206+'DOE25'!L224+'DOE25'!L242+'DOE25'!L285+'DOE25'!L304+'DOE25'!L323</f>
        <v>265838.77</v>
      </c>
      <c r="O2" s="309">
        <f>'Salaries-Benefits'!B10+'Salaries-Benefits'!B12+'Salaries-Benefits'!B19+'Salaries-Benefits'!B21+'Salaries-Benefits'!B28+'Salaries-Benefits'!B30+'Salaries-Benefits'!B37+'Salaries-Benefits'!B39</f>
        <v>1095655.94</v>
      </c>
      <c r="P2" s="309">
        <f>'Salaries-Benefits'!B11+'Salaries-Benefits'!B20+'Salaries-Benefits'!B29+'Salaries-Benefits'!B38</f>
        <v>174730.3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3194495.77</v>
      </c>
      <c r="G4" s="229">
        <f>'DOE25'!L212+'DOE25'!L291</f>
        <v>3194495.77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6083.55</v>
      </c>
      <c r="E5" s="220"/>
      <c r="F5" s="232">
        <f>D5+E5</f>
        <v>6083.55</v>
      </c>
      <c r="G5" s="223"/>
      <c r="H5" s="223"/>
      <c r="J5" s="223"/>
      <c r="K5" s="223"/>
      <c r="L5" s="223"/>
      <c r="M5" s="223"/>
      <c r="N5" s="223"/>
      <c r="O5" s="223"/>
      <c r="P5" s="223"/>
      <c r="Q5" s="223"/>
    </row>
    <row r="6" spans="1:21" x14ac:dyDescent="0.2">
      <c r="A6" t="str" cm="1">
        <f t="array" ref="A6">IFERROR(INDEX('School Tables'!$A$4:$G$325,'School Tables'!$J4,3),"")</f>
        <v>East Kingston Elementary School</v>
      </c>
      <c r="B6" s="230">
        <f>IFERROR(VLOOKUP(A6,'School Tables'!$C$3:$D$365,2,FALSE),"")</f>
        <v>20565</v>
      </c>
      <c r="C6" s="223" t="str">
        <f>IFERROR(INDEX('School Tables'!$B$3:$B$365,MATCH('School Level Expenditures'!B6,'School Tables'!$D$3:$D$365,0)),"")</f>
        <v>East Kingston</v>
      </c>
      <c r="D6" s="220">
        <v>3026366.18</v>
      </c>
      <c r="E6" s="220">
        <v>162046.04</v>
      </c>
      <c r="F6" s="232">
        <f t="shared" ref="F6:F20" si="1">D6+E6</f>
        <v>3188412.22</v>
      </c>
      <c r="G6" s="223"/>
      <c r="H6" s="223"/>
      <c r="J6" t="str">
        <f>A6</f>
        <v>East Kingston Elementary School</v>
      </c>
      <c r="K6" s="20">
        <v>2049009.73</v>
      </c>
      <c r="L6" s="20">
        <v>319052.40999999997</v>
      </c>
      <c r="M6" s="308">
        <v>84040.67</v>
      </c>
      <c r="N6" s="20">
        <v>265838.77</v>
      </c>
      <c r="O6" s="20">
        <v>1095655.94</v>
      </c>
      <c r="P6" s="20">
        <v>174730.3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3032449.73</v>
      </c>
      <c r="E21" s="262">
        <f>SUM(E5:E20)</f>
        <v>162046.04</v>
      </c>
      <c r="F21" s="217"/>
      <c r="G21" s="217"/>
      <c r="H21" s="217"/>
      <c r="K21" s="263">
        <f t="shared" ref="K21:Q21" si="3">SUM(K5:K20)</f>
        <v>2049009.73</v>
      </c>
      <c r="L21" s="263">
        <f t="shared" si="3"/>
        <v>319052.40999999997</v>
      </c>
      <c r="M21" s="263">
        <f t="shared" si="3"/>
        <v>84040.67</v>
      </c>
      <c r="N21" s="263">
        <f t="shared" si="3"/>
        <v>265838.77</v>
      </c>
      <c r="O21" s="263">
        <f t="shared" si="3"/>
        <v>1095655.94</v>
      </c>
      <c r="P21" s="263">
        <f t="shared" si="3"/>
        <v>174730.3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East Kingston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195569.6</v>
      </c>
      <c r="D8" s="73">
        <f>'DOE25'!G9</f>
        <v>0</v>
      </c>
      <c r="E8" s="73">
        <f>'DOE25'!H9</f>
        <v>0</v>
      </c>
      <c r="F8" s="73">
        <f>'DOE25'!I9</f>
        <v>0</v>
      </c>
      <c r="G8" s="73">
        <f>'DOE25'!J9</f>
        <v>0</v>
      </c>
      <c r="H8" s="13">
        <f>SUM(C8:G8)</f>
        <v>195569.6</v>
      </c>
      <c r="I8" s="90"/>
    </row>
    <row r="9" spans="1:9" x14ac:dyDescent="0.2">
      <c r="A9" s="1" t="s">
        <v>140</v>
      </c>
      <c r="B9" s="6">
        <v>110</v>
      </c>
      <c r="C9" s="73">
        <f>'DOE25'!F10</f>
        <v>4170.17</v>
      </c>
      <c r="D9" s="73">
        <f>'DOE25'!G10</f>
        <v>0</v>
      </c>
      <c r="E9" s="73">
        <f>'DOE25'!H10</f>
        <v>0</v>
      </c>
      <c r="F9" s="73">
        <f>'DOE25'!I10</f>
        <v>0</v>
      </c>
      <c r="G9" s="73">
        <f>'DOE25'!J10</f>
        <v>718635.64</v>
      </c>
      <c r="H9" s="13">
        <f t="shared" ref="H9:H18" si="0">SUM(C9:G9)</f>
        <v>722805.81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47454.14</v>
      </c>
      <c r="D11" s="73">
        <f>'DOE25'!G12</f>
        <v>7831.01</v>
      </c>
      <c r="E11" s="73">
        <f>'DOE25'!H12</f>
        <v>0</v>
      </c>
      <c r="F11" s="73">
        <f>'DOE25'!I12</f>
        <v>0</v>
      </c>
      <c r="G11" s="73">
        <f>'DOE25'!J12</f>
        <v>0</v>
      </c>
      <c r="H11" s="13">
        <f t="shared" si="0"/>
        <v>55285.15</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247193.91000000003</v>
      </c>
      <c r="D18" s="38">
        <f>SUM(D8:D17)</f>
        <v>7831.01</v>
      </c>
      <c r="E18" s="38">
        <f>SUM(E8:E17)</f>
        <v>0</v>
      </c>
      <c r="F18" s="38">
        <f>SUM(F8:F17)</f>
        <v>0</v>
      </c>
      <c r="G18" s="38">
        <f>SUM(G8:G17)</f>
        <v>718635.64</v>
      </c>
      <c r="H18" s="38">
        <f t="shared" si="0"/>
        <v>973660.56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40509.24</v>
      </c>
      <c r="D21" s="73">
        <f>'DOE25'!G22</f>
        <v>6830.47</v>
      </c>
      <c r="E21" s="73">
        <f>'DOE25'!H22</f>
        <v>-43795.75</v>
      </c>
      <c r="F21" s="73">
        <f>'DOE25'!I22</f>
        <v>0</v>
      </c>
      <c r="G21" s="73">
        <f>'DOE25'!J22</f>
        <v>0</v>
      </c>
      <c r="H21" s="13">
        <f t="shared" ref="H21:H31" si="1">SUM(C21:G21)</f>
        <v>3543.9599999999991</v>
      </c>
      <c r="I21" s="90"/>
    </row>
    <row r="22" spans="1:9" x14ac:dyDescent="0.2">
      <c r="A22" s="1" t="s">
        <v>151</v>
      </c>
      <c r="B22" s="6">
        <v>410</v>
      </c>
      <c r="C22" s="73">
        <f>'DOE25'!F23</f>
        <v>67164.67</v>
      </c>
      <c r="D22" s="73">
        <f>'DOE25'!G23</f>
        <v>0</v>
      </c>
      <c r="E22" s="73">
        <f>'DOE25'!H23</f>
        <v>0</v>
      </c>
      <c r="F22" s="73">
        <f>'DOE25'!I23</f>
        <v>0</v>
      </c>
      <c r="G22" s="73">
        <f>'DOE25'!J23</f>
        <v>0</v>
      </c>
      <c r="H22" s="13">
        <f t="shared" si="1"/>
        <v>67164.67</v>
      </c>
      <c r="I22" s="90"/>
    </row>
    <row r="23" spans="1:9" x14ac:dyDescent="0.2">
      <c r="A23" s="1" t="s">
        <v>152</v>
      </c>
      <c r="B23" s="6">
        <v>420</v>
      </c>
      <c r="C23" s="73">
        <f>'DOE25'!F24</f>
        <v>44776.63</v>
      </c>
      <c r="D23" s="73">
        <f>'DOE25'!G24</f>
        <v>0</v>
      </c>
      <c r="E23" s="73">
        <f>'DOE25'!H24</f>
        <v>0</v>
      </c>
      <c r="F23" s="73">
        <f>'DOE25'!I24</f>
        <v>0</v>
      </c>
      <c r="G23" s="73">
        <f>'DOE25'!J24</f>
        <v>0</v>
      </c>
      <c r="H23" s="13">
        <f t="shared" si="1"/>
        <v>44776.63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152450.54</v>
      </c>
      <c r="D31" s="38">
        <f>SUM(D21:D30)</f>
        <v>6830.47</v>
      </c>
      <c r="E31" s="38">
        <f>SUM(E21:E30)</f>
        <v>-43795.75</v>
      </c>
      <c r="F31" s="38">
        <f>SUM(F21:F30)</f>
        <v>0</v>
      </c>
      <c r="G31" s="38">
        <f>SUM(G21:G30)</f>
        <v>0</v>
      </c>
      <c r="H31" s="38">
        <f t="shared" si="1"/>
        <v>115485.26000000001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1000.54</v>
      </c>
      <c r="E47" s="73">
        <f>'DOE25'!H48</f>
        <v>43795.75</v>
      </c>
      <c r="F47" s="73">
        <f>'DOE25'!I48</f>
        <v>0</v>
      </c>
      <c r="G47" s="73">
        <f>'DOE25'!J48</f>
        <v>718635.64</v>
      </c>
      <c r="H47" s="13">
        <f t="shared" si="2"/>
        <v>763431.93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94743.37</v>
      </c>
      <c r="D49" s="23" t="s">
        <v>288</v>
      </c>
      <c r="E49" s="23" t="s">
        <v>288</v>
      </c>
      <c r="F49" s="23" t="s">
        <v>288</v>
      </c>
      <c r="G49" s="23" t="s">
        <v>288</v>
      </c>
      <c r="H49" s="13">
        <f t="shared" si="2"/>
        <v>94743.37</v>
      </c>
      <c r="I49" s="90"/>
    </row>
    <row r="50" spans="1:9" ht="12.75" thickTop="1" thickBot="1" x14ac:dyDescent="0.25">
      <c r="A50" s="35" t="s">
        <v>883</v>
      </c>
      <c r="B50" s="44"/>
      <c r="C50" s="38">
        <f>SUM(C34:C49)</f>
        <v>94743.37</v>
      </c>
      <c r="D50" s="38">
        <f>SUM(D34:D49)</f>
        <v>1000.54</v>
      </c>
      <c r="E50" s="38">
        <f>SUM(E34:E49)</f>
        <v>43795.75</v>
      </c>
      <c r="F50" s="38">
        <f>SUM(F34:F49)</f>
        <v>0</v>
      </c>
      <c r="G50" s="38">
        <f>SUM(G34:G49)</f>
        <v>718635.64</v>
      </c>
      <c r="H50" s="38">
        <f t="shared" si="2"/>
        <v>858175.3</v>
      </c>
      <c r="I50" s="90"/>
    </row>
    <row r="51" spans="1:9" ht="12" thickTop="1" x14ac:dyDescent="0.2">
      <c r="A51" s="35" t="s">
        <v>884</v>
      </c>
      <c r="B51" s="2"/>
      <c r="C51" s="38">
        <f>C50+C31</f>
        <v>247193.91</v>
      </c>
      <c r="D51" s="38">
        <f>D50+D31</f>
        <v>7831.01</v>
      </c>
      <c r="E51" s="38">
        <f>E50+E31</f>
        <v>0</v>
      </c>
      <c r="F51" s="38">
        <f>F50+F31</f>
        <v>0</v>
      </c>
      <c r="G51" s="38">
        <f>G50+G31</f>
        <v>718635.64</v>
      </c>
      <c r="H51" s="38">
        <f t="shared" si="2"/>
        <v>973660.56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2273099</v>
      </c>
      <c r="D56" s="73">
        <f>'DOE25'!G60</f>
        <v>0</v>
      </c>
      <c r="E56" s="73">
        <f>'DOE25'!H60</f>
        <v>0</v>
      </c>
      <c r="F56" s="73">
        <f>'DOE25'!I60</f>
        <v>0</v>
      </c>
      <c r="G56" s="73">
        <f>'DOE25'!J60</f>
        <v>0</v>
      </c>
      <c r="H56" s="13">
        <f t="shared" ref="H56:H63" si="3">SUM(C56:G56)</f>
        <v>2273099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7514.94</v>
      </c>
      <c r="D59" s="73">
        <f>'DOE25'!G96</f>
        <v>0</v>
      </c>
      <c r="E59" s="73">
        <f>'DOE25'!H96</f>
        <v>0</v>
      </c>
      <c r="F59" s="73">
        <f>'DOE25'!I96</f>
        <v>0</v>
      </c>
      <c r="G59" s="73">
        <f>'DOE25'!J96</f>
        <v>15025.7</v>
      </c>
      <c r="H59" s="13">
        <f t="shared" si="3"/>
        <v>22540.639999999999</v>
      </c>
      <c r="I59"/>
    </row>
    <row r="60" spans="1:9" x14ac:dyDescent="0.2">
      <c r="A60" s="1" t="s">
        <v>170</v>
      </c>
      <c r="B60" s="22" t="s">
        <v>171</v>
      </c>
      <c r="C60" s="23" t="s">
        <v>288</v>
      </c>
      <c r="D60" s="73">
        <f>'DOE25'!G97</f>
        <v>30365.1</v>
      </c>
      <c r="E60" s="23" t="s">
        <v>288</v>
      </c>
      <c r="F60" s="23" t="s">
        <v>288</v>
      </c>
      <c r="G60" s="23" t="s">
        <v>288</v>
      </c>
      <c r="H60" s="13">
        <f t="shared" si="3"/>
        <v>30365.1</v>
      </c>
      <c r="I60"/>
    </row>
    <row r="61" spans="1:9" ht="12" thickBot="1" x14ac:dyDescent="0.25">
      <c r="A61" s="1" t="s">
        <v>172</v>
      </c>
      <c r="B61" s="22" t="s">
        <v>173</v>
      </c>
      <c r="C61" s="73">
        <f>SUM('DOE25'!F98:F110)</f>
        <v>12928.19</v>
      </c>
      <c r="D61" s="73">
        <f>SUM('DOE25'!G98:G110)</f>
        <v>6216.47</v>
      </c>
      <c r="E61" s="73">
        <f>SUM('DOE25'!H98:H110)</f>
        <v>60600</v>
      </c>
      <c r="F61" s="73">
        <f>SUM('DOE25'!I98:I110)</f>
        <v>0</v>
      </c>
      <c r="G61" s="73">
        <f>SUM('DOE25'!J98:J110)</f>
        <v>0</v>
      </c>
      <c r="H61" s="13">
        <f t="shared" si="3"/>
        <v>79744.66</v>
      </c>
      <c r="I61"/>
    </row>
    <row r="62" spans="1:9" ht="12.75" thickTop="1" thickBot="1" x14ac:dyDescent="0.25">
      <c r="A62" s="28" t="s">
        <v>174</v>
      </c>
      <c r="B62" s="6"/>
      <c r="C62" s="93">
        <f>SUM(C57:C61)</f>
        <v>20443.13</v>
      </c>
      <c r="D62" s="93">
        <f>SUM(D57:D61)</f>
        <v>36581.57</v>
      </c>
      <c r="E62" s="93">
        <f>SUM(E57:E61)</f>
        <v>60600</v>
      </c>
      <c r="F62" s="93">
        <f>SUM(F57:F61)</f>
        <v>0</v>
      </c>
      <c r="G62" s="93">
        <f>SUM(G57:G61)</f>
        <v>15025.7</v>
      </c>
      <c r="H62" s="13">
        <f t="shared" si="3"/>
        <v>132650.4</v>
      </c>
      <c r="I62"/>
    </row>
    <row r="63" spans="1:9" ht="12" thickTop="1" x14ac:dyDescent="0.2">
      <c r="A63" s="28" t="s">
        <v>175</v>
      </c>
      <c r="B63" s="6"/>
      <c r="C63" s="21">
        <f>C56+C62</f>
        <v>2293542.13</v>
      </c>
      <c r="D63" s="21">
        <f>D56+D62</f>
        <v>36581.57</v>
      </c>
      <c r="E63" s="21">
        <f>E56+E62</f>
        <v>60600</v>
      </c>
      <c r="F63" s="21">
        <f>F56+F62</f>
        <v>0</v>
      </c>
      <c r="G63" s="21">
        <f>G56+G62</f>
        <v>15025.7</v>
      </c>
      <c r="H63" s="13">
        <f t="shared" si="3"/>
        <v>2405749.4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386163.37</v>
      </c>
      <c r="D66" s="23" t="s">
        <v>288</v>
      </c>
      <c r="E66" s="23" t="s">
        <v>288</v>
      </c>
      <c r="F66" s="23" t="s">
        <v>288</v>
      </c>
      <c r="G66" s="23" t="s">
        <v>288</v>
      </c>
      <c r="H66" s="13">
        <f t="shared" ref="H66:H81" si="4">SUM(C66:G66)</f>
        <v>386163.37</v>
      </c>
      <c r="I66"/>
    </row>
    <row r="67" spans="1:9" x14ac:dyDescent="0.2">
      <c r="A67" s="1" t="s">
        <v>770</v>
      </c>
      <c r="B67" s="6">
        <v>3112</v>
      </c>
      <c r="C67" s="73">
        <f>'DOE25'!F118</f>
        <v>215992</v>
      </c>
      <c r="D67" s="23"/>
      <c r="E67" s="23"/>
      <c r="F67" s="23"/>
      <c r="G67" s="23"/>
      <c r="H67" s="13">
        <f t="shared" si="4"/>
        <v>215992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45.22</v>
      </c>
      <c r="D69" s="73">
        <f>'DOE25'!G120</f>
        <v>0</v>
      </c>
      <c r="E69" s="73">
        <f>'DOE25'!H120</f>
        <v>0</v>
      </c>
      <c r="F69" s="73">
        <f>'DOE25'!I120</f>
        <v>0</v>
      </c>
      <c r="G69" s="73">
        <f>'DOE25'!J120</f>
        <v>0</v>
      </c>
      <c r="H69" s="13">
        <f t="shared" si="4"/>
        <v>45.22</v>
      </c>
      <c r="I69"/>
    </row>
    <row r="70" spans="1:9" ht="12" thickTop="1" x14ac:dyDescent="0.2">
      <c r="A70" s="28" t="s">
        <v>252</v>
      </c>
      <c r="B70" s="2"/>
      <c r="C70" s="97">
        <f>SUM(C66:C69)</f>
        <v>602200.59</v>
      </c>
      <c r="D70" s="97">
        <f>D69</f>
        <v>0</v>
      </c>
      <c r="E70" s="97">
        <f>E69</f>
        <v>0</v>
      </c>
      <c r="F70" s="97">
        <f>F69</f>
        <v>0</v>
      </c>
      <c r="G70" s="97">
        <f>G69</f>
        <v>0</v>
      </c>
      <c r="H70" s="13">
        <f t="shared" si="4"/>
        <v>602200.59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57890.57</v>
      </c>
      <c r="D75" s="23" t="s">
        <v>288</v>
      </c>
      <c r="E75" s="23" t="s">
        <v>288</v>
      </c>
      <c r="F75" s="23" t="s">
        <v>288</v>
      </c>
      <c r="G75" s="23" t="s">
        <v>288</v>
      </c>
      <c r="H75" s="13">
        <f t="shared" si="4"/>
        <v>57890.57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14924.47</v>
      </c>
      <c r="D77" s="73">
        <f>SUM('DOE25'!G131:G135)</f>
        <v>1463.34</v>
      </c>
      <c r="E77" s="73">
        <f>SUM('DOE25'!H131:H135)</f>
        <v>0</v>
      </c>
      <c r="F77" s="73">
        <f>SUM('DOE25'!I131:I135)</f>
        <v>0</v>
      </c>
      <c r="G77" s="73">
        <f>SUM('DOE25'!J131:J135)</f>
        <v>0</v>
      </c>
      <c r="H77" s="13">
        <f t="shared" si="4"/>
        <v>16387.809999999998</v>
      </c>
      <c r="I77"/>
    </row>
    <row r="78" spans="1:9" ht="12.75" thickTop="1" thickBot="1" x14ac:dyDescent="0.25">
      <c r="A78" s="28" t="s">
        <v>259</v>
      </c>
      <c r="B78" s="6"/>
      <c r="C78" s="93">
        <f>SUM(C72:C77)</f>
        <v>72815.039999999994</v>
      </c>
      <c r="D78" s="93">
        <f>SUM(D72:D77)</f>
        <v>1463.34</v>
      </c>
      <c r="E78" s="93">
        <f>SUM(E72:E77)</f>
        <v>0</v>
      </c>
      <c r="F78" s="93">
        <f>SUM(F72:F77)</f>
        <v>0</v>
      </c>
      <c r="G78" s="93">
        <f>SUM(G72:G77)</f>
        <v>0</v>
      </c>
      <c r="H78" s="13">
        <f t="shared" si="4"/>
        <v>74278.37999999999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675015.63</v>
      </c>
      <c r="D81" s="93">
        <f>SUM(D79:D80)+D78+D70</f>
        <v>1463.34</v>
      </c>
      <c r="E81" s="93">
        <f>SUM(E79:E80)+E78+E70</f>
        <v>0</v>
      </c>
      <c r="F81" s="93">
        <f>SUM(F79:F80)+F78+F70</f>
        <v>0</v>
      </c>
      <c r="G81" s="93">
        <f>SUM(G79:G80)+G78+G70</f>
        <v>0</v>
      </c>
      <c r="H81" s="93">
        <f t="shared" si="4"/>
        <v>676478.97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9111.39</v>
      </c>
      <c r="F87" s="73">
        <f>SUM('DOE25'!I149:I152)</f>
        <v>0</v>
      </c>
      <c r="G87" s="23" t="s">
        <v>288</v>
      </c>
      <c r="H87" s="13">
        <f t="shared" si="5"/>
        <v>9111.39</v>
      </c>
    </row>
    <row r="88" spans="1:9" x14ac:dyDescent="0.2">
      <c r="A88" s="217" t="s">
        <v>747</v>
      </c>
      <c r="B88" s="231" t="s">
        <v>184</v>
      </c>
      <c r="C88" s="253">
        <f>SUM('DOE25'!F153:F162)</f>
        <v>4243.32</v>
      </c>
      <c r="D88" s="253">
        <f>SUM('DOE25'!G153:G162)</f>
        <v>11825.65</v>
      </c>
      <c r="E88" s="253">
        <f>SUM('DOE25'!H153:H162)</f>
        <v>152934.65</v>
      </c>
      <c r="F88" s="253">
        <f>SUM('DOE25'!I153:I162)</f>
        <v>0</v>
      </c>
      <c r="G88" s="23" t="s">
        <v>288</v>
      </c>
      <c r="H88" s="13">
        <f t="shared" si="5"/>
        <v>169003.62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4243.32</v>
      </c>
      <c r="D91" s="94">
        <f>SUM(D85:D90)</f>
        <v>11825.65</v>
      </c>
      <c r="E91" s="94">
        <f>SUM(E85:E90)</f>
        <v>162046.03999999998</v>
      </c>
      <c r="F91" s="94">
        <f>SUM(F85:F90)</f>
        <v>0</v>
      </c>
      <c r="G91" s="23" t="s">
        <v>288</v>
      </c>
      <c r="H91" s="13">
        <f t="shared" si="5"/>
        <v>178115.00999999998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1829.72</v>
      </c>
      <c r="E96" s="73">
        <f>'DOE25'!H180</f>
        <v>0</v>
      </c>
      <c r="F96" s="73">
        <f>'DOE25'!I180</f>
        <v>0</v>
      </c>
      <c r="G96" s="73">
        <f>'DOE25'!J180</f>
        <v>0</v>
      </c>
      <c r="H96" s="13">
        <f t="shared" si="5"/>
        <v>1829.72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1829.72</v>
      </c>
      <c r="E103" s="68">
        <f>SUM(E93:E102)</f>
        <v>0</v>
      </c>
      <c r="F103" s="68">
        <f>SUM(F93:F102)</f>
        <v>0</v>
      </c>
      <c r="G103" s="68">
        <f>SUM(G93:G102)</f>
        <v>0</v>
      </c>
      <c r="H103" s="68">
        <f t="shared" si="5"/>
        <v>1829.72</v>
      </c>
    </row>
    <row r="104" spans="1:8" ht="12.75" thickTop="1" thickBot="1" x14ac:dyDescent="0.25">
      <c r="A104" s="32" t="s">
        <v>761</v>
      </c>
      <c r="C104" s="68">
        <f>C63+C81+C91+C103</f>
        <v>2972801.0799999996</v>
      </c>
      <c r="D104" s="68">
        <f>D63+D81+D91+D103</f>
        <v>51700.28</v>
      </c>
      <c r="E104" s="68">
        <f>E63+E81+E91+E103</f>
        <v>222646.03999999998</v>
      </c>
      <c r="F104" s="68">
        <f>F63+F81+F91+F103</f>
        <v>0</v>
      </c>
      <c r="G104" s="68">
        <f>G63+G81+G103</f>
        <v>15025.7</v>
      </c>
      <c r="H104" s="68">
        <f t="shared" si="5"/>
        <v>3262173.0999999996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1541985.73</v>
      </c>
      <c r="D109" s="23" t="s">
        <v>288</v>
      </c>
      <c r="E109" s="73">
        <f>('DOE25'!L277)+('DOE25'!L296)+('DOE25'!L315)</f>
        <v>30911.99</v>
      </c>
      <c r="F109" s="23" t="s">
        <v>288</v>
      </c>
      <c r="G109" s="23" t="s">
        <v>288</v>
      </c>
      <c r="H109" s="13">
        <f t="shared" ref="H109:H115" si="6">SUM(C109:G109)</f>
        <v>1572897.72</v>
      </c>
    </row>
    <row r="110" spans="1:8" x14ac:dyDescent="0.2">
      <c r="A110" t="s">
        <v>198</v>
      </c>
      <c r="B110" s="31" t="s">
        <v>199</v>
      </c>
      <c r="C110" s="73">
        <f>('DOE25'!L199)+('DOE25'!L217)+('DOE25'!L235)</f>
        <v>336410.29</v>
      </c>
      <c r="D110" s="23" t="s">
        <v>288</v>
      </c>
      <c r="E110" s="73">
        <f>('DOE25'!L278)+('DOE25'!L297)+('DOE25'!L316)</f>
        <v>128134.05</v>
      </c>
      <c r="F110" s="23" t="s">
        <v>288</v>
      </c>
      <c r="G110" s="23" t="s">
        <v>288</v>
      </c>
      <c r="H110" s="13">
        <f t="shared" si="6"/>
        <v>464544.33999999997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11567.67</v>
      </c>
      <c r="D112" s="23" t="s">
        <v>288</v>
      </c>
      <c r="E112" s="73">
        <f>+('DOE25'!L280)+('DOE25'!L299)+('DOE25'!L318)</f>
        <v>0</v>
      </c>
      <c r="F112" s="23" t="s">
        <v>288</v>
      </c>
      <c r="G112" s="23" t="s">
        <v>288</v>
      </c>
      <c r="H112" s="13">
        <f t="shared" si="6"/>
        <v>11567.67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1889963.69</v>
      </c>
      <c r="D115" s="68">
        <f>SUM(D109:D114)</f>
        <v>0</v>
      </c>
      <c r="E115" s="68">
        <f>SUM(E109:E114)</f>
        <v>159046.04</v>
      </c>
      <c r="F115" s="68">
        <f>SUM(F109:F114)</f>
        <v>0</v>
      </c>
      <c r="G115" s="68">
        <f>SUM(G109:G114)</f>
        <v>0</v>
      </c>
      <c r="H115" s="68">
        <f t="shared" si="6"/>
        <v>2049009.73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319052.40999999997</v>
      </c>
      <c r="D118" s="23" t="s">
        <v>288</v>
      </c>
      <c r="E118" s="73">
        <f>+('DOE25'!L282)+('DOE25'!L301)+('DOE25'!L320)</f>
        <v>0</v>
      </c>
      <c r="F118" s="23" t="s">
        <v>288</v>
      </c>
      <c r="G118" s="23" t="s">
        <v>288</v>
      </c>
      <c r="H118" s="13">
        <f t="shared" ref="H118:H145" si="7">SUM(C118:G118)</f>
        <v>319052.40999999997</v>
      </c>
    </row>
    <row r="119" spans="1:8" x14ac:dyDescent="0.2">
      <c r="A119" t="s">
        <v>208</v>
      </c>
      <c r="B119" s="31" t="s">
        <v>209</v>
      </c>
      <c r="C119" s="73">
        <f>('DOE25'!L204)+('DOE25'!L222)+('DOE25'!L240)</f>
        <v>84040.67</v>
      </c>
      <c r="D119" s="23" t="s">
        <v>288</v>
      </c>
      <c r="E119" s="73">
        <f>+('DOE25'!L283)+('DOE25'!L302)+('DOE25'!L321)</f>
        <v>0</v>
      </c>
      <c r="F119" s="23" t="s">
        <v>288</v>
      </c>
      <c r="G119" s="23" t="s">
        <v>288</v>
      </c>
      <c r="H119" s="13">
        <f t="shared" si="7"/>
        <v>84040.67</v>
      </c>
    </row>
    <row r="120" spans="1:8" x14ac:dyDescent="0.2">
      <c r="A120" t="s">
        <v>210</v>
      </c>
      <c r="B120" s="31" t="s">
        <v>211</v>
      </c>
      <c r="C120" s="73">
        <f>('DOE25'!L205)+('DOE25'!L223)+('DOE25'!L241)</f>
        <v>93498.16</v>
      </c>
      <c r="D120" s="23" t="s">
        <v>288</v>
      </c>
      <c r="E120" s="73">
        <f>+('DOE25'!L284)+('DOE25'!L303)+('DOE25'!L322)</f>
        <v>0</v>
      </c>
      <c r="F120" s="23" t="s">
        <v>288</v>
      </c>
      <c r="G120" s="23" t="s">
        <v>288</v>
      </c>
      <c r="H120" s="13">
        <f t="shared" si="7"/>
        <v>93498.16</v>
      </c>
    </row>
    <row r="121" spans="1:8" x14ac:dyDescent="0.2">
      <c r="A121" t="s">
        <v>212</v>
      </c>
      <c r="B121" s="31" t="s">
        <v>213</v>
      </c>
      <c r="C121" s="73">
        <f>('DOE25'!L206)+('DOE25'!L224)+('DOE25'!L242)</f>
        <v>265838.77</v>
      </c>
      <c r="D121" s="23" t="s">
        <v>288</v>
      </c>
      <c r="E121" s="73">
        <f>+('DOE25'!L285)+('DOE25'!L304)+('DOE25'!L323)</f>
        <v>0</v>
      </c>
      <c r="F121" s="23" t="s">
        <v>288</v>
      </c>
      <c r="G121" s="23" t="s">
        <v>288</v>
      </c>
      <c r="H121" s="13">
        <f t="shared" si="7"/>
        <v>265838.77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206780.51</v>
      </c>
      <c r="D123" s="23" t="s">
        <v>288</v>
      </c>
      <c r="E123" s="73">
        <f>+('DOE25'!L287)+('DOE25'!L306)+('DOE25'!L325)</f>
        <v>3000</v>
      </c>
      <c r="F123" s="23" t="s">
        <v>288</v>
      </c>
      <c r="G123" s="23" t="s">
        <v>288</v>
      </c>
      <c r="H123" s="13">
        <f t="shared" si="7"/>
        <v>209780.51</v>
      </c>
    </row>
    <row r="124" spans="1:8" x14ac:dyDescent="0.2">
      <c r="A124" t="s">
        <v>218</v>
      </c>
      <c r="B124" s="31" t="s">
        <v>219</v>
      </c>
      <c r="C124" s="73">
        <f>('DOE25'!L209)+('DOE25'!L227)+('DOE25'!L245+'DOE25'!L255)</f>
        <v>173275.51999999999</v>
      </c>
      <c r="D124" s="23" t="s">
        <v>288</v>
      </c>
      <c r="E124" s="73">
        <f>+('DOE25'!L288)+('DOE25'!L307)+('DOE25'!L326)</f>
        <v>0</v>
      </c>
      <c r="F124" s="23" t="s">
        <v>288</v>
      </c>
      <c r="G124" s="23" t="s">
        <v>288</v>
      </c>
      <c r="H124" s="13">
        <f t="shared" si="7"/>
        <v>173275.51999999999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75232.28</v>
      </c>
      <c r="E127" s="23" t="s">
        <v>288</v>
      </c>
      <c r="F127" s="23" t="s">
        <v>288</v>
      </c>
      <c r="G127" s="23" t="s">
        <v>288</v>
      </c>
      <c r="H127" s="13">
        <f t="shared" si="7"/>
        <v>75232.28</v>
      </c>
    </row>
    <row r="128" spans="1:8" ht="12.75" thickTop="1" thickBot="1" x14ac:dyDescent="0.25">
      <c r="A128" s="32" t="s">
        <v>226</v>
      </c>
      <c r="C128" s="68">
        <f>SUM(C118:C127)</f>
        <v>1142486.04</v>
      </c>
      <c r="D128" s="68">
        <f>SUM(D118:D127)</f>
        <v>75232.28</v>
      </c>
      <c r="E128" s="68">
        <f>SUM(E118:E127)</f>
        <v>3000</v>
      </c>
      <c r="F128" s="68">
        <f>SUM(F118:F127)</f>
        <v>0</v>
      </c>
      <c r="G128" s="68">
        <f>SUM(G118:G127)</f>
        <v>0</v>
      </c>
      <c r="H128" s="68">
        <f t="shared" si="7"/>
        <v>1220718.32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16804.25</v>
      </c>
      <c r="F134" s="73">
        <f>'DOE25'!K382</f>
        <v>0</v>
      </c>
      <c r="G134" s="73">
        <f>'DOE25'!K435</f>
        <v>144202.26</v>
      </c>
      <c r="H134" s="13">
        <f t="shared" si="7"/>
        <v>161006.51</v>
      </c>
    </row>
    <row r="135" spans="1:8" x14ac:dyDescent="0.2">
      <c r="A135" t="s">
        <v>233</v>
      </c>
      <c r="B135" s="31" t="s">
        <v>234</v>
      </c>
      <c r="C135" s="73">
        <f>'DOE25'!L264</f>
        <v>1829.72</v>
      </c>
      <c r="D135" s="23" t="s">
        <v>288</v>
      </c>
      <c r="E135" s="92">
        <f>'DOE25'!L346</f>
        <v>0</v>
      </c>
      <c r="F135" s="23" t="s">
        <v>288</v>
      </c>
      <c r="G135" s="23" t="s">
        <v>288</v>
      </c>
      <c r="H135" s="13">
        <f t="shared" si="7"/>
        <v>1829.72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15025.699999999997</v>
      </c>
      <c r="D139" s="23" t="s">
        <v>288</v>
      </c>
      <c r="E139" s="23" t="s">
        <v>288</v>
      </c>
      <c r="F139" s="23" t="s">
        <v>288</v>
      </c>
      <c r="G139" s="23" t="s">
        <v>288</v>
      </c>
      <c r="H139" s="13">
        <f t="shared" si="7"/>
        <v>15025.699999999997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-15025.699999999997</v>
      </c>
      <c r="D141" s="23" t="s">
        <v>288</v>
      </c>
      <c r="E141" s="23" t="s">
        <v>288</v>
      </c>
      <c r="F141" s="23" t="s">
        <v>288</v>
      </c>
      <c r="G141" s="23" t="s">
        <v>288</v>
      </c>
      <c r="H141" s="13">
        <f t="shared" si="7"/>
        <v>-15025.699999999997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1829.7200000000012</v>
      </c>
      <c r="D144" s="98">
        <f>SUM(D130:D143)</f>
        <v>0</v>
      </c>
      <c r="E144" s="98">
        <f>SUM(E130:E143)</f>
        <v>16804.25</v>
      </c>
      <c r="F144" s="98">
        <f>SUM(F130:F143)</f>
        <v>0</v>
      </c>
      <c r="G144" s="98">
        <f>SUM(G130:G143)</f>
        <v>144202.26</v>
      </c>
      <c r="H144" s="98">
        <f t="shared" si="7"/>
        <v>162836.23000000001</v>
      </c>
    </row>
    <row r="145" spans="1:9" ht="12.75" thickTop="1" thickBot="1" x14ac:dyDescent="0.25">
      <c r="A145" s="32" t="s">
        <v>244</v>
      </c>
      <c r="C145" s="68">
        <f>(C115+C128+C144)</f>
        <v>3034279.45</v>
      </c>
      <c r="D145" s="68">
        <f>(D115+D128+D144)</f>
        <v>75232.28</v>
      </c>
      <c r="E145" s="68">
        <f>(E115+E128+E144)</f>
        <v>178850.29</v>
      </c>
      <c r="F145" s="68">
        <f>(F115+F128+F144)</f>
        <v>0</v>
      </c>
      <c r="G145" s="68">
        <f>(G115+G128+G144)</f>
        <v>144202.26</v>
      </c>
      <c r="H145" s="68">
        <f t="shared" si="7"/>
        <v>3432564.2800000003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East Kingston</v>
      </c>
    </row>
    <row r="3" spans="1:4" x14ac:dyDescent="0.2">
      <c r="B3" s="137" t="s">
        <v>1799</v>
      </c>
    </row>
    <row r="4" spans="1:4" x14ac:dyDescent="0.2">
      <c r="B4" t="s">
        <v>61</v>
      </c>
      <c r="C4" s="129">
        <f>IF('DOE25'!F666+'DOE25'!F671=0,0,ROUND('DOE25'!F673,0))</f>
        <v>23403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23403</v>
      </c>
    </row>
    <row r="9" spans="1:4" x14ac:dyDescent="0.2">
      <c r="A9" s="136" t="s">
        <v>94</v>
      </c>
      <c r="B9" s="137" t="s">
        <v>1800</v>
      </c>
      <c r="C9" s="131" t="s">
        <v>720</v>
      </c>
      <c r="D9" s="131" t="s">
        <v>721</v>
      </c>
    </row>
    <row r="10" spans="1:4" x14ac:dyDescent="0.2">
      <c r="A10">
        <v>1100</v>
      </c>
      <c r="B10" t="s">
        <v>702</v>
      </c>
      <c r="C10" s="129">
        <f>ROUND('DOE25'!L198+'DOE25'!L216+'DOE25'!L234+'DOE25'!L277+'DOE25'!L296+'DOE25'!L315,0)</f>
        <v>1572898</v>
      </c>
      <c r="D10" s="132">
        <f>ROUND((C10/$C$28)*100,1)</f>
        <v>48.6</v>
      </c>
    </row>
    <row r="11" spans="1:4" x14ac:dyDescent="0.2">
      <c r="A11">
        <v>1200</v>
      </c>
      <c r="B11" t="s">
        <v>703</v>
      </c>
      <c r="C11" s="129">
        <f>ROUND('DOE25'!L199+'DOE25'!L217+'DOE25'!L235+'DOE25'!L278+'DOE25'!L297+'DOE25'!L316,0)</f>
        <v>464544</v>
      </c>
      <c r="D11" s="132">
        <f>ROUND((C11/$C$28)*100,1)</f>
        <v>14.4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11568</v>
      </c>
      <c r="D13" s="132">
        <f>ROUND((C13/$C$28)*100,1)</f>
        <v>0.4</v>
      </c>
    </row>
    <row r="14" spans="1:4" x14ac:dyDescent="0.2">
      <c r="D14" s="132"/>
    </row>
    <row r="15" spans="1:4" x14ac:dyDescent="0.2">
      <c r="A15">
        <v>2100</v>
      </c>
      <c r="B15" t="s">
        <v>706</v>
      </c>
      <c r="C15" s="129">
        <f>ROUND('DOE25'!L203+'DOE25'!L221+'DOE25'!L239+'DOE25'!L282+'DOE25'!L301+'DOE25'!L320,0)</f>
        <v>319052</v>
      </c>
      <c r="D15" s="132">
        <f t="shared" ref="D15:D27" si="0">ROUND((C15/$C$28)*100,1)</f>
        <v>9.9</v>
      </c>
    </row>
    <row r="16" spans="1:4" x14ac:dyDescent="0.2">
      <c r="A16">
        <v>2200</v>
      </c>
      <c r="B16" t="s">
        <v>707</v>
      </c>
      <c r="C16" s="129">
        <f>ROUND('DOE25'!L204+'DOE25'!L222+'DOE25'!L240+'DOE25'!L283+'DOE25'!L302+'DOE25'!L321,0)</f>
        <v>84041</v>
      </c>
      <c r="D16" s="132">
        <f t="shared" si="0"/>
        <v>2.6</v>
      </c>
    </row>
    <row r="17" spans="1:4" x14ac:dyDescent="0.2">
      <c r="A17" s="133" t="s">
        <v>723</v>
      </c>
      <c r="B17" t="s">
        <v>738</v>
      </c>
      <c r="C17" s="129">
        <f>ROUND('DOE25'!L205+'DOE25'!L210+'DOE25'!L223+'DOE25'!L228+'DOE25'!L241+'DOE25'!L246+'DOE25'!L284+'DOE25'!L289+'DOE25'!L303+'DOE25'!L308+'DOE25'!L322+'DOE25'!L327,0)</f>
        <v>93498</v>
      </c>
      <c r="D17" s="132">
        <f t="shared" si="0"/>
        <v>2.9</v>
      </c>
    </row>
    <row r="18" spans="1:4" x14ac:dyDescent="0.2">
      <c r="A18">
        <v>2400</v>
      </c>
      <c r="B18" t="s">
        <v>711</v>
      </c>
      <c r="C18" s="129">
        <f>ROUND('DOE25'!L206+'DOE25'!L224+'DOE25'!L242+'DOE25'!L285+'DOE25'!L304+'DOE25'!L323,0)</f>
        <v>265839</v>
      </c>
      <c r="D18" s="132">
        <f t="shared" si="0"/>
        <v>8.1999999999999993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209781</v>
      </c>
      <c r="D20" s="132">
        <f t="shared" si="0"/>
        <v>6.5</v>
      </c>
    </row>
    <row r="21" spans="1:4" x14ac:dyDescent="0.2">
      <c r="A21">
        <v>2700</v>
      </c>
      <c r="B21" t="s">
        <v>710</v>
      </c>
      <c r="C21" s="129">
        <f>ROUND('DOE25'!L209+'DOE25'!L227+'DOE25'!L245+'DOE25'!L288+'DOE25'!L307+'DOE25'!L326,0)</f>
        <v>173276</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38650.43</v>
      </c>
      <c r="D27" s="132">
        <f t="shared" si="0"/>
        <v>1.2</v>
      </c>
    </row>
    <row r="28" spans="1:4" x14ac:dyDescent="0.2">
      <c r="B28" s="136" t="s">
        <v>719</v>
      </c>
      <c r="C28" s="130">
        <f>SUM(C10:C27)</f>
        <v>3233147.43</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3233147.43</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2273099</v>
      </c>
      <c r="D35" s="132">
        <f t="shared" ref="D35:D40" si="1">ROUND((C35/$C$41)*100,1)</f>
        <v>70.5</v>
      </c>
    </row>
    <row r="36" spans="1:4" x14ac:dyDescent="0.2">
      <c r="B36" s="71" t="s">
        <v>739</v>
      </c>
      <c r="C36" s="129">
        <f>SUM('DOE25'!F112:J112)-SUM('DOE25'!G97:G110)+('DOE25'!F175+'DOE25'!F176+'DOE25'!I175+'DOE25'!I176)-C35</f>
        <v>96068.830000000075</v>
      </c>
      <c r="D36" s="132">
        <f t="shared" si="1"/>
        <v>3</v>
      </c>
    </row>
    <row r="37" spans="1:4" x14ac:dyDescent="0.2">
      <c r="A37" s="133" t="s">
        <v>834</v>
      </c>
      <c r="B37" s="71" t="s">
        <v>728</v>
      </c>
      <c r="C37" s="129">
        <f>ROUND('DOE25'!F117+'DOE25'!F118,0)</f>
        <v>602155</v>
      </c>
      <c r="D37" s="132">
        <f t="shared" si="1"/>
        <v>18.7</v>
      </c>
    </row>
    <row r="38" spans="1:4" x14ac:dyDescent="0.2">
      <c r="A38" s="133" t="s">
        <v>734</v>
      </c>
      <c r="B38" s="71" t="s">
        <v>729</v>
      </c>
      <c r="C38" s="129">
        <f>ROUND(SUM('DOE25'!F140:J140)-SUM('DOE25'!F117:F119),0)</f>
        <v>74324</v>
      </c>
      <c r="D38" s="132">
        <f t="shared" si="1"/>
        <v>2.2999999999999998</v>
      </c>
    </row>
    <row r="39" spans="1:4" x14ac:dyDescent="0.2">
      <c r="A39">
        <v>4000</v>
      </c>
      <c r="B39" s="71" t="s">
        <v>730</v>
      </c>
      <c r="C39" s="129">
        <f>ROUND('DOE25'!F170+'DOE25'!G170+'DOE25'!H170+'DOE25'!I170,0)</f>
        <v>178115</v>
      </c>
      <c r="D39" s="132">
        <f t="shared" si="1"/>
        <v>5.5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3223761.83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East Kingston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f>IF('School Level Expenditures'!$B$2=A75,'School Tables'!H75,"")</f>
        <v>72</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2023-09-18T18:50:14Z</dcterms:modified>
</cp:coreProperties>
</file>