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2E2638E8-5BDB-4966-B356-051095FE0282}" xr6:coauthVersionLast="47" xr6:coauthVersionMax="47" xr10:uidLastSave="{00000000-0000-0000-0000-000000000000}"/>
  <workbookProtection workbookAlgorithmName="SHA-512" workbookHashValue="Qdbq84JUjNVCqVF4fGR6DWu4NgMKrYs9F2c/V4+b8yZPEeTBCsJUHR2k3tuMlUrA6Kc14JkEO6xfEXnT6o4hkA==" workbookSaltValue="+bNDy0kWpD4TxIRC6lDV0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F5" i="15" l="1"/>
  <c r="AF6" i="15"/>
  <c r="AF7" i="15"/>
  <c r="AF8" i="15"/>
  <c r="AF9" i="15"/>
  <c r="AF10" i="15"/>
  <c r="AF11" i="15"/>
  <c r="AF12" i="15"/>
  <c r="AF13" i="15"/>
  <c r="AF14" i="15"/>
  <c r="AF15" i="15"/>
  <c r="AF16" i="15"/>
  <c r="AF17" i="15"/>
  <c r="AF18" i="15"/>
  <c r="AF19" i="15"/>
  <c r="AF20" i="15"/>
  <c r="AF21" i="15"/>
  <c r="AF22" i="15"/>
  <c r="AF23" i="15"/>
  <c r="AF24" i="15"/>
  <c r="AF25" i="15"/>
  <c r="AF26" i="15"/>
  <c r="AF27" i="15"/>
  <c r="AF28" i="15"/>
  <c r="AF29" i="15"/>
  <c r="AF30" i="15"/>
  <c r="AF31" i="15"/>
  <c r="AF32" i="15"/>
  <c r="AF33" i="15"/>
  <c r="AF34" i="15"/>
  <c r="AF35" i="15"/>
  <c r="AF36" i="15"/>
  <c r="AF37" i="15"/>
  <c r="AF38" i="15"/>
  <c r="AF39" i="15"/>
  <c r="AF40" i="15"/>
  <c r="AF41" i="15"/>
  <c r="AF42" i="15"/>
  <c r="AF43" i="15"/>
  <c r="AF44" i="15"/>
  <c r="AF45" i="15"/>
  <c r="AF46" i="15"/>
  <c r="AF47" i="15"/>
  <c r="AF48" i="15"/>
  <c r="AF49" i="15"/>
  <c r="AF50" i="15"/>
  <c r="AF51" i="15"/>
  <c r="AF52" i="15"/>
  <c r="AF53" i="15"/>
  <c r="AF54" i="15"/>
  <c r="AF55" i="15"/>
  <c r="AF56" i="15"/>
  <c r="AF57" i="15"/>
  <c r="AF58" i="15"/>
  <c r="AF59" i="15"/>
  <c r="AF60" i="15"/>
  <c r="AF61" i="15"/>
  <c r="AF62" i="15"/>
  <c r="AF63" i="15"/>
  <c r="AF64" i="15"/>
  <c r="AF65" i="15"/>
  <c r="AF66" i="15"/>
  <c r="AF67" i="15"/>
  <c r="AF68" i="15"/>
  <c r="AF69" i="15"/>
  <c r="AF70" i="15"/>
  <c r="AF71" i="15"/>
  <c r="AF72" i="15"/>
  <c r="AF73" i="15"/>
  <c r="AF74" i="15"/>
  <c r="AF75" i="15"/>
  <c r="AF76" i="15"/>
  <c r="AF77" i="15"/>
  <c r="AF78" i="15"/>
  <c r="AF79" i="15"/>
  <c r="AF80" i="15"/>
  <c r="AF81" i="15"/>
  <c r="AF82" i="15"/>
  <c r="AF83" i="15"/>
  <c r="AF84" i="15"/>
  <c r="AF85" i="15"/>
  <c r="AF86" i="15"/>
  <c r="AF87" i="15"/>
  <c r="AF88" i="15"/>
  <c r="AF89" i="15"/>
  <c r="AF90" i="15"/>
  <c r="AF91" i="15"/>
  <c r="AF92" i="15"/>
  <c r="AF93" i="15"/>
  <c r="AF94" i="15"/>
  <c r="AF95" i="15"/>
  <c r="AF96" i="15"/>
  <c r="AF97" i="15"/>
  <c r="AF98" i="15"/>
  <c r="AF99" i="15"/>
  <c r="AF100" i="15"/>
  <c r="AF101" i="15"/>
  <c r="AF4" i="15"/>
  <c r="AD100" i="15"/>
  <c r="AE100" i="15"/>
  <c r="AG100" i="15"/>
  <c r="AD101" i="15"/>
  <c r="AE101" i="15"/>
  <c r="AG101" i="15"/>
  <c r="C26" i="14" l="1"/>
  <c r="U5" i="15"/>
  <c r="U6" i="15"/>
  <c r="U7" i="15"/>
  <c r="U8" i="15"/>
  <c r="U9" i="15"/>
  <c r="U10" i="15"/>
  <c r="U11" i="15"/>
  <c r="U12" i="15"/>
  <c r="U13" i="15"/>
  <c r="U14" i="15"/>
  <c r="U15" i="15"/>
  <c r="U16" i="15"/>
  <c r="U17" i="15"/>
  <c r="U18" i="15"/>
  <c r="U19" i="15"/>
  <c r="U20" i="15"/>
  <c r="U21" i="15"/>
  <c r="U22" i="15"/>
  <c r="U23" i="15"/>
  <c r="U24" i="15"/>
  <c r="U25" i="15"/>
  <c r="U26" i="15"/>
  <c r="U27" i="15"/>
  <c r="U28" i="15"/>
  <c r="U29" i="15"/>
  <c r="U30" i="15"/>
  <c r="U31" i="15"/>
  <c r="U32" i="15"/>
  <c r="U33" i="15"/>
  <c r="U34" i="15"/>
  <c r="U35" i="15"/>
  <c r="U36" i="15"/>
  <c r="U37" i="15"/>
  <c r="U38" i="15"/>
  <c r="U39" i="15"/>
  <c r="U40" i="15"/>
  <c r="U41" i="15"/>
  <c r="U42" i="15"/>
  <c r="U43" i="15"/>
  <c r="U44" i="15"/>
  <c r="U45" i="15"/>
  <c r="U46" i="15"/>
  <c r="U47" i="15"/>
  <c r="U48" i="15"/>
  <c r="U49" i="15"/>
  <c r="U50" i="15"/>
  <c r="U51" i="15"/>
  <c r="U52" i="15"/>
  <c r="U53" i="15"/>
  <c r="U54" i="15"/>
  <c r="U55" i="15"/>
  <c r="U56" i="15"/>
  <c r="U57" i="15"/>
  <c r="U58" i="15"/>
  <c r="U59" i="15"/>
  <c r="U60" i="15"/>
  <c r="U61" i="15"/>
  <c r="U62" i="15"/>
  <c r="U63" i="15"/>
  <c r="U64" i="15"/>
  <c r="U65" i="15"/>
  <c r="U66" i="15"/>
  <c r="U67" i="15"/>
  <c r="U68" i="15"/>
  <c r="U69" i="15"/>
  <c r="U70" i="15"/>
  <c r="U71" i="15"/>
  <c r="U72" i="15"/>
  <c r="U73" i="15"/>
  <c r="U74" i="15"/>
  <c r="U75" i="15"/>
  <c r="U76" i="15"/>
  <c r="U4" i="15"/>
  <c r="A26" i="14" s="1" a="1"/>
  <c r="A26" i="14" s="1"/>
  <c r="T76" i="15"/>
  <c r="S76" i="15"/>
  <c r="F120" i="1"/>
  <c r="H503" i="1"/>
  <c r="H493" i="1"/>
  <c r="H492" i="1"/>
  <c r="G503" i="1"/>
  <c r="F503" i="1"/>
  <c r="J469" i="1"/>
  <c r="G534" i="1"/>
  <c r="G533" i="1"/>
  <c r="G532" i="1"/>
  <c r="F534" i="1"/>
  <c r="F533" i="1"/>
  <c r="F532" i="1"/>
  <c r="G527" i="1"/>
  <c r="G522" i="1"/>
  <c r="H524" i="1"/>
  <c r="H523" i="1"/>
  <c r="H522" i="1"/>
  <c r="J529" i="1"/>
  <c r="J528" i="1"/>
  <c r="J527" i="1"/>
  <c r="I528" i="1"/>
  <c r="I529" i="1"/>
  <c r="I527" i="1"/>
  <c r="F527" i="1"/>
  <c r="P38" i="14"/>
  <c r="O38" i="14"/>
  <c r="O6" i="14"/>
  <c r="L38" i="14"/>
  <c r="L26" i="14"/>
  <c r="M38" i="14"/>
  <c r="N26" i="14"/>
  <c r="K38" i="14"/>
  <c r="K26" i="14"/>
  <c r="K6" i="14"/>
  <c r="E13" i="17"/>
  <c r="H154" i="1"/>
  <c r="F15" i="13"/>
  <c r="B26" i="14" l="1"/>
  <c r="B39" i="12"/>
  <c r="C19" i="12"/>
  <c r="C10" i="12"/>
  <c r="C11" i="12"/>
  <c r="C12" i="12"/>
  <c r="B19" i="12"/>
  <c r="B37" i="12"/>
  <c r="B12" i="12"/>
  <c r="B10" i="12"/>
  <c r="G563" i="1"/>
  <c r="J96" i="1" l="1"/>
  <c r="F441" i="1"/>
  <c r="J605" i="1"/>
  <c r="I605" i="1"/>
  <c r="H605" i="1"/>
  <c r="F28" i="1"/>
  <c r="F50" i="1"/>
  <c r="G234" i="1" l="1"/>
  <c r="G216" i="1"/>
  <c r="G198" i="1"/>
  <c r="F234" i="1"/>
  <c r="F216" i="1"/>
  <c r="F198" i="1"/>
  <c r="H245" i="1"/>
  <c r="H227" i="1"/>
  <c r="G244" i="1"/>
  <c r="G226" i="1"/>
  <c r="G208" i="1"/>
  <c r="F244" i="1"/>
  <c r="F226" i="1"/>
  <c r="F208" i="1"/>
  <c r="J240" i="1"/>
  <c r="J222" i="1"/>
  <c r="J204" i="1"/>
  <c r="I240" i="1"/>
  <c r="I222" i="1"/>
  <c r="I204" i="1"/>
  <c r="H240" i="1"/>
  <c r="H222" i="1"/>
  <c r="G240" i="1"/>
  <c r="G222" i="1"/>
  <c r="G204" i="1"/>
  <c r="F240" i="1"/>
  <c r="F222" i="1"/>
  <c r="F204" i="1"/>
  <c r="J239" i="1"/>
  <c r="J221" i="1"/>
  <c r="I239" i="1"/>
  <c r="I221" i="1"/>
  <c r="I203" i="1"/>
  <c r="H239" i="1"/>
  <c r="H221" i="1"/>
  <c r="H203" i="1"/>
  <c r="F203" i="1"/>
  <c r="F221" i="1"/>
  <c r="F239" i="1"/>
  <c r="I235" i="1"/>
  <c r="I217" i="1"/>
  <c r="I199" i="1"/>
  <c r="F235" i="1"/>
  <c r="F217" i="1"/>
  <c r="F199" i="1"/>
  <c r="H235" i="1"/>
  <c r="H217" i="1"/>
  <c r="H199" i="1"/>
  <c r="I234" i="1"/>
  <c r="I216" i="1"/>
  <c r="I198" i="1"/>
  <c r="H234" i="1"/>
  <c r="H216" i="1"/>
  <c r="H198" i="1"/>
  <c r="H242" i="1"/>
  <c r="H237" i="1"/>
  <c r="K224" i="1" l="1"/>
  <c r="H224" i="1"/>
  <c r="H219" i="1"/>
  <c r="G206" i="1"/>
  <c r="K203" i="1"/>
  <c r="H206" i="1"/>
  <c r="G203" i="1"/>
  <c r="G201" i="1"/>
  <c r="G199" i="1"/>
  <c r="F110" i="1"/>
  <c r="F63" i="1"/>
  <c r="F22" i="1"/>
  <c r="F29" i="1"/>
  <c r="F14" i="1"/>
  <c r="F316" i="1"/>
  <c r="F297" i="1"/>
  <c r="F278" i="1"/>
  <c r="H321" i="1"/>
  <c r="H302" i="1"/>
  <c r="H283" i="1"/>
  <c r="F283" i="1"/>
  <c r="I283" i="1"/>
  <c r="G282" i="1"/>
  <c r="I277" i="1"/>
  <c r="H277" i="1"/>
  <c r="G97" i="1" l="1"/>
  <c r="G361" i="1" l="1"/>
  <c r="H137" i="2" l="1"/>
  <c r="H140" i="2"/>
  <c r="H142" i="2"/>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H135" i="2"/>
  <c r="H136" i="2"/>
  <c r="H143" i="2"/>
  <c r="H134" i="2"/>
  <c r="H113" i="2"/>
  <c r="H114" i="2"/>
  <c r="H98" i="2"/>
  <c r="H100" i="2"/>
  <c r="H101" i="2"/>
  <c r="H94" i="2"/>
  <c r="H93" i="2"/>
  <c r="H89" i="2"/>
  <c r="H90" i="2"/>
  <c r="H87" i="2"/>
  <c r="H85" i="2"/>
  <c r="H73" i="2"/>
  <c r="H74" i="2"/>
  <c r="H79" i="2"/>
  <c r="H80" i="2"/>
  <c r="H58" i="2"/>
  <c r="H42" i="2"/>
  <c r="H40" i="2"/>
  <c r="H38" i="2"/>
  <c r="H36" i="2"/>
  <c r="H35" i="2"/>
  <c r="H34" i="2"/>
  <c r="H22" i="2"/>
  <c r="H25" i="2"/>
  <c r="H26" i="2"/>
  <c r="H10" i="2"/>
  <c r="H11" i="2"/>
  <c r="H14"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41" i="14" l="1" a="1"/>
  <c r="A41" i="14" s="1"/>
  <c r="J41" i="14" s="1"/>
  <c r="A40" i="14" a="1"/>
  <c r="A40" i="14" s="1"/>
  <c r="J40" i="14" s="1"/>
  <c r="A39" i="14" a="1"/>
  <c r="A39" i="14" s="1"/>
  <c r="J39" i="14" s="1"/>
  <c r="A42" i="14" a="1"/>
  <c r="A42" i="14" s="1"/>
  <c r="J42" i="14" s="1"/>
  <c r="A30" i="14" a="1"/>
  <c r="A30" i="14" s="1"/>
  <c r="J30" i="14" s="1"/>
  <c r="J26" i="14"/>
  <c r="A27" i="14" a="1"/>
  <c r="A27" i="14" s="1"/>
  <c r="J27" i="14" s="1"/>
  <c r="A31" i="14" a="1"/>
  <c r="A31" i="14" s="1"/>
  <c r="J31" i="14" s="1"/>
  <c r="A28" i="14" a="1"/>
  <c r="A28" i="14" s="1"/>
  <c r="J28" i="14" s="1"/>
  <c r="A29" i="14" a="1"/>
  <c r="A29" i="14" s="1"/>
  <c r="J29" i="14" s="1"/>
  <c r="A32" i="14" a="1"/>
  <c r="A32" i="14" s="1"/>
  <c r="J32" i="14" s="1"/>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38" i="14" l="1" a="1"/>
  <c r="A38" i="14" s="1"/>
  <c r="A6" i="14" a="1"/>
  <c r="A6" i="14" s="1"/>
  <c r="A20" i="14" a="1"/>
  <c r="A20" i="14" s="1"/>
  <c r="C39" i="14"/>
  <c r="B39" i="14"/>
  <c r="B28" i="14"/>
  <c r="C28" i="14"/>
  <c r="C30" i="14"/>
  <c r="B30" i="14"/>
  <c r="C40" i="14"/>
  <c r="B40" i="14"/>
  <c r="B32" i="14"/>
  <c r="C32" i="14" s="1" a="1"/>
  <c r="C32" i="14" s="1"/>
  <c r="B31" i="14"/>
  <c r="C31" i="14"/>
  <c r="B42" i="14"/>
  <c r="C42" i="14"/>
  <c r="C41" i="14"/>
  <c r="B41" i="14"/>
  <c r="B29" i="14"/>
  <c r="C29" i="14"/>
  <c r="B27" i="14"/>
  <c r="C27"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C38" i="14" l="1"/>
  <c r="B38" i="14"/>
  <c r="J38" i="14"/>
  <c r="B20" i="14"/>
  <c r="C20" i="14" s="1"/>
  <c r="J20" i="14"/>
  <c r="B6" i="14"/>
  <c r="C6" i="14" s="1"/>
  <c r="J6" i="14"/>
  <c r="F40" i="2"/>
  <c r="D39" i="2"/>
  <c r="H39" i="2" s="1"/>
  <c r="G656" i="1"/>
  <c r="F48" i="2"/>
  <c r="E48" i="2"/>
  <c r="D48" i="2"/>
  <c r="H48" i="2" s="1"/>
  <c r="C48" i="2"/>
  <c r="F47" i="2"/>
  <c r="E47" i="2"/>
  <c r="D47" i="2"/>
  <c r="C47" i="2"/>
  <c r="F44" i="2"/>
  <c r="E44" i="2"/>
  <c r="D44" i="2"/>
  <c r="C44" i="2"/>
  <c r="H44" i="2" s="1"/>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H131" i="2" s="1"/>
  <c r="A1" i="2"/>
  <c r="A2" i="2"/>
  <c r="C8" i="2"/>
  <c r="D8" i="2"/>
  <c r="H8" i="2" s="1"/>
  <c r="E8" i="2"/>
  <c r="F8" i="2"/>
  <c r="I440" i="1"/>
  <c r="J9" i="1" s="1"/>
  <c r="G8" i="2" s="1"/>
  <c r="C9" i="2"/>
  <c r="D9" i="2"/>
  <c r="E9" i="2"/>
  <c r="F9" i="2"/>
  <c r="I441" i="1"/>
  <c r="J10" i="1" s="1"/>
  <c r="G9" i="2" s="1"/>
  <c r="H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H15" i="2" s="1"/>
  <c r="E15" i="2"/>
  <c r="F15" i="2"/>
  <c r="C16" i="2"/>
  <c r="H16" i="2" s="1"/>
  <c r="D16" i="2"/>
  <c r="E16" i="2"/>
  <c r="F16" i="2"/>
  <c r="I445" i="1"/>
  <c r="J17" i="1" s="1"/>
  <c r="C17" i="2"/>
  <c r="D17" i="2"/>
  <c r="E17" i="2"/>
  <c r="F17" i="2"/>
  <c r="H17" i="2" s="1"/>
  <c r="I446" i="1"/>
  <c r="J18" i="1" s="1"/>
  <c r="G17" i="2" s="1"/>
  <c r="C21" i="2"/>
  <c r="H21" i="2" s="1"/>
  <c r="D21" i="2"/>
  <c r="E21" i="2"/>
  <c r="F21" i="2"/>
  <c r="I449" i="1"/>
  <c r="J22" i="1" s="1"/>
  <c r="C22" i="2"/>
  <c r="D22" i="2"/>
  <c r="E22" i="2"/>
  <c r="F22" i="2"/>
  <c r="I450" i="1"/>
  <c r="J23" i="1" s="1"/>
  <c r="G22" i="2" s="1"/>
  <c r="C23" i="2"/>
  <c r="D23" i="2"/>
  <c r="H23" i="2" s="1"/>
  <c r="E23" i="2"/>
  <c r="F23" i="2"/>
  <c r="I451" i="1"/>
  <c r="J24" i="1" s="1"/>
  <c r="G23" i="2" s="1"/>
  <c r="C24" i="2"/>
  <c r="D24" i="2"/>
  <c r="H24" i="2" s="1"/>
  <c r="E24" i="2"/>
  <c r="F24" i="2"/>
  <c r="C25" i="2"/>
  <c r="F25" i="2"/>
  <c r="C26" i="2"/>
  <c r="F26" i="2"/>
  <c r="C27" i="2"/>
  <c r="H27" i="2" s="1"/>
  <c r="D27" i="2"/>
  <c r="E27" i="2"/>
  <c r="F27" i="2"/>
  <c r="C28" i="2"/>
  <c r="H28" i="2" s="1"/>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H61" i="2" s="1"/>
  <c r="D61" i="2"/>
  <c r="E61" i="2"/>
  <c r="F61" i="2"/>
  <c r="C66" i="2"/>
  <c r="H66" i="2" s="1"/>
  <c r="C67" i="2"/>
  <c r="H67" i="2" s="1"/>
  <c r="C69" i="2"/>
  <c r="H69" i="2" s="1"/>
  <c r="D69" i="2"/>
  <c r="D70" i="2" s="1"/>
  <c r="E69" i="2"/>
  <c r="E70" i="2" s="1"/>
  <c r="F69" i="2"/>
  <c r="F70" i="2" s="1"/>
  <c r="G69" i="2"/>
  <c r="G70" i="2" s="1"/>
  <c r="C72" i="2"/>
  <c r="H72" i="2" s="1"/>
  <c r="F72" i="2"/>
  <c r="C73" i="2"/>
  <c r="F73" i="2"/>
  <c r="C74" i="2"/>
  <c r="C75" i="2"/>
  <c r="H75" i="2" s="1"/>
  <c r="C76" i="2"/>
  <c r="H76" i="2" s="1"/>
  <c r="E76" i="2"/>
  <c r="F76" i="2"/>
  <c r="C77" i="2"/>
  <c r="D77" i="2"/>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H97" i="2" s="1"/>
  <c r="C98" i="2"/>
  <c r="D98" i="2"/>
  <c r="E98" i="2"/>
  <c r="G98" i="2"/>
  <c r="C99" i="2"/>
  <c r="H99" i="2" s="1"/>
  <c r="D99" i="2"/>
  <c r="E99" i="2"/>
  <c r="F99" i="2"/>
  <c r="C100" i="2"/>
  <c r="D100" i="2"/>
  <c r="E100" i="2"/>
  <c r="F100" i="2"/>
  <c r="C101" i="2"/>
  <c r="D101" i="2"/>
  <c r="E101" i="2"/>
  <c r="F101" i="2"/>
  <c r="C102" i="2"/>
  <c r="D102" i="2"/>
  <c r="E102" i="2"/>
  <c r="F102" i="2"/>
  <c r="H102" i="2" s="1"/>
  <c r="E111" i="2"/>
  <c r="D115" i="2"/>
  <c r="F115" i="2"/>
  <c r="G115" i="2"/>
  <c r="E120" i="2"/>
  <c r="E124" i="2"/>
  <c r="C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H653" i="1"/>
  <c r="G654" i="1"/>
  <c r="H654" i="1"/>
  <c r="H655" i="1"/>
  <c r="H656" i="1"/>
  <c r="I170" i="1"/>
  <c r="G646" i="1" l="1"/>
  <c r="H59" i="2"/>
  <c r="G409" i="1"/>
  <c r="H646" i="1" s="1"/>
  <c r="H96" i="2"/>
  <c r="J652" i="1"/>
  <c r="G663" i="1"/>
  <c r="C120" i="2"/>
  <c r="H120" i="2" s="1"/>
  <c r="C110" i="2"/>
  <c r="D15" i="13"/>
  <c r="C15" i="13" s="1"/>
  <c r="C12" i="10"/>
  <c r="C112" i="2"/>
  <c r="C119" i="2"/>
  <c r="D6" i="13"/>
  <c r="C6" i="13" s="1"/>
  <c r="N2" i="14"/>
  <c r="N3" i="14" s="1"/>
  <c r="C121" i="2"/>
  <c r="L2" i="14"/>
  <c r="L3" i="14" s="1"/>
  <c r="H13" i="2"/>
  <c r="E125" i="2"/>
  <c r="H125" i="2" s="1"/>
  <c r="E121" i="2"/>
  <c r="M2" i="14"/>
  <c r="M3" i="14" s="1"/>
  <c r="A40" i="12"/>
  <c r="C13" i="10"/>
  <c r="E112" i="2"/>
  <c r="K2" i="14"/>
  <c r="K3" i="14" s="1"/>
  <c r="H477" i="1"/>
  <c r="H625" i="1" s="1"/>
  <c r="J625" i="1" s="1"/>
  <c r="H29" i="2"/>
  <c r="H12" i="2"/>
  <c r="H30" i="2"/>
  <c r="H47" i="2"/>
  <c r="G477" i="1"/>
  <c r="H624" i="1" s="1"/>
  <c r="J624" i="1" s="1"/>
  <c r="G662" i="1"/>
  <c r="D29" i="13"/>
  <c r="C29" i="13" s="1"/>
  <c r="D78" i="2"/>
  <c r="H77" i="2"/>
  <c r="E119" i="2"/>
  <c r="H409" i="1"/>
  <c r="H645" i="1" s="1"/>
  <c r="J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H122" i="2" s="1"/>
  <c r="L291" i="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J646" i="1" l="1"/>
  <c r="I663" i="1"/>
  <c r="H112" i="2"/>
  <c r="H119" i="2"/>
  <c r="H121" i="2"/>
  <c r="H123" i="2"/>
  <c r="H118" i="2"/>
  <c r="H103" i="2"/>
  <c r="H78" i="2"/>
  <c r="C81" i="2"/>
  <c r="F194" i="1"/>
  <c r="G628" i="1" s="1"/>
  <c r="J628" i="1" s="1"/>
  <c r="H50" i="2"/>
  <c r="G24" i="14"/>
  <c r="H24" i="14" s="1"/>
  <c r="I24" i="14" s="1"/>
  <c r="E128" i="2"/>
  <c r="H91" i="2"/>
  <c r="H18" i="2"/>
  <c r="I662" i="1"/>
  <c r="D128" i="2"/>
  <c r="H127" i="2"/>
  <c r="D81" i="2"/>
  <c r="D63" i="2"/>
  <c r="H62" i="2"/>
  <c r="D51" i="2"/>
  <c r="H31" i="2"/>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C104" i="2"/>
  <c r="H104" i="2" s="1"/>
  <c r="H81" i="2"/>
  <c r="H63" i="2"/>
  <c r="M24" i="14"/>
  <c r="H51" i="2"/>
  <c r="D145" i="2"/>
  <c r="H128"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<sst xmlns="http://schemas.openxmlformats.org/spreadsheetml/2006/main" count="6570" uniqueCount="1818">
  <si>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</si>
  <si>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</si>
  <si>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</si>
  <si>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</si>
  <si>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</si>
  <si>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</si>
  <si>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</si>
  <si>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</si>
  <si>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</si>
  <si>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</si>
  <si>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</si>
  <si>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</si>
  <si>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</si>
  <si>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</si>
  <si>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</si>
  <si>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</si>
  <si>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</si>
  <si>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</si>
  <si>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</si>
  <si>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</si>
  <si>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</si>
  <si>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</si>
  <si>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</si>
  <si>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</si>
  <si>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</si>
  <si>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</si>
  <si>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</si>
  <si>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</si>
  <si>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</si>
  <si>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</si>
  <si>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</si>
  <si>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</si>
  <si>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</si>
  <si>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</si>
  <si>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</si>
  <si>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</si>
  <si>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</si>
  <si>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</si>
  <si>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</si>
  <si>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</si>
  <si>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</si>
  <si>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</si>
  <si>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</si>
  <si>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</si>
  <si>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</si>
  <si>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</si>
  <si>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</si>
  <si>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</si>
  <si>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</si>
  <si>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</si>
  <si>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</si>
  <si>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</si>
  <si>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</si>
  <si>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</si>
  <si>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</si>
  <si>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</si>
  <si>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</si>
  <si>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</si>
  <si>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</si>
  <si>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</si>
  <si>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</si>
  <si>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</si>
  <si>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</si>
  <si>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</si>
  <si>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</si>
  <si>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</si>
  <si>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</si>
  <si>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</si>
  <si>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</si>
  <si>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</si>
  <si>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</si>
  <si>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</si>
  <si>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</si>
  <si>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</si>
  <si>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</si>
  <si>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</si>
  <si>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</si>
  <si>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</si>
  <si>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</si>
  <si>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</si>
  <si>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</si>
  <si>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</si>
  <si>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</si>
  <si>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</si>
  <si>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</si>
  <si>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</si>
  <si>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</si>
  <si>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</si>
  <si>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</si>
  <si>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</si>
  <si>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</si>
  <si>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</si>
  <si>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</si>
  <si>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</si>
  <si>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</si>
  <si>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</si>
  <si>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</si>
  <si>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</si>
  <si>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</si>
  <si>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</si>
  <si>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</si>
  <si>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</si>
  <si>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</si>
  <si>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</si>
  <si>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</si>
  <si>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</si>
  <si>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</si>
  <si>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</si>
  <si>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</si>
  <si>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</si>
  <si>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</si>
  <si>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</si>
  <si>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</si>
  <si>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</si>
  <si>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</si>
  <si>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</si>
  <si>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</si>
  <si>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</si>
  <si>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</si>
  <si>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</si>
  <si>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</si>
  <si>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</si>
  <si>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</si>
  <si>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</si>
  <si>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</si>
  <si>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</si>
  <si>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</si>
  <si>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</si>
  <si>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</si>
  <si>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</si>
  <si>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</si>
  <si>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</si>
  <si>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</si>
  <si>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</si>
  <si>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</si>
  <si>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</si>
  <si>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</si>
  <si>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</si>
  <si>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</si>
  <si>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</si>
  <si>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</si>
  <si>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</si>
  <si>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</si>
  <si>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</si>
  <si>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</si>
  <si>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</si>
  <si>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</si>
  <si>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</si>
  <si>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</si>
  <si>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</si>
  <si>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</si>
  <si>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</si>
  <si>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</si>
  <si>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</si>
  <si>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</si>
  <si>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</si>
  <si>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</si>
  <si>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</si>
  <si>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</si>
  <si>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</si>
  <si>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</si>
  <si>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</si>
  <si>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</si>
  <si>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</si>
  <si>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</si>
  <si>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</si>
  <si>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</si>
  <si>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</si>
  <si>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</si>
  <si>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</si>
  <si>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</si>
  <si>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</si>
  <si>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</si>
  <si>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</si>
  <si>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</si>
  <si>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</si>
  <si>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</si>
  <si>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</si>
  <si>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</si>
  <si>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</si>
  <si>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</si>
  <si>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</si>
  <si>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</si>
  <si>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</si>
  <si>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</si>
  <si>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</si>
  <si>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</si>
  <si>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</si>
  <si>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</si>
  <si>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</si>
  <si>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</si>
  <si>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</si>
  <si>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</si>
  <si>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</si>
  <si>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</si>
  <si>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</si>
  <si>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</si>
  <si>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</si>
  <si>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</si>
  <si>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</si>
  <si>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</si>
  <si>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</si>
  <si>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</si>
  <si>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</si>
  <si>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</si>
  <si>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</si>
  <si>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</si>
  <si>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</si>
  <si>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</si>
  <si>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</si>
  <si>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</si>
  <si>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</si>
  <si>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</si>
  <si>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</si>
  <si>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</si>
  <si>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</si>
  <si>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</si>
  <si>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</si>
  <si>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</si>
  <si>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</si>
  <si>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</si>
  <si>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</si>
  <si>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</si>
  <si>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</si>
  <si>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</si>
  <si>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</si>
  <si>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</si>
  <si>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</si>
  <si>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</si>
  <si>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</si>
  <si>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</si>
  <si>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</si>
  <si>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</si>
  <si>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</si>
  <si>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</si>
  <si>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</si>
  <si>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</si>
  <si>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</si>
  <si>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</si>
  <si>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</si>
  <si>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</si>
  <si>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</si>
  <si>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</si>
  <si>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</si>
  <si>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</si>
  <si>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</si>
  <si>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</si>
  <si>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</si>
  <si>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</si>
  <si>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</si>
  <si>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</si>
  <si>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</si>
  <si>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</si>
  <si>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</si>
  <si>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</si>
  <si>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</si>
  <si>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</si>
  <si>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</si>
  <si>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</si>
  <si>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</si>
  <si>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</si>
  <si>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</si>
  <si>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</si>
  <si>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</si>
  <si>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</si>
  <si>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</si>
  <si>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</si>
  <si>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</si>
  <si>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</si>
  <si>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</si>
  <si>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</si>
  <si>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</si>
  <si>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</si>
  <si>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</si>
  <si>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</si>
  <si>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</si>
  <si>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</si>
  <si>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</si>
  <si>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</si>
  <si>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</si>
  <si>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</si>
  <si>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</si>
  <si>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</si>
  <si>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</si>
  <si>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</si>
  <si>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</si>
  <si>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</si>
  <si>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</si>
  <si>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</si>
  <si>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</si>
  <si>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</si>
  <si>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</si>
  <si>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</si>
  <si>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</si>
  <si>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</si>
  <si>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</si>
  <si>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</si>
  <si>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</si>
  <si>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</si>
  <si>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</si>
  <si>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</si>
  <si>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</si>
  <si>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</si>
  <si>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</si>
  <si>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</si>
  <si>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</si>
  <si>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</si>
  <si>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</si>
  <si>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</si>
  <si>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</si>
  <si>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</si>
  <si>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</si>
  <si>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</si>
  <si>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</si>
  <si>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</si>
  <si>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</si>
  <si>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</si>
  <si>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</si>
  <si>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</si>
  <si>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</si>
  <si>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</si>
  <si>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</si>
  <si>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</si>
  <si>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</si>
  <si>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</si>
  <si>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</si>
  <si>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</si>
  <si>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</si>
  <si>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</si>
  <si>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</si>
  <si>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</si>
  <si>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</si>
  <si>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</si>
  <si>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</si>
  <si>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</si>
  <si>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</si>
  <si>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</si>
  <si>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</si>
  <si>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</si>
  <si>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</si>
  <si>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</si>
  <si>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</si>
  <si>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</si>
  <si>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</si>
  <si>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</si>
  <si>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</si>
  <si>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</si>
  <si>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</si>
  <si>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</si>
  <si>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</si>
  <si>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</si>
  <si>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</si>
  <si>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</si>
  <si>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</si>
  <si>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</si>
  <si>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</si>
  <si>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</si>
  <si>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</si>
  <si>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</si>
  <si>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</si>
  <si>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</si>
  <si>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</si>
  <si>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</si>
  <si>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</si>
  <si>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</si>
  <si>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</si>
  <si>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</si>
  <si>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</si>
  <si>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</si>
  <si>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</si>
  <si>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</si>
  <si>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</si>
  <si>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</si>
  <si>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</si>
  <si>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</si>
  <si>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</si>
  <si>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</si>
  <si>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</si>
  <si>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</si>
  <si>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</si>
  <si>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</si>
  <si>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</si>
  <si>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</si>
  <si>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</si>
  <si>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</si>
  <si>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</si>
  <si>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</si>
  <si>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</si>
  <si>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</si>
  <si>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</si>
  <si>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</si>
  <si>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</si>
  <si>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</si>
  <si>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</si>
  <si>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</si>
  <si>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</si>
  <si>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</si>
  <si>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</si>
  <si>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</si>
  <si>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</si>
  <si>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</si>
  <si>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</si>
  <si>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</si>
  <si>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</si>
  <si>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</si>
  <si>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</si>
  <si>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</si>
  <si>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</si>
  <si>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</si>
  <si>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</si>
  <si>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</si>
  <si>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</si>
  <si>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</si>
  <si>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</si>
  <si>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</si>
  <si>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</si>
  <si>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</si>
  <si>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</si>
  <si>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</si>
  <si>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</si>
  <si>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</si>
  <si>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</si>
  <si>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</si>
  <si>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</si>
  <si>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</si>
  <si>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</si>
  <si>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</si>
  <si>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</si>
  <si>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</si>
  <si>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</si>
  <si>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</si>
  <si>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</si>
  <si>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</si>
  <si>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</si>
  <si>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</si>
  <si>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</si>
  <si>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</si>
  <si>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</si>
  <si>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</si>
  <si>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</si>
  <si>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</si>
  <si>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</si>
  <si>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</si>
  <si>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</si>
  <si>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</si>
  <si>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</si>
  <si>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</si>
  <si>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</si>
  <si>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</si>
  <si>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</si>
  <si>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</si>
  <si>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</si>
  <si>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</si>
  <si>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</si>
  <si>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</si>
  <si>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</si>
  <si>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</si>
  <si>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</si>
  <si>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</si>
  <si>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</si>
  <si>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</si>
  <si>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</si>
  <si>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</si>
  <si>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</si>
  <si>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</si>
  <si>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</si>
  <si>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</si>
  <si>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</si>
  <si>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</si>
  <si>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</si>
  <si>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</si>
  <si>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</si>
  <si>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</si>
  <si>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</si>
  <si>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</si>
  <si>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</si>
  <si>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</si>
  <si>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</si>
  <si>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</si>
  <si>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</si>
  <si>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</si>
  <si>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</si>
  <si>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</si>
  <si>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</si>
  <si>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</si>
  <si>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</si>
  <si>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</si>
  <si>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</si>
  <si>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</si>
  <si>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</si>
  <si>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</si>
  <si>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</si>
  <si>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</si>
  <si>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</si>
  <si>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</si>
  <si>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</si>
  <si>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</si>
  <si>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</si>
  <si>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</si>
  <si>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</si>
  <si>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</si>
  <si>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</si>
  <si>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</si>
  <si>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</si>
  <si>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</si>
  <si>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</si>
  <si>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</si>
  <si>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</si>
  <si>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</si>
  <si>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</si>
  <si>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</si>
  <si>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</si>
  <si>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</si>
  <si>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</si>
  <si>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</si>
  <si>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</si>
  <si>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</si>
  <si>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</si>
  <si>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</si>
  <si>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</si>
  <si>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</si>
  <si>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</si>
  <si>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</si>
  <si>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</si>
  <si>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</si>
  <si>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</si>
  <si>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</si>
  <si>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</si>
  <si>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</si>
  <si>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</si>
  <si>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</si>
  <si>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</si>
  <si>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</si>
  <si>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</si>
  <si>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</si>
  <si>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</si>
  <si>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</si>
  <si>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</si>
  <si>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</si>
  <si>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</si>
  <si>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</si>
  <si>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</si>
  <si>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</si>
  <si>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</si>
  <si>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</si>
  <si>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</si>
  <si>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</si>
  <si>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</si>
  <si>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</si>
  <si>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</si>
  <si>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</si>
  <si>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</si>
  <si>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</si>
  <si>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</si>
  <si>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</si>
  <si>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</si>
  <si>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</si>
  <si>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</si>
  <si>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</si>
  <si>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</si>
  <si>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</si>
  <si>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</si>
  <si>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</si>
  <si>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</si>
  <si>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</si>
  <si>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</si>
  <si>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</si>
  <si>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</si>
  <si>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</si>
  <si>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</si>
  <si>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</si>
  <si>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</si>
  <si>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</si>
  <si>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</si>
  <si>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</si>
  <si>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</si>
  <si>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</si>
  <si>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</si>
  <si>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</si>
  <si>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</si>
  <si>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</si>
  <si>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</si>
  <si>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</si>
  <si>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</si>
  <si>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</si>
  <si>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</si>
  <si>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</si>
  <si>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</si>
  <si>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</si>
  <si>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</si>
  <si>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</si>
  <si>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</si>
  <si>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</si>
  <si>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</si>
  <si>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</si>
  <si>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</si>
  <si>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</si>
  <si>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</si>
  <si>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</si>
  <si>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</si>
  <si>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</si>
  <si>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</si>
  <si>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</si>
  <si>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</si>
  <si>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</si>
  <si>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</si>
  <si>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</si>
  <si>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</si>
  <si>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</si>
  <si>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</si>
  <si>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</si>
  <si>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</si>
  <si>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</si>
  <si>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</si>
  <si>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</si>
  <si>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</si>
  <si>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</si>
  <si>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</si>
  <si>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</si>
  <si>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</si>
  <si>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</si>
  <si>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</si>
  <si>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</si>
  <si>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</si>
  <si>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</si>
  <si>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</si>
  <si>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</si>
  <si>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</si>
  <si>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</si>
  <si>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</si>
  <si>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</si>
  <si>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</si>
  <si>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</si>
  <si>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</si>
  <si>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</si>
  <si>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</si>
  <si>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</si>
  <si>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</si>
  <si>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</si>
  <si>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</si>
  <si>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</si>
  <si>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</si>
  <si>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</si>
  <si>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</si>
  <si>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</si>
  <si>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</si>
  <si>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</si>
  <si>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</si>
  <si>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</si>
  <si>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</si>
  <si>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</si>
  <si>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</si>
  <si>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</si>
  <si>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</si>
  <si>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</si>
  <si>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</si>
  <si>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</si>
  <si>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</si>
  <si>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</si>
  <si>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</si>
  <si>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</si>
  <si>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</si>
  <si>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</si>
  <si>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</si>
  <si>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</si>
  <si>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</si>
  <si>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</si>
  <si>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</si>
  <si>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</si>
  <si>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</si>
  <si>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</si>
  <si>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</si>
  <si>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</si>
  <si>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</si>
  <si>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</si>
  <si>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</si>
  <si>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</si>
  <si>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</si>
  <si>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</si>
  <si>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</si>
  <si>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</si>
  <si>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</si>
  <si>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</si>
  <si>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</si>
  <si>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</si>
  <si>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</si>
  <si>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</si>
  <si>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</si>
  <si>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</si>
  <si>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</si>
  <si>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</si>
  <si>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</si>
  <si>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</si>
  <si>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</si>
  <si>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</si>
  <si>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</si>
  <si>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</si>
  <si>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</si>
  <si>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</si>
  <si>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</si>
  <si>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</si>
  <si>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</si>
  <si>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</si>
  <si>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</si>
  <si>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</si>
  <si>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</si>
  <si>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</si>
  <si>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</si>
  <si>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</si>
  <si>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</si>
  <si>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</si>
  <si>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</si>
  <si>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</si>
  <si>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</si>
  <si>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</si>
  <si>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</si>
  <si>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</si>
  <si>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</si>
  <si>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</si>
  <si>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</si>
  <si>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</si>
  <si>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</si>
  <si>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</si>
  <si>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</si>
  <si>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</si>
  <si>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</si>
  <si>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</si>
  <si>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</si>
  <si>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</si>
  <si>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</si>
  <si>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</si>
  <si>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</si>
  <si>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</si>
  <si>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</si>
  <si>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</si>
  <si>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</si>
  <si>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</si>
  <si>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</si>
  <si>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</si>
  <si>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</si>
  <si>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</si>
  <si>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</si>
  <si>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</si>
  <si>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</si>
  <si>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</si>
  <si>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</si>
  <si>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</si>
  <si>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</si>
  <si>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</si>
  <si>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</si>
  <si>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</si>
  <si>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</si>
  <si>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</si>
  <si>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</si>
  <si>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</si>
  <si>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</si>
  <si>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</si>
  <si>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</si>
  <si>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</si>
  <si>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</si>
  <si>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</si>
  <si>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</si>
  <si>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</si>
  <si>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</si>
  <si>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</si>
  <si>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</si>
  <si>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</si>
  <si>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</si>
  <si>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</si>
  <si>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</si>
  <si>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</si>
  <si>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</si>
  <si>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</si>
  <si>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</si>
  <si>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</si>
  <si>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</si>
  <si>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</si>
  <si>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</si>
  <si>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</si>
  <si>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</si>
  <si>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</si>
  <si>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</si>
  <si>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</si>
  <si>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</si>
  <si>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</si>
  <si>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</si>
  <si>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</si>
  <si>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</si>
  <si>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</si>
  <si>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</si>
  <si>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</si>
  <si>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</si>
  <si>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</si>
  <si>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</si>
  <si>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</si>
  <si>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</si>
  <si>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</si>
  <si>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</si>
  <si>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</si>
  <si>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</si>
  <si>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</si>
  <si>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</si>
  <si>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</si>
  <si>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</si>
  <si>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</si>
  <si>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</si>
  <si>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</si>
  <si>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</si>
  <si>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</si>
  <si>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</si>
  <si>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</si>
  <si>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</si>
  <si>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</si>
  <si>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</si>
  <si>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</si>
  <si>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</si>
  <si>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</si>
  <si>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</si>
  <si>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</si>
  <si>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</si>
  <si>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</si>
  <si>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</si>
  <si>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</si>
  <si>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</si>
  <si>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</si>
  <si>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</si>
  <si>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</si>
  <si>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</si>
  <si>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</si>
  <si>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</si>
  <si>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</si>
  <si>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</si>
  <si>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</si>
  <si>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</si>
  <si>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</si>
  <si>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</si>
  <si>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</si>
  <si>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</si>
  <si>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</si>
  <si>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</si>
  <si>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</si>
  <si>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</si>
  <si>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</si>
  <si>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</si>
  <si>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</si>
  <si>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</si>
  <si>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</si>
  <si>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</si>
  <si>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</si>
  <si>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</si>
  <si>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</si>
  <si>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</si>
  <si>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</si>
  <si>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</si>
  <si>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</si>
  <si>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</si>
  <si>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</si>
  <si>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</si>
  <si>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</si>
  <si>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</si>
  <si>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</si>
  <si>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</si>
  <si>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</si>
  <si>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</si>
  <si>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</si>
  <si>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</si>
  <si>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</si>
  <si>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</si>
  <si>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</si>
  <si>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</si>
  <si>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</si>
  <si>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</si>
  <si>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</si>
  <si>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</si>
  <si>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</si>
  <si>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</si>
  <si>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</si>
  <si>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</si>
  <si>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</si>
  <si>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</si>
  <si>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</si>
  <si>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</si>
  <si>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</si>
  <si>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</si>
  <si>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</si>
  <si>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</si>
  <si>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</si>
  <si>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</si>
  <si>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</si>
  <si>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</si>
  <si>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</si>
  <si>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</si>
  <si>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</si>
  <si>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</si>
  <si>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</si>
  <si>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</si>
  <si>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</si>
  <si>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</si>
  <si>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</si>
  <si>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</si>
  <si>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</si>
  <si>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</si>
  <si>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</si>
  <si>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</si>
  <si>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</si>
  <si>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</si>
  <si>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</si>
  <si>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</si>
  <si>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</si>
  <si>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</si>
  <si>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</si>
  <si>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</si>
  <si>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</si>
  <si>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</si>
  <si>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</si>
  <si>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</si>
  <si>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</si>
  <si>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</si>
  <si>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</si>
  <si>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</si>
  <si>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</si>
  <si>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</si>
  <si>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</si>
  <si>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</si>
  <si>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</si>
  <si>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</si>
  <si>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</si>
  <si>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</si>
  <si>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</si>
  <si>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</si>
  <si>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</si>
  <si>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</si>
  <si>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</si>
  <si>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</si>
  <si>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</si>
  <si>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</si>
  <si>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</si>
  <si>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</si>
  <si>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</si>
  <si>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</si>
  <si>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</si>
  <si>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</si>
  <si>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</si>
  <si>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</si>
  <si>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</si>
  <si>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</si>
  <si>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</si>
  <si>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</si>
  <si>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</si>
  <si>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</si>
  <si>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</si>
  <si>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</si>
  <si>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</si>
  <si>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</si>
  <si>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</si>
  <si>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</si>
  <si>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</si>
  <si>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</si>
  <si>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</si>
  <si>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</si>
  <si>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</si>
  <si>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</si>
  <si>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</si>
  <si>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</si>
  <si>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</si>
  <si>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</si>
  <si>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</si>
  <si>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</si>
  <si>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</si>
  <si>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</si>
  <si>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</si>
  <si>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</si>
  <si>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</si>
  <si>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</si>
  <si>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</si>
  <si>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</si>
  <si>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</si>
  <si>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</si>
  <si>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</si>
  <si>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</si>
  <si>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</si>
  <si>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</si>
  <si>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</si>
  <si>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</si>
  <si>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</si>
  <si>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</si>
  <si>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</si>
  <si>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</si>
  <si>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</si>
  <si>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</si>
  <si>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</si>
  <si>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</si>
  <si>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</si>
  <si>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</si>
  <si>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</si>
  <si>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</si>
  <si>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</si>
  <si>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</si>
  <si>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</si>
  <si>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</si>
  <si>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</si>
  <si>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</si>
  <si>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</si>
  <si>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</si>
  <si>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</si>
  <si>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</si>
  <si>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</si>
  <si>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</si>
  <si>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</si>
  <si>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</si>
  <si>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</si>
  <si>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</si>
  <si>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</si>
  <si>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</si>
  <si>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</si>
  <si>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</si>
  <si>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</si>
  <si>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</si>
  <si>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</si>
  <si>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</si>
  <si>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</si>
  <si>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</si>
  <si>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</si>
  <si>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</si>
  <si>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</si>
  <si>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</si>
  <si>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</si>
  <si>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</si>
  <si>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</si>
  <si>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</si>
  <si>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</si>
  <si>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</si>
  <si>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</si>
  <si>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</si>
  <si>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</si>
  <si>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</si>
  <si>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</si>
  <si>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</si>
  <si>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</si>
  <si>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</si>
  <si>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</si>
  <si>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</si>
  <si>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</si>
  <si>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</si>
  <si>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</si>
  <si>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</si>
  <si>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</si>
  <si>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</si>
  <si>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</si>
  <si>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</si>
  <si>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</si>
  <si>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</si>
  <si>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</si>
  <si>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</si>
  <si>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</si>
  <si>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</si>
  <si>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</si>
  <si>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</si>
  <si>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</si>
  <si>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</si>
  <si>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</si>
  <si>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</si>
  <si>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</si>
  <si>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</si>
  <si>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</si>
  <si>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</si>
  <si>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</si>
  <si>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</si>
  <si>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</si>
  <si>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</si>
  <si>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</si>
  <si>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</si>
  <si>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</si>
  <si>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</si>
  <si>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</si>
  <si>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</si>
  <si>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</si>
  <si>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</si>
  <si>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</si>
  <si>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</si>
  <si>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</si>
  <si>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</si>
  <si>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</si>
  <si>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</si>
  <si>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</si>
  <si>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</si>
  <si>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</si>
  <si>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</si>
  <si>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</si>
  <si>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</si>
  <si>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</si>
  <si>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</si>
  <si>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</si>
  <si>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</si>
  <si>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</si>
  <si>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</si>
  <si>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</si>
  <si>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</si>
  <si>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</si>
  <si>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</si>
  <si>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</si>
  <si>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</si>
  <si>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</si>
  <si>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</si>
  <si>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</si>
  <si>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</si>
  <si>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</si>
  <si>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</si>
  <si>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</si>
  <si>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</si>
  <si>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</si>
  <si>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</si>
  <si>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</si>
  <si>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</si>
  <si>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</si>
  <si>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</si>
  <si>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</si>
  <si>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</si>
  <si>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</si>
  <si>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</si>
  <si>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</si>
  <si>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</si>
  <si>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</si>
  <si>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</si>
  <si>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</si>
  <si>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</si>
  <si>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</si>
  <si>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</si>
  <si>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</si>
  <si>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</si>
  <si>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</si>
  <si>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</si>
  <si>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</si>
  <si>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</si>
  <si>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</si>
  <si>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</si>
  <si>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</si>
  <si>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</si>
  <si>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</si>
  <si>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</si>
  <si>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</si>
  <si>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</si>
  <si>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</si>
  <si>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</si>
  <si>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</si>
  <si>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</si>
  <si>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</si>
  <si>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</si>
  <si>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</si>
  <si>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</si>
  <si>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</si>
  <si>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</si>
  <si>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</si>
  <si>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</si>
  <si>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</si>
  <si>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</si>
  <si>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</si>
  <si>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</si>
  <si>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</si>
  <si>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</si>
  <si>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</si>
  <si>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</si>
  <si>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</si>
  <si>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</si>
  <si>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</si>
  <si>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</si>
  <si>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</si>
  <si>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</si>
  <si>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</si>
  <si>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</si>
  <si>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</si>
  <si>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</si>
  <si>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</si>
  <si>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</si>
  <si>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</si>
  <si>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</si>
  <si>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</si>
  <si>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</si>
  <si>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</si>
  <si>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</si>
  <si>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</si>
  <si>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</si>
  <si>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</si>
  <si>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</si>
  <si>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</si>
  <si>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</si>
  <si>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</si>
  <si>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</si>
  <si>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</si>
  <si>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</si>
  <si>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</si>
  <si>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</si>
  <si>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</si>
  <si>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</si>
  <si>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</si>
  <si>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</si>
  <si>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</si>
  <si>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</si>
  <si>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</si>
  <si>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</si>
  <si>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</si>
  <si>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</si>
  <si>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</si>
  <si>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</si>
  <si>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</si>
  <si>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</si>
  <si>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</si>
  <si>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</si>
  <si>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</si>
  <si>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</si>
  <si>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</si>
  <si>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</si>
  <si>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</si>
  <si>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</si>
  <si>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</si>
  <si>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</si>
  <si>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</si>
  <si>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</si>
  <si>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</si>
  <si>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</si>
  <si>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</si>
  <si>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</si>
  <si>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</si>
  <si>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</si>
  <si>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</si>
  <si>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</si>
  <si>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</si>
  <si>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</si>
  <si>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</si>
  <si>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</si>
  <si>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</si>
  <si>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</si>
  <si>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</si>
  <si>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</si>
  <si>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</si>
  <si>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</si>
  <si>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</si>
  <si>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</si>
  <si>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</si>
  <si>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</si>
  <si>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</si>
  <si>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</si>
  <si>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</si>
  <si>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</si>
  <si>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</si>
  <si>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</si>
  <si>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</si>
  <si>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</si>
  <si>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</si>
  <si>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</si>
  <si>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</si>
  <si>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</si>
  <si>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</si>
  <si>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</si>
  <si>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</si>
  <si>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</si>
  <si>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</si>
  <si>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</si>
  <si>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</si>
  <si>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</si>
  <si>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</si>
  <si>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</si>
  <si>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</si>
  <si>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</si>
  <si>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</si>
  <si>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</si>
  <si>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</si>
  <si>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</si>
  <si>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</si>
  <si>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</si>
  <si>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</si>
  <si>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</si>
  <si>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</si>
  <si>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</si>
  <si>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</si>
  <si>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</si>
  <si>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</si>
  <si>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</si>
  <si>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</si>
  <si>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</si>
  <si>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</si>
  <si>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</si>
  <si>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</si>
  <si>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</si>
  <si>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</si>
  <si>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</si>
  <si>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</si>
  <si>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</si>
  <si>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</si>
  <si>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</si>
  <si>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</si>
  <si>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</si>
  <si>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</si>
  <si>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</si>
  <si>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</si>
  <si>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</si>
  <si>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</si>
  <si>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</si>
  <si>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</si>
  <si>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</si>
  <si>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</si>
  <si>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</si>
  <si>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</si>
  <si>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</si>
  <si>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</si>
  <si>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</si>
  <si>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</si>
  <si>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</si>
  <si>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</si>
  <si>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</si>
  <si>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</si>
  <si>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</si>
  <si>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</si>
  <si>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</si>
  <si>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</si>
  <si>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</si>
  <si>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</si>
  <si>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</si>
  <si>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</si>
  <si>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</si>
  <si>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</si>
  <si>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</si>
  <si>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</si>
  <si>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</si>
  <si>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</si>
  <si>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</si>
  <si>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</si>
  <si>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</si>
  <si>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</si>
  <si>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</si>
  <si>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</si>
  <si>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</si>
  <si>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</si>
  <si>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</si>
  <si>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</si>
  <si>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</si>
  <si>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</si>
  <si>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</si>
  <si>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</si>
  <si>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</si>
  <si>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</si>
  <si>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</si>
  <si>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</si>
  <si>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</si>
  <si>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</si>
  <si>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</si>
  <si>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</si>
  <si>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</si>
  <si>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</si>
  <si>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</si>
  <si>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</si>
  <si>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</si>
  <si>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</si>
  <si>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</si>
  <si>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</si>
  <si>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</si>
  <si>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</si>
  <si>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</si>
  <si>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</si>
  <si>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</si>
  <si>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</si>
  <si>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</si>
  <si>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</si>
  <si>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</si>
  <si>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</si>
  <si>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</si>
  <si>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</si>
  <si>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</si>
  <si>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</si>
  <si>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</si>
  <si>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</si>
  <si>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</si>
  <si>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</si>
  <si>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</si>
  <si>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</si>
  <si>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</si>
  <si>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</si>
  <si>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</si>
  <si>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</si>
  <si>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</si>
  <si>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</si>
  <si>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</si>
  <si>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</si>
  <si>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</si>
  <si>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</si>
  <si>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</si>
  <si>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</si>
  <si>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</si>
  <si>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</si>
  <si>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</si>
  <si>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</si>
  <si>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</si>
  <si>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</si>
  <si>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</si>
  <si>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</si>
  <si>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</si>
  <si>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</si>
  <si>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</si>
  <si>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</si>
  <si>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</si>
  <si>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</si>
  <si>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</si>
  <si>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</si>
  <si>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</si>
  <si>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</si>
  <si>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</si>
  <si>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</si>
  <si>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</si>
  <si>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</si>
  <si>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</si>
  <si>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</si>
  <si>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</si>
  <si>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</si>
  <si>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</si>
  <si>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</si>
  <si>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</si>
  <si>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</si>
  <si>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</si>
  <si>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</si>
  <si>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</si>
  <si>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</si>
  <si>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</si>
  <si>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</si>
  <si>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</si>
  <si>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</si>
  <si>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</si>
  <si>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</si>
  <si>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</si>
  <si>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</si>
  <si>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</si>
  <si>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</si>
  <si>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</si>
  <si>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</si>
  <si>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</si>
  <si>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</si>
  <si>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</si>
  <si>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</si>
  <si>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</si>
  <si>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</si>
  <si>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</si>
  <si>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</si>
  <si>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</si>
  <si>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</si>
  <si>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</si>
  <si>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</si>
  <si>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</si>
  <si>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</si>
  <si>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</si>
  <si>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</si>
  <si>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</si>
  <si>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</si>
  <si>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</si>
  <si>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</si>
  <si>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</si>
  <si>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</si>
  <si>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</si>
  <si>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</si>
  <si>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</si>
  <si>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</si>
  <si>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</si>
  <si>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</si>
  <si>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</si>
  <si>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</si>
  <si>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</si>
  <si>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</si>
  <si>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</si>
  <si>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</si>
  <si>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</si>
  <si>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</si>
  <si>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</si>
  <si>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</si>
  <si>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</si>
  <si>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</si>
  <si>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</si>
  <si>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</si>
  <si>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</si>
  <si>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</si>
  <si>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</si>
  <si>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</si>
  <si>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</si>
  <si>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</si>
  <si>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</si>
  <si>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</si>
  <si>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</si>
  <si>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</si>
  <si>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</si>
  <si>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</si>
  <si>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</si>
  <si>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</si>
  <si>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</si>
  <si>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</si>
  <si>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</si>
  <si>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</si>
  <si>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</si>
  <si>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</si>
  <si>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</si>
  <si>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</si>
  <si>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</si>
  <si>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</si>
  <si>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</si>
  <si>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</si>
  <si>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</si>
  <si>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</si>
  <si>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</si>
  <si>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</si>
  <si>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</si>
  <si>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</si>
  <si>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</si>
  <si>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</si>
  <si>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</si>
  <si>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</si>
  <si>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</si>
  <si>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</si>
  <si>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</si>
  <si>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</si>
  <si>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</si>
  <si>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</si>
  <si>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</si>
  <si>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</si>
  <si>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</si>
  <si>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</si>
  <si>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</si>
  <si>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</si>
  <si>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</si>
  <si>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</si>
  <si>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</si>
  <si>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</si>
  <si>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</si>
  <si>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</si>
  <si>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</si>
  <si>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</si>
  <si>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</si>
  <si>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</si>
  <si>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</si>
  <si>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</si>
  <si>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</si>
  <si>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</si>
  <si>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</si>
  <si>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</si>
  <si>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</si>
  <si>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</si>
  <si>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</si>
  <si>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</si>
  <si>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</si>
  <si>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</si>
  <si>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</si>
  <si>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</si>
  <si>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</si>
  <si>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</si>
  <si>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</si>
  <si>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</si>
  <si>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</si>
  <si>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</si>
  <si>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</si>
  <si>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</si>
  <si>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</si>
  <si>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</si>
  <si>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</si>
  <si>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</si>
  <si>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</si>
  <si>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</si>
  <si>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</si>
  <si>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</si>
  <si>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</si>
  <si>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</si>
  <si>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</si>
  <si>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</si>
  <si>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</si>
  <si>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</si>
  <si>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</si>
  <si>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</si>
  <si>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</si>
  <si>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</si>
  <si>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</si>
  <si>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</si>
  <si>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</si>
  <si>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</si>
  <si>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</si>
  <si>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</si>
  <si>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</si>
  <si>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</si>
  <si>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</si>
  <si>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</si>
  <si>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</si>
  <si>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</si>
  <si>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</si>
  <si>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</si>
  <si>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</si>
  <si>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</si>
  <si>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</si>
  <si>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</si>
  <si>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</si>
  <si>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</si>
  <si>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</si>
  <si>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</si>
  <si>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</si>
  <si>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</si>
  <si>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</si>
  <si>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</si>
  <si>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</si>
  <si>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</si>
  <si>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</si>
  <si>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</si>
  <si>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</si>
  <si>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</si>
  <si>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</si>
  <si>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</si>
  <si>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</si>
  <si>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</si>
  <si>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</si>
  <si>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</si>
  <si>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</si>
  <si>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</si>
  <si>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</si>
  <si>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</si>
  <si>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</si>
  <si>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</si>
  <si>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</si>
  <si>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</si>
  <si>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</si>
  <si>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</si>
  <si>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</si>
  <si>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</si>
  <si>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</si>
  <si>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</si>
  <si>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</si>
  <si>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</si>
  <si>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</si>
  <si>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</si>
  <si>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</si>
  <si>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</si>
  <si>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</si>
  <si>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</si>
  <si>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</si>
  <si>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</si>
  <si>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</si>
  <si>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</si>
  <si>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</si>
  <si>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</si>
  <si>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</si>
  <si>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</si>
  <si>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</si>
  <si>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</si>
  <si>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</si>
  <si>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</si>
  <si>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</si>
  <si>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</si>
  <si>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</si>
  <si>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</si>
  <si>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</si>
  <si>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</si>
  <si>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</si>
  <si>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</si>
  <si>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</si>
  <si>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</si>
  <si>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</si>
  <si>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</si>
  <si>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</si>
  <si>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</si>
  <si>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</si>
  <si>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</si>
  <si>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</si>
  <si>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</si>
  <si>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</si>
  <si>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</si>
  <si>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</si>
  <si>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</si>
  <si>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</si>
  <si>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</si>
  <si>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</si>
  <si>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</si>
  <si>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</si>
  <si>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</si>
  <si>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</si>
  <si>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</si>
  <si>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</si>
  <si>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</si>
  <si>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</si>
  <si>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</si>
  <si>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</si>
  <si>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</si>
  <si>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</si>
  <si>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</si>
  <si>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</si>
  <si>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</si>
  <si>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</si>
  <si>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</si>
  <si>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</si>
  <si>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</si>
  <si>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</si>
  <si>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</si>
  <si>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</si>
  <si>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</si>
  <si>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</si>
  <si>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</si>
  <si>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</si>
  <si>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</si>
  <si>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</si>
  <si>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</si>
  <si>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</si>
  <si>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</si>
  <si>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</si>
  <si>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</si>
  <si>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</si>
  <si>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</si>
  <si>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</si>
  <si>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</si>
  <si>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</si>
  <si>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</si>
  <si>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</si>
  <si>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</si>
  <si>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</si>
  <si>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</si>
  <si>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</si>
  <si>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</si>
  <si>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</si>
  <si>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</si>
  <si>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</si>
  <si>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</si>
  <si>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</si>
  <si>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</si>
  <si>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</si>
  <si>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</si>
  <si>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</si>
  <si>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</si>
  <si>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</si>
  <si>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</si>
  <si>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</si>
  <si>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</si>
  <si>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</si>
  <si>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</si>
  <si>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</si>
  <si>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</si>
  <si>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</si>
  <si>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</si>
  <si>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</si>
  <si>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</si>
  <si>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</si>
  <si>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</si>
  <si>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</si>
  <si>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</si>
  <si>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</si>
  <si>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</si>
  <si>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</si>
  <si>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</si>
  <si>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</si>
  <si>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</si>
  <si>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</si>
  <si>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</si>
  <si>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</si>
  <si>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</si>
  <si>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</si>
  <si>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</si>
  <si>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</si>
  <si>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</si>
  <si>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</si>
  <si>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</si>
  <si>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</si>
  <si>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</si>
  <si>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</si>
  <si>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</si>
  <si>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</si>
  <si>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</si>
  <si>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</si>
  <si>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</si>
  <si>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</si>
  <si>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</si>
  <si>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</si>
  <si>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</si>
  <si>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</si>
  <si>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</si>
  <si>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</si>
  <si>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</si>
  <si>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</si>
  <si>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</si>
  <si>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</si>
  <si>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</si>
  <si>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</si>
  <si>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</si>
  <si>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</si>
  <si>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</si>
  <si>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</si>
  <si>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</si>
  <si>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</si>
  <si>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</si>
  <si>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</si>
  <si>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</si>
  <si>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</si>
  <si>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</si>
  <si>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</si>
  <si>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</si>
  <si>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</si>
  <si>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</si>
  <si>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</si>
  <si>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</si>
  <si>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</si>
  <si>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</si>
  <si>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</si>
  <si>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</si>
  <si>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</si>
  <si>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</si>
  <si>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</si>
  <si>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</si>
  <si>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</si>
  <si>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</si>
  <si>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</si>
  <si>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</si>
  <si>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</si>
  <si>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</si>
  <si>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</si>
  <si>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</si>
  <si>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</si>
  <si>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08/2025</t>
  </si>
  <si>
    <t>07/2006</t>
  </si>
  <si>
    <t>02/2019</t>
  </si>
  <si>
    <t>08/2028</t>
  </si>
  <si>
    <t>Epping Middle School</t>
  </si>
  <si>
    <t xml:space="preserve">Epping High School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</si>
</sst>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
      <sz val="10"/>
      <color indexed="8"/>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61">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9" borderId="0" applyNumberFormat="0" applyBorder="0" applyAlignment="0" applyProtection="0"/>
    <xf numFmtId="0" fontId="53" fillId="10" borderId="0" applyNumberFormat="0" applyBorder="0" applyAlignment="0" applyProtection="0"/>
    <xf numFmtId="0" fontId="54" fillId="11" borderId="0" applyNumberFormat="0" applyBorder="0" applyAlignment="0" applyProtection="0"/>
    <xf numFmtId="0" fontId="55" fillId="12" borderId="31" applyNumberFormat="0" applyAlignment="0" applyProtection="0"/>
    <xf numFmtId="0" fontId="56" fillId="13" borderId="32" applyNumberFormat="0" applyAlignment="0" applyProtection="0"/>
    <xf numFmtId="0" fontId="57" fillId="13" borderId="31" applyNumberFormat="0" applyAlignment="0" applyProtection="0"/>
    <xf numFmtId="0" fontId="58" fillId="0" borderId="33" applyNumberFormat="0" applyFill="0" applyAlignment="0" applyProtection="0"/>
    <xf numFmtId="0" fontId="59" fillId="14"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3" fillId="19" borderId="0" applyNumberFormat="0" applyBorder="0" applyAlignment="0" applyProtection="0"/>
    <xf numFmtId="0" fontId="63"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3" fillId="23" borderId="0" applyNumberFormat="0" applyBorder="0" applyAlignment="0" applyProtection="0"/>
    <xf numFmtId="0" fontId="63"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3" fillId="27" borderId="0" applyNumberFormat="0" applyBorder="0" applyAlignment="0" applyProtection="0"/>
    <xf numFmtId="0" fontId="63"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3" fillId="31" borderId="0" applyNumberFormat="0" applyBorder="0" applyAlignment="0" applyProtection="0"/>
    <xf numFmtId="0" fontId="63"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3" fillId="35" borderId="0" applyNumberFormat="0" applyBorder="0" applyAlignment="0" applyProtection="0"/>
    <xf numFmtId="0" fontId="63"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3" fillId="39" borderId="0" applyNumberFormat="0" applyBorder="0" applyAlignment="0" applyProtection="0"/>
    <xf numFmtId="0" fontId="6" fillId="0" borderId="0"/>
    <xf numFmtId="0" fontId="64" fillId="0" borderId="0" applyNumberFormat="0" applyFill="0" applyBorder="0" applyAlignment="0" applyProtection="0"/>
    <xf numFmtId="0" fontId="6" fillId="15" borderId="35" applyNumberFormat="0" applyFont="0" applyAlignment="0" applyProtection="0"/>
    <xf numFmtId="0" fontId="5" fillId="0" borderId="0"/>
    <xf numFmtId="0" fontId="81" fillId="0" borderId="0"/>
    <xf numFmtId="0" fontId="1" fillId="17"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0" borderId="0"/>
    <xf numFmtId="0" fontId="1" fillId="15" borderId="35" applyNumberFormat="0" applyFont="0" applyAlignment="0" applyProtection="0"/>
    <xf numFmtId="0" fontId="1" fillId="0" borderId="0"/>
    <xf numFmtId="0" fontId="36" fillId="0" borderId="0"/>
  </cellStyleXfs>
  <cellXfs count="345">
    <xf numFmtId="0" fontId="0" fillId="0" borderId="0" xfId="0"/>
    <xf numFmtId="164" fontId="7" fillId="0" borderId="0" xfId="0" applyNumberFormat="1" applyFont="1" applyAlignment="1">
      <alignment horizontal="left"/>
    </xf>
    <xf numFmtId="165" fontId="7" fillId="0" borderId="0" xfId="0" applyNumberFormat="1" applyFont="1" applyAlignment="1">
      <alignment horizontal="left"/>
    </xf>
    <xf numFmtId="0" fontId="7" fillId="0" borderId="0" xfId="0" applyFont="1"/>
    <xf numFmtId="0" fontId="7" fillId="0" borderId="0" xfId="0" applyFont="1" applyProtection="1">
      <protection locked="0"/>
    </xf>
    <xf numFmtId="164" fontId="7" fillId="0" borderId="0" xfId="0" applyNumberFormat="1" applyFont="1" applyAlignment="1">
      <alignment horizontal="center"/>
    </xf>
    <xf numFmtId="165" fontId="7" fillId="0" borderId="0" xfId="0" applyNumberFormat="1" applyFont="1" applyAlignment="1">
      <alignment horizontal="center"/>
    </xf>
    <xf numFmtId="165" fontId="7" fillId="0" borderId="0" xfId="0" applyNumberFormat="1" applyFont="1"/>
    <xf numFmtId="165" fontId="8" fillId="0" borderId="0" xfId="0" applyNumberFormat="1" applyFont="1" applyProtection="1">
      <protection locked="0"/>
    </xf>
    <xf numFmtId="164" fontId="8" fillId="0" borderId="0" xfId="0" applyNumberFormat="1" applyFont="1" applyProtection="1">
      <protection locked="0"/>
    </xf>
    <xf numFmtId="4" fontId="8" fillId="0" borderId="0" xfId="0" applyNumberFormat="1" applyFont="1" applyProtection="1">
      <protection locked="0"/>
    </xf>
    <xf numFmtId="0" fontId="7" fillId="0" borderId="1" xfId="0" applyFont="1" applyBorder="1"/>
    <xf numFmtId="0" fontId="0" fillId="0" borderId="2" xfId="0" applyBorder="1"/>
    <xf numFmtId="40" fontId="7" fillId="0" borderId="0" xfId="0" applyNumberFormat="1" applyFont="1"/>
    <xf numFmtId="40" fontId="7" fillId="0" borderId="0" xfId="0" applyNumberFormat="1" applyFont="1" applyAlignment="1">
      <alignment horizontal="left"/>
    </xf>
    <xf numFmtId="40" fontId="7" fillId="0" borderId="0" xfId="0" quotePrefix="1" applyNumberFormat="1" applyFont="1" applyAlignment="1">
      <alignment horizontal="center"/>
    </xf>
    <xf numFmtId="40" fontId="7" fillId="0" borderId="0" xfId="0" applyNumberFormat="1" applyFont="1" applyAlignment="1">
      <alignment horizontal="center"/>
    </xf>
    <xf numFmtId="40" fontId="8" fillId="0" borderId="0" xfId="0" applyNumberFormat="1" applyFont="1" applyAlignment="1" applyProtection="1">
      <alignment horizontal="left"/>
      <protection locked="0"/>
    </xf>
    <xf numFmtId="40" fontId="8" fillId="0" borderId="0" xfId="0" applyNumberFormat="1" applyFont="1" applyProtection="1">
      <protection locked="0"/>
    </xf>
    <xf numFmtId="40" fontId="0" fillId="0" borderId="0" xfId="0" applyNumberFormat="1"/>
    <xf numFmtId="0" fontId="0" fillId="0" borderId="0" xfId="0" applyProtection="1">
      <protection locked="0"/>
    </xf>
    <xf numFmtId="40" fontId="9" fillId="0" borderId="0" xfId="0" applyNumberFormat="1" applyFont="1"/>
    <xf numFmtId="0" fontId="7" fillId="0" borderId="0" xfId="0" applyFont="1" applyAlignment="1">
      <alignment horizontal="center"/>
    </xf>
    <xf numFmtId="40" fontId="7" fillId="2" borderId="0" xfId="0" applyNumberFormat="1" applyFont="1" applyFill="1" applyAlignment="1">
      <alignment horizontal="left"/>
    </xf>
    <xf numFmtId="40" fontId="11" fillId="0" borderId="0" xfId="0" applyNumberFormat="1" applyFont="1" applyAlignment="1">
      <alignment horizontal="center"/>
    </xf>
    <xf numFmtId="40" fontId="11" fillId="0" borderId="0" xfId="0" applyNumberFormat="1" applyFont="1" applyAlignment="1">
      <alignment horizontal="left"/>
    </xf>
    <xf numFmtId="0" fontId="12" fillId="0" borderId="0" xfId="0" applyFont="1"/>
    <xf numFmtId="0" fontId="13" fillId="0" borderId="0" xfId="0" applyFont="1"/>
    <xf numFmtId="164" fontId="11" fillId="0" borderId="0" xfId="0" applyNumberFormat="1" applyFont="1" applyAlignment="1">
      <alignment horizontal="left"/>
    </xf>
    <xf numFmtId="164" fontId="12" fillId="0" borderId="0" xfId="0" applyNumberFormat="1" applyFont="1" applyAlignment="1">
      <alignment horizontal="left"/>
    </xf>
    <xf numFmtId="165" fontId="14" fillId="0" borderId="0" xfId="0" applyNumberFormat="1" applyFont="1" applyProtection="1">
      <protection locked="0"/>
    </xf>
    <xf numFmtId="0" fontId="0" fillId="0" borderId="0" xfId="0" applyAlignment="1">
      <alignment horizontal="center"/>
    </xf>
    <xf numFmtId="0" fontId="15" fillId="0" borderId="0" xfId="0" applyFont="1"/>
    <xf numFmtId="0" fontId="11" fillId="0" borderId="0" xfId="0" applyFont="1"/>
    <xf numFmtId="165" fontId="17" fillId="0" borderId="0" xfId="0" applyNumberFormat="1" applyFont="1" applyProtection="1">
      <protection locked="0"/>
    </xf>
    <xf numFmtId="164" fontId="11" fillId="0" borderId="3" xfId="0" applyNumberFormat="1" applyFont="1" applyBorder="1" applyAlignment="1">
      <alignment horizontal="left"/>
    </xf>
    <xf numFmtId="165" fontId="7" fillId="0" borderId="3" xfId="0" applyNumberFormat="1" applyFont="1" applyBorder="1" applyAlignment="1">
      <alignment horizontal="left"/>
    </xf>
    <xf numFmtId="165" fontId="7" fillId="0" borderId="3" xfId="0" applyNumberFormat="1" applyFont="1" applyBorder="1" applyAlignment="1">
      <alignment horizontal="center"/>
    </xf>
    <xf numFmtId="40" fontId="7" fillId="0" borderId="3" xfId="0" applyNumberFormat="1" applyFont="1" applyBorder="1"/>
    <xf numFmtId="40" fontId="0" fillId="0" borderId="3" xfId="0" applyNumberFormat="1" applyBorder="1"/>
    <xf numFmtId="0" fontId="15" fillId="0" borderId="3" xfId="0" applyFont="1" applyBorder="1"/>
    <xf numFmtId="0" fontId="7" fillId="0" borderId="3" xfId="0" applyFont="1" applyBorder="1" applyAlignment="1">
      <alignment horizontal="center"/>
    </xf>
    <xf numFmtId="40" fontId="7" fillId="2" borderId="3" xfId="0" applyNumberFormat="1" applyFont="1" applyFill="1" applyBorder="1" applyAlignment="1">
      <alignment horizontal="left"/>
    </xf>
    <xf numFmtId="0" fontId="11" fillId="0" borderId="3" xfId="0" applyFont="1" applyBorder="1"/>
    <xf numFmtId="165" fontId="7" fillId="0" borderId="4" xfId="0" applyNumberFormat="1" applyFont="1" applyBorder="1" applyAlignment="1">
      <alignment horizontal="left"/>
    </xf>
    <xf numFmtId="40" fontId="7" fillId="2" borderId="4" xfId="0" applyNumberFormat="1" applyFont="1" applyFill="1" applyBorder="1" applyAlignment="1">
      <alignment horizontal="left"/>
    </xf>
    <xf numFmtId="164" fontId="11" fillId="0" borderId="4" xfId="0" applyNumberFormat="1" applyFont="1" applyBorder="1" applyAlignment="1">
      <alignment horizontal="left"/>
    </xf>
    <xf numFmtId="165" fontId="7" fillId="0" borderId="4" xfId="0" applyNumberFormat="1" applyFont="1" applyBorder="1" applyAlignment="1">
      <alignment horizontal="center"/>
    </xf>
    <xf numFmtId="49" fontId="7" fillId="0" borderId="0" xfId="0" applyNumberFormat="1" applyFont="1" applyAlignment="1">
      <alignment horizontal="center"/>
    </xf>
    <xf numFmtId="0" fontId="7" fillId="0" borderId="5" xfId="0" applyFont="1" applyBorder="1"/>
    <xf numFmtId="49" fontId="7" fillId="0" borderId="5" xfId="0" applyNumberFormat="1" applyFont="1" applyBorder="1" applyAlignment="1">
      <alignment horizontal="center"/>
    </xf>
    <xf numFmtId="0" fontId="7" fillId="0" borderId="6" xfId="0" applyFont="1" applyBorder="1"/>
    <xf numFmtId="165" fontId="7" fillId="0" borderId="6" xfId="0" applyNumberFormat="1" applyFont="1" applyBorder="1" applyAlignment="1">
      <alignment horizontal="left"/>
    </xf>
    <xf numFmtId="40" fontId="8" fillId="0" borderId="6" xfId="0" applyNumberFormat="1" applyFont="1" applyBorder="1" applyProtection="1">
      <protection locked="0"/>
    </xf>
    <xf numFmtId="40" fontId="9" fillId="0" borderId="3" xfId="0" applyNumberFormat="1" applyFont="1" applyBorder="1" applyProtection="1">
      <protection locked="0"/>
    </xf>
    <xf numFmtId="40" fontId="9" fillId="0" borderId="0" xfId="0" applyNumberFormat="1" applyFont="1" applyProtection="1">
      <protection locked="0"/>
    </xf>
    <xf numFmtId="165" fontId="7" fillId="0" borderId="6" xfId="0" applyNumberFormat="1" applyFont="1" applyBorder="1" applyAlignment="1">
      <alignment horizontal="center"/>
    </xf>
    <xf numFmtId="40" fontId="7" fillId="0" borderId="6" xfId="0" applyNumberFormat="1" applyFont="1" applyBorder="1"/>
    <xf numFmtId="0" fontId="7" fillId="0" borderId="6" xfId="0" applyFont="1" applyBorder="1" applyAlignment="1">
      <alignment horizontal="center"/>
    </xf>
    <xf numFmtId="164" fontId="11" fillId="0" borderId="6" xfId="0" applyNumberFormat="1" applyFont="1" applyBorder="1" applyAlignment="1">
      <alignment horizontal="left"/>
    </xf>
    <xf numFmtId="165" fontId="11" fillId="0" borderId="0" xfId="0" applyNumberFormat="1" applyFont="1" applyAlignment="1">
      <alignment horizontal="left"/>
    </xf>
    <xf numFmtId="49" fontId="11" fillId="0" borderId="0" xfId="0" applyNumberFormat="1" applyFont="1" applyAlignment="1">
      <alignment horizontal="left"/>
    </xf>
    <xf numFmtId="49" fontId="7" fillId="0" borderId="0" xfId="0" applyNumberFormat="1" applyFont="1" applyAlignment="1">
      <alignment horizontal="left"/>
    </xf>
    <xf numFmtId="0" fontId="7" fillId="0" borderId="4" xfId="0" applyFont="1" applyBorder="1" applyAlignment="1">
      <alignment horizontal="center"/>
    </xf>
    <xf numFmtId="0" fontId="0" fillId="0" borderId="3" xfId="0" applyBorder="1" applyAlignment="1">
      <alignment horizontal="center"/>
    </xf>
    <xf numFmtId="40" fontId="7" fillId="0" borderId="4" xfId="0" applyNumberFormat="1" applyFont="1" applyBorder="1"/>
    <xf numFmtId="40" fontId="0" fillId="0" borderId="0" xfId="0" applyNumberFormat="1" applyAlignment="1">
      <alignment horizontal="center"/>
    </xf>
    <xf numFmtId="40" fontId="9" fillId="0" borderId="0" xfId="0" applyNumberFormat="1" applyFont="1" applyAlignment="1" applyProtection="1">
      <alignment horizontal="center" vertical="justify"/>
      <protection locked="0"/>
    </xf>
    <xf numFmtId="40" fontId="0" fillId="0" borderId="4" xfId="0" applyNumberFormat="1" applyBorder="1"/>
    <xf numFmtId="40" fontId="9" fillId="0" borderId="0" xfId="0" applyNumberFormat="1" applyFont="1" applyAlignment="1">
      <alignment horizontal="right"/>
    </xf>
    <xf numFmtId="40" fontId="9" fillId="0" borderId="3" xfId="0" applyNumberFormat="1" applyFont="1" applyBorder="1" applyAlignment="1">
      <alignment horizontal="right"/>
    </xf>
    <xf numFmtId="0" fontId="16" fillId="0" borderId="0" xfId="0" applyFont="1"/>
    <xf numFmtId="0" fontId="18" fillId="0" borderId="0" xfId="0" applyFont="1"/>
    <xf numFmtId="40" fontId="8" fillId="0" borderId="0" xfId="0" applyNumberFormat="1" applyFont="1"/>
    <xf numFmtId="40" fontId="19" fillId="0" borderId="0" xfId="0" applyNumberFormat="1" applyFont="1"/>
    <xf numFmtId="40" fontId="19" fillId="0" borderId="3" xfId="0" applyNumberFormat="1" applyFont="1" applyBorder="1"/>
    <xf numFmtId="40" fontId="19" fillId="0" borderId="0" xfId="0" applyNumberFormat="1" applyFont="1" applyAlignment="1">
      <alignment horizontal="center"/>
    </xf>
    <xf numFmtId="40" fontId="9" fillId="0" borderId="0" xfId="0" applyNumberFormat="1" applyFont="1" applyAlignment="1">
      <alignment horizontal="center"/>
    </xf>
    <xf numFmtId="0" fontId="9" fillId="0" borderId="0" xfId="0" applyFont="1" applyAlignment="1">
      <alignment horizontal="center" vertical="justify"/>
    </xf>
    <xf numFmtId="40" fontId="9" fillId="0" borderId="0" xfId="0" applyNumberFormat="1" applyFont="1" applyAlignment="1">
      <alignment horizontal="center" vertical="justify"/>
    </xf>
    <xf numFmtId="40" fontId="9" fillId="0" borderId="0" xfId="0" applyNumberFormat="1" applyFont="1" applyAlignment="1">
      <alignment horizontal="right" vertical="justify"/>
    </xf>
    <xf numFmtId="40" fontId="9" fillId="0" borderId="3" xfId="0" applyNumberFormat="1" applyFont="1" applyBorder="1" applyAlignment="1">
      <alignment horizontal="right" vertical="justify"/>
    </xf>
    <xf numFmtId="49" fontId="7" fillId="0" borderId="0" xfId="0" applyNumberFormat="1" applyFont="1" applyAlignment="1" applyProtection="1">
      <alignment horizontal="left"/>
      <protection locked="0"/>
    </xf>
    <xf numFmtId="40" fontId="19" fillId="0" borderId="0" xfId="0" applyNumberFormat="1" applyFont="1" applyAlignment="1">
      <alignment horizontal="center" vertical="justify"/>
    </xf>
    <xf numFmtId="40" fontId="15" fillId="0" borderId="0" xfId="0" applyNumberFormat="1" applyFont="1" applyAlignment="1">
      <alignment horizontal="center"/>
    </xf>
    <xf numFmtId="0" fontId="7" fillId="0" borderId="0" xfId="0" quotePrefix="1" applyFont="1" applyAlignment="1">
      <alignment horizontal="left"/>
    </xf>
    <xf numFmtId="14" fontId="7" fillId="0" borderId="0" xfId="0" quotePrefix="1" applyNumberFormat="1" applyFont="1" applyAlignment="1">
      <alignment horizontal="left"/>
    </xf>
    <xf numFmtId="40" fontId="9" fillId="0" borderId="0" xfId="0" quotePrefix="1" applyNumberFormat="1" applyFont="1" applyAlignment="1">
      <alignment horizontal="left" vertical="justify"/>
    </xf>
    <xf numFmtId="40" fontId="19" fillId="0" borderId="0" xfId="0" applyNumberFormat="1" applyFont="1" applyAlignment="1">
      <alignment horizontal="centerContinuous" vertical="justify"/>
    </xf>
    <xf numFmtId="40" fontId="19" fillId="0" borderId="0" xfId="0" applyNumberFormat="1" applyFont="1" applyAlignment="1">
      <alignment horizontal="centerContinuous"/>
    </xf>
    <xf numFmtId="40" fontId="7" fillId="0" borderId="0" xfId="0" applyNumberFormat="1" applyFont="1" applyProtection="1">
      <protection locked="0"/>
    </xf>
    <xf numFmtId="40" fontId="7" fillId="0" borderId="0" xfId="0" quotePrefix="1" applyNumberFormat="1" applyFont="1" applyAlignment="1" applyProtection="1">
      <alignment horizontal="center"/>
      <protection locked="0"/>
    </xf>
    <xf numFmtId="40" fontId="20" fillId="0" borderId="0" xfId="0" applyNumberFormat="1" applyFont="1"/>
    <xf numFmtId="40" fontId="9" fillId="0" borderId="4" xfId="0" applyNumberFormat="1" applyFont="1" applyBorder="1"/>
    <xf numFmtId="40" fontId="21" fillId="0" borderId="4" xfId="0" applyNumberFormat="1" applyFont="1" applyBorder="1"/>
    <xf numFmtId="0" fontId="7" fillId="0" borderId="0" xfId="0" applyFont="1" applyAlignment="1">
      <alignment horizontal="left"/>
    </xf>
    <xf numFmtId="2" fontId="0" fillId="0" borderId="0" xfId="0" applyNumberFormat="1"/>
    <xf numFmtId="40" fontId="9" fillId="0" borderId="3" xfId="0" applyNumberFormat="1" applyFont="1" applyBorder="1"/>
    <xf numFmtId="40" fontId="0" fillId="0" borderId="7" xfId="0" applyNumberFormat="1" applyBorder="1"/>
    <xf numFmtId="14" fontId="7" fillId="0" borderId="0" xfId="0" applyNumberFormat="1" applyFont="1" applyAlignment="1">
      <alignment horizontal="left"/>
    </xf>
    <xf numFmtId="40" fontId="9" fillId="0" borderId="0" xfId="0" applyNumberFormat="1" applyFont="1" applyAlignment="1">
      <alignment horizontal="left" vertical="justify"/>
    </xf>
    <xf numFmtId="40" fontId="0" fillId="0" borderId="0" xfId="0" applyNumberFormat="1" applyProtection="1">
      <protection locked="0"/>
    </xf>
    <xf numFmtId="0" fontId="8" fillId="0" borderId="0" xfId="0" applyFont="1" applyProtection="1">
      <protection locked="0"/>
    </xf>
    <xf numFmtId="40" fontId="9" fillId="0" borderId="0" xfId="0" applyNumberFormat="1" applyFont="1" applyAlignment="1">
      <alignment horizontal="left"/>
    </xf>
    <xf numFmtId="40" fontId="19" fillId="0" borderId="0" xfId="0" quotePrefix="1" applyNumberFormat="1" applyFont="1" applyAlignment="1">
      <alignment horizontal="left"/>
    </xf>
    <xf numFmtId="0" fontId="9" fillId="0" borderId="3" xfId="0" applyFont="1" applyBorder="1" applyAlignment="1">
      <alignment horizontal="center" vertical="justify"/>
    </xf>
    <xf numFmtId="40" fontId="9" fillId="0" borderId="3" xfId="0" applyNumberFormat="1" applyFont="1" applyBorder="1" applyAlignment="1">
      <alignment horizontal="center" vertical="justify"/>
    </xf>
    <xf numFmtId="40" fontId="22" fillId="0" borderId="0" xfId="0" quotePrefix="1" applyNumberFormat="1" applyFont="1" applyAlignment="1">
      <alignment horizontal="center" vertical="justify"/>
    </xf>
    <xf numFmtId="40" fontId="22"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8" fillId="0" borderId="0" xfId="0" applyNumberFormat="1" applyFont="1" applyAlignment="1" applyProtection="1">
      <alignment horizontal="center"/>
      <protection locked="0"/>
    </xf>
    <xf numFmtId="49" fontId="8"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7" fillId="0" borderId="3" xfId="0" applyFont="1" applyBorder="1" applyAlignment="1">
      <alignment horizontal="left"/>
    </xf>
    <xf numFmtId="49" fontId="25" fillId="0" borderId="0" xfId="0" applyNumberFormat="1" applyFont="1" applyAlignment="1">
      <alignment horizontal="left"/>
    </xf>
    <xf numFmtId="40" fontId="22" fillId="0" borderId="0" xfId="0" applyNumberFormat="1" applyFont="1"/>
    <xf numFmtId="0" fontId="26" fillId="0" borderId="0" xfId="0" applyFont="1" applyAlignment="1">
      <alignment horizontal="center"/>
    </xf>
    <xf numFmtId="14" fontId="26" fillId="0" borderId="0" xfId="0" quotePrefix="1" applyNumberFormat="1" applyFont="1" applyAlignment="1">
      <alignment horizontal="left"/>
    </xf>
    <xf numFmtId="40" fontId="22" fillId="0" borderId="0" xfId="0" quotePrefix="1" applyNumberFormat="1" applyFont="1" applyAlignment="1">
      <alignment horizontal="left" vertical="justify"/>
    </xf>
    <xf numFmtId="40" fontId="22" fillId="0" borderId="0" xfId="0" applyNumberFormat="1" applyFont="1" applyAlignment="1" applyProtection="1">
      <alignment horizontal="center" vertical="justify"/>
      <protection locked="0"/>
    </xf>
    <xf numFmtId="40" fontId="22" fillId="0" borderId="0" xfId="0" applyNumberFormat="1" applyFont="1" applyAlignment="1">
      <alignment horizontal="right"/>
    </xf>
    <xf numFmtId="165" fontId="27" fillId="0" borderId="0" xfId="0" applyNumberFormat="1" applyFont="1" applyProtection="1">
      <protection locked="0"/>
    </xf>
    <xf numFmtId="0" fontId="26" fillId="0" borderId="0" xfId="0" applyFont="1"/>
    <xf numFmtId="164" fontId="28" fillId="0" borderId="0" xfId="0" applyNumberFormat="1" applyFont="1" applyAlignment="1">
      <alignment horizontal="left"/>
    </xf>
    <xf numFmtId="40" fontId="24" fillId="0" borderId="3" xfId="0" applyNumberFormat="1" applyFont="1" applyBorder="1"/>
    <xf numFmtId="40" fontId="24" fillId="0" borderId="0" xfId="0" applyNumberFormat="1" applyFont="1"/>
    <xf numFmtId="40" fontId="19" fillId="0" borderId="0" xfId="0" quotePrefix="1" applyNumberFormat="1" applyFont="1"/>
    <xf numFmtId="38" fontId="0" fillId="0" borderId="0" xfId="0" applyNumberFormat="1"/>
    <xf numFmtId="38" fontId="15" fillId="0" borderId="0" xfId="0" applyNumberFormat="1" applyFont="1"/>
    <xf numFmtId="0" fontId="15" fillId="0" borderId="0" xfId="0" applyFont="1" applyAlignment="1">
      <alignment horizontal="center"/>
    </xf>
    <xf numFmtId="167" fontId="0" fillId="0" borderId="0" xfId="0" applyNumberFormat="1"/>
    <xf numFmtId="0" fontId="0" fillId="0" borderId="0" xfId="0" applyAlignment="1">
      <alignment horizontal="right"/>
    </xf>
    <xf numFmtId="167" fontId="15" fillId="0" borderId="0" xfId="0" applyNumberFormat="1" applyFont="1"/>
    <xf numFmtId="49" fontId="31" fillId="0" borderId="0" xfId="0" applyNumberFormat="1" applyFont="1"/>
    <xf numFmtId="0" fontId="32" fillId="0" borderId="0" xfId="0" applyFont="1"/>
    <xf numFmtId="0" fontId="32" fillId="0" borderId="0" xfId="0" quotePrefix="1" applyFont="1" applyAlignment="1">
      <alignment horizontal="left"/>
    </xf>
    <xf numFmtId="0" fontId="16" fillId="0" borderId="0" xfId="0" quotePrefix="1" applyFont="1" applyAlignment="1">
      <alignment horizontal="left"/>
    </xf>
    <xf numFmtId="40" fontId="9" fillId="0" borderId="0" xfId="0" quotePrefix="1" applyNumberFormat="1" applyFont="1" applyAlignment="1">
      <alignment horizontal="left"/>
    </xf>
    <xf numFmtId="0" fontId="7" fillId="0" borderId="4" xfId="0" applyFont="1" applyBorder="1" applyAlignment="1">
      <alignment horizontal="left"/>
    </xf>
    <xf numFmtId="40" fontId="9" fillId="0" borderId="4" xfId="0" applyNumberFormat="1" applyFont="1" applyBorder="1" applyAlignment="1">
      <alignment horizontal="right"/>
    </xf>
    <xf numFmtId="164" fontId="26" fillId="0" borderId="0" xfId="0" applyNumberFormat="1" applyFont="1" applyAlignment="1">
      <alignment horizontal="left"/>
    </xf>
    <xf numFmtId="40" fontId="26" fillId="0" borderId="0" xfId="0" applyNumberFormat="1" applyFont="1"/>
    <xf numFmtId="40" fontId="9" fillId="0" borderId="5" xfId="0" applyNumberFormat="1" applyFont="1" applyBorder="1"/>
    <xf numFmtId="0" fontId="7" fillId="0" borderId="5" xfId="0" applyFont="1" applyBorder="1" applyAlignment="1">
      <alignment horizontal="center"/>
    </xf>
    <xf numFmtId="165" fontId="7" fillId="0" borderId="5" xfId="0" applyNumberFormat="1" applyFont="1" applyBorder="1" applyAlignment="1">
      <alignment horizontal="left"/>
    </xf>
    <xf numFmtId="40" fontId="8" fillId="0" borderId="5" xfId="0" applyNumberFormat="1" applyFont="1" applyBorder="1" applyProtection="1">
      <protection locked="0"/>
    </xf>
    <xf numFmtId="40" fontId="0" fillId="0" borderId="5" xfId="0" applyNumberFormat="1" applyBorder="1"/>
    <xf numFmtId="40" fontId="7"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5" fillId="3" borderId="0" xfId="0" applyNumberFormat="1" applyFont="1" applyFill="1" applyAlignment="1" applyProtection="1">
      <alignment horizontal="center"/>
      <protection locked="0"/>
    </xf>
    <xf numFmtId="1" fontId="0" fillId="0" borderId="0" xfId="0" applyNumberFormat="1" applyAlignment="1">
      <alignment horizontal="right"/>
    </xf>
    <xf numFmtId="49" fontId="16"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5"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6" fillId="0" borderId="0" xfId="0" applyNumberFormat="1" applyFont="1" applyAlignment="1">
      <alignment horizontal="left"/>
    </xf>
    <xf numFmtId="40" fontId="7" fillId="4" borderId="0" xfId="0" applyNumberFormat="1" applyFont="1" applyFill="1" applyAlignment="1">
      <alignment horizontal="center"/>
    </xf>
    <xf numFmtId="40" fontId="26" fillId="0" borderId="0" xfId="0" applyNumberFormat="1" applyFont="1" applyAlignment="1">
      <alignment horizontal="center"/>
    </xf>
    <xf numFmtId="0" fontId="11" fillId="0" borderId="0" xfId="0" applyFont="1" applyAlignment="1">
      <alignment horizontal="center"/>
    </xf>
    <xf numFmtId="0" fontId="15" fillId="0" borderId="1" xfId="0" applyFont="1" applyBorder="1" applyAlignment="1">
      <alignment horizontal="center"/>
    </xf>
    <xf numFmtId="40" fontId="15" fillId="0" borderId="14" xfId="0" applyNumberFormat="1" applyFont="1" applyBorder="1"/>
    <xf numFmtId="4" fontId="15" fillId="0" borderId="0" xfId="0" applyNumberFormat="1" applyFont="1"/>
    <xf numFmtId="4" fontId="15" fillId="0" borderId="5" xfId="0" applyNumberFormat="1" applyFont="1" applyBorder="1"/>
    <xf numFmtId="49" fontId="10" fillId="0" borderId="0" xfId="0" applyNumberFormat="1" applyFont="1"/>
    <xf numFmtId="0" fontId="15" fillId="0" borderId="0" xfId="0" applyFont="1" applyAlignment="1">
      <alignment horizontal="right"/>
    </xf>
    <xf numFmtId="4" fontId="15" fillId="0" borderId="14" xfId="0" applyNumberFormat="1" applyFont="1" applyBorder="1"/>
    <xf numFmtId="40" fontId="15" fillId="0" borderId="14" xfId="0" applyNumberFormat="1" applyFont="1" applyBorder="1" applyAlignment="1">
      <alignment horizontal="right"/>
    </xf>
    <xf numFmtId="49" fontId="15" fillId="0" borderId="0" xfId="0" applyNumberFormat="1" applyFont="1" applyAlignment="1">
      <alignment horizontal="center"/>
    </xf>
    <xf numFmtId="0" fontId="37" fillId="0" borderId="0" xfId="0" applyFont="1" applyAlignment="1">
      <alignment horizontal="center"/>
    </xf>
    <xf numFmtId="164" fontId="29" fillId="0" borderId="0" xfId="0" applyNumberFormat="1" applyFont="1" applyAlignment="1">
      <alignment horizontal="left"/>
    </xf>
    <xf numFmtId="4" fontId="10" fillId="0" borderId="0" xfId="0" applyNumberFormat="1" applyFont="1" applyProtection="1">
      <protection locked="0"/>
    </xf>
    <xf numFmtId="0" fontId="15" fillId="0" borderId="15" xfId="0" applyFont="1" applyBorder="1" applyAlignment="1">
      <alignment horizontal="center"/>
    </xf>
    <xf numFmtId="0" fontId="15"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5" fillId="0" borderId="8" xfId="0" applyNumberFormat="1" applyFont="1" applyBorder="1"/>
    <xf numFmtId="2" fontId="10" fillId="0" borderId="0" xfId="0" applyNumberFormat="1" applyFont="1" applyProtection="1">
      <protection locked="0"/>
    </xf>
    <xf numFmtId="2" fontId="8" fillId="0" borderId="0" xfId="0" applyNumberFormat="1" applyFont="1" applyProtection="1">
      <protection locked="0"/>
    </xf>
    <xf numFmtId="166" fontId="15" fillId="0" borderId="0" xfId="0" applyNumberFormat="1" applyFont="1"/>
    <xf numFmtId="0" fontId="15" fillId="0" borderId="5" xfId="0" applyFont="1" applyBorder="1" applyAlignment="1">
      <alignment horizontal="center"/>
    </xf>
    <xf numFmtId="0" fontId="15"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7" fillId="0" borderId="0" xfId="0" applyFont="1"/>
    <xf numFmtId="49" fontId="32" fillId="0" borderId="0" xfId="0" applyNumberFormat="1" applyFont="1" applyAlignment="1">
      <alignment horizontal="left"/>
    </xf>
    <xf numFmtId="0" fontId="10" fillId="0" borderId="0" xfId="0" applyFont="1"/>
    <xf numFmtId="0" fontId="39" fillId="0" borderId="0" xfId="0" applyFont="1"/>
    <xf numFmtId="0" fontId="31" fillId="0" borderId="0" xfId="0" applyFont="1"/>
    <xf numFmtId="0" fontId="13" fillId="0" borderId="0" xfId="0" applyFont="1" applyAlignment="1">
      <alignment horizontal="center"/>
    </xf>
    <xf numFmtId="0" fontId="0" fillId="0" borderId="15" xfId="0" applyBorder="1"/>
    <xf numFmtId="0" fontId="15" fillId="0" borderId="21" xfId="0" applyFont="1" applyBorder="1" applyAlignment="1">
      <alignment horizontal="center"/>
    </xf>
    <xf numFmtId="0" fontId="15" fillId="0" borderId="23" xfId="0" applyFont="1" applyBorder="1" applyAlignment="1">
      <alignment horizontal="center"/>
    </xf>
    <xf numFmtId="0" fontId="15" fillId="6" borderId="0" xfId="0" applyFont="1" applyFill="1" applyAlignment="1">
      <alignment horizontal="center"/>
    </xf>
    <xf numFmtId="0" fontId="15" fillId="6" borderId="5" xfId="0" applyFont="1" applyFill="1" applyBorder="1" applyAlignment="1">
      <alignment horizontal="center"/>
    </xf>
    <xf numFmtId="40" fontId="15"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3" fillId="0" borderId="0" xfId="0" applyFont="1"/>
    <xf numFmtId="0" fontId="44" fillId="0" borderId="0" xfId="0" applyFont="1"/>
    <xf numFmtId="40" fontId="16" fillId="0" borderId="0" xfId="0" applyNumberFormat="1" applyFont="1"/>
    <xf numFmtId="10" fontId="0" fillId="7" borderId="0" xfId="0" applyNumberFormat="1" applyFill="1"/>
    <xf numFmtId="0" fontId="15" fillId="7" borderId="0" xfId="0" applyFont="1" applyFill="1" applyAlignment="1">
      <alignment horizontal="center"/>
    </xf>
    <xf numFmtId="0" fontId="15" fillId="7" borderId="24" xfId="0" applyFont="1" applyFill="1" applyBorder="1" applyAlignment="1">
      <alignment horizontal="center" vertical="center" wrapText="1"/>
    </xf>
    <xf numFmtId="0" fontId="15" fillId="7" borderId="25" xfId="0" applyFont="1" applyFill="1" applyBorder="1" applyAlignment="1">
      <alignment horizontal="center" vertical="center" wrapText="1"/>
    </xf>
    <xf numFmtId="0" fontId="0" fillId="7" borderId="0" xfId="0" applyFill="1"/>
    <xf numFmtId="0" fontId="33" fillId="8" borderId="0" xfId="0" applyFont="1" applyFill="1" applyProtection="1">
      <protection locked="0"/>
    </xf>
    <xf numFmtId="0" fontId="15" fillId="8" borderId="0" xfId="0" applyFont="1" applyFill="1" applyProtection="1">
      <protection locked="0"/>
    </xf>
    <xf numFmtId="4" fontId="0" fillId="0" borderId="0" xfId="0" applyNumberFormat="1" applyProtection="1">
      <protection locked="0"/>
    </xf>
    <xf numFmtId="49" fontId="0" fillId="0" borderId="0" xfId="0" applyNumberFormat="1"/>
    <xf numFmtId="0" fontId="33" fillId="8" borderId="0" xfId="0" applyFont="1" applyFill="1"/>
    <xf numFmtId="0" fontId="0" fillId="8" borderId="0" xfId="0" applyFill="1"/>
    <xf numFmtId="0" fontId="15" fillId="8" borderId="0" xfId="0" applyFont="1" applyFill="1"/>
    <xf numFmtId="0" fontId="15" fillId="8" borderId="26" xfId="0" applyFont="1" applyFill="1" applyBorder="1" applyAlignment="1">
      <alignment horizontal="center"/>
    </xf>
    <xf numFmtId="0" fontId="15" fillId="8" borderId="26" xfId="0" applyFont="1" applyFill="1" applyBorder="1" applyAlignment="1">
      <alignment horizontal="center" wrapText="1"/>
    </xf>
    <xf numFmtId="0" fontId="15" fillId="8" borderId="26" xfId="0" applyFont="1" applyFill="1" applyBorder="1"/>
    <xf numFmtId="2" fontId="15"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6" fillId="0" borderId="23" xfId="40" applyBorder="1" applyAlignment="1">
      <alignment horizontal="left"/>
    </xf>
    <xf numFmtId="0" fontId="6" fillId="0" borderId="37" xfId="40" applyBorder="1" applyAlignment="1">
      <alignment horizontal="left"/>
    </xf>
    <xf numFmtId="0" fontId="66" fillId="0" borderId="0" xfId="0" applyFont="1"/>
    <xf numFmtId="0" fontId="33" fillId="0" borderId="0" xfId="0" applyFont="1"/>
    <xf numFmtId="0" fontId="65" fillId="0" borderId="0" xfId="0" applyFont="1"/>
    <xf numFmtId="4" fontId="66" fillId="0" borderId="0" xfId="0" applyNumberFormat="1" applyFont="1"/>
    <xf numFmtId="4" fontId="66" fillId="0" borderId="5" xfId="0" applyNumberFormat="1" applyFont="1" applyBorder="1"/>
    <xf numFmtId="0" fontId="66" fillId="0" borderId="0" xfId="0" applyFont="1" applyAlignment="1">
      <alignment horizontal="center"/>
    </xf>
    <xf numFmtId="0" fontId="68" fillId="0" borderId="0" xfId="0" applyFont="1" applyAlignment="1">
      <alignment horizontal="right"/>
    </xf>
    <xf numFmtId="0" fontId="66" fillId="40"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lignment horizontal="center"/>
    </xf>
    <xf numFmtId="165" fontId="69"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8" fillId="7" borderId="0" xfId="0" applyNumberFormat="1" applyFont="1" applyFill="1"/>
    <xf numFmtId="49" fontId="40" fillId="0" borderId="0" xfId="0" applyNumberFormat="1" applyFont="1"/>
    <xf numFmtId="0" fontId="41"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5" fillId="0" borderId="0" xfId="43"/>
    <xf numFmtId="0" fontId="5"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5" fillId="0" borderId="39" xfId="0" applyNumberFormat="1" applyFont="1" applyBorder="1"/>
    <xf numFmtId="0" fontId="4"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0" fillId="0" borderId="0" xfId="43" applyFont="1"/>
    <xf numFmtId="0" fontId="62" fillId="43" borderId="0" xfId="43" applyFont="1" applyFill="1"/>
    <xf numFmtId="0" fontId="62" fillId="43" borderId="0" xfId="43" applyFont="1" applyFill="1" applyAlignment="1">
      <alignment horizontal="center"/>
    </xf>
    <xf numFmtId="0" fontId="5" fillId="43" borderId="0" xfId="43" applyFill="1"/>
    <xf numFmtId="0" fontId="3" fillId="43" borderId="0" xfId="43" applyFont="1" applyFill="1"/>
    <xf numFmtId="0" fontId="3" fillId="43" borderId="0" xfId="43" applyFont="1" applyFill="1" applyAlignment="1">
      <alignment wrapText="1"/>
    </xf>
    <xf numFmtId="40" fontId="5" fillId="44" borderId="0" xfId="43" applyNumberFormat="1" applyFill="1"/>
    <xf numFmtId="0" fontId="2" fillId="43" borderId="0" xfId="43" applyFont="1" applyFill="1"/>
    <xf numFmtId="49" fontId="7" fillId="43" borderId="0" xfId="0" applyNumberFormat="1" applyFont="1" applyFill="1" applyProtection="1">
      <protection locked="0"/>
    </xf>
    <xf numFmtId="0" fontId="74" fillId="0" borderId="40" xfId="0" applyFont="1" applyBorder="1" applyAlignment="1" applyProtection="1">
      <alignment vertical="top" wrapText="1" readingOrder="1"/>
      <protection locked="0"/>
    </xf>
    <xf numFmtId="0" fontId="75" fillId="45" borderId="41" xfId="0" applyFont="1" applyFill="1" applyBorder="1" applyAlignment="1" applyProtection="1">
      <alignment horizontal="right" vertical="top" wrapText="1" readingOrder="1"/>
      <protection locked="0"/>
    </xf>
    <xf numFmtId="0" fontId="75" fillId="45" borderId="41" xfId="0" applyFont="1" applyFill="1" applyBorder="1" applyAlignment="1" applyProtection="1">
      <alignment vertical="top" wrapText="1" readingOrder="1"/>
      <protection locked="0"/>
    </xf>
    <xf numFmtId="0" fontId="76" fillId="0" borderId="41" xfId="0" applyFont="1" applyBorder="1" applyAlignment="1" applyProtection="1">
      <alignment vertical="top" wrapText="1" readingOrder="1"/>
      <protection locked="0"/>
    </xf>
    <xf numFmtId="0" fontId="75" fillId="45" borderId="0" xfId="0" applyFont="1" applyFill="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74" fillId="0" borderId="0" xfId="0" applyFont="1" applyAlignment="1" applyProtection="1">
      <alignment vertical="top" wrapText="1" readingOrder="1"/>
      <protection locked="0"/>
    </xf>
    <xf numFmtId="0" fontId="0" fillId="0" borderId="40" xfId="0" applyBorder="1"/>
    <xf numFmtId="0" fontId="73" fillId="43" borderId="0" xfId="0" applyFont="1" applyFill="1"/>
    <xf numFmtId="0" fontId="36" fillId="43" borderId="0" xfId="0" applyFont="1" applyFill="1"/>
    <xf numFmtId="0" fontId="0" fillId="43" borderId="0" xfId="0" applyFill="1"/>
    <xf numFmtId="0" fontId="73" fillId="46" borderId="0" xfId="0" applyFont="1" applyFill="1"/>
    <xf numFmtId="0" fontId="36" fillId="46" borderId="0" xfId="0" applyFont="1" applyFill="1"/>
    <xf numFmtId="0" fontId="0" fillId="46" borderId="0" xfId="0" applyFill="1"/>
    <xf numFmtId="0" fontId="73" fillId="47" borderId="0" xfId="0" applyFont="1" applyFill="1"/>
    <xf numFmtId="0" fontId="36" fillId="47" borderId="0" xfId="0" applyFont="1" applyFill="1"/>
    <xf numFmtId="0" fontId="0" fillId="47" borderId="0" xfId="0" applyFill="1"/>
    <xf numFmtId="0" fontId="77" fillId="0" borderId="0" xfId="43" applyFont="1" applyAlignment="1">
      <alignment horizontal="center" vertical="center"/>
    </xf>
    <xf numFmtId="0" fontId="15"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5" fillId="40" borderId="44" xfId="0" applyFont="1" applyFill="1" applyBorder="1"/>
    <xf numFmtId="0" fontId="0" fillId="40" borderId="0" xfId="0" applyFill="1"/>
    <xf numFmtId="0" fontId="0" fillId="0" borderId="46" xfId="0" applyBorder="1"/>
    <xf numFmtId="0" fontId="16" fillId="41" borderId="39" xfId="0" applyFont="1" applyFill="1" applyBorder="1" applyProtection="1">
      <protection locked="0"/>
    </xf>
    <xf numFmtId="0" fontId="41" fillId="0" borderId="2" xfId="0" applyFont="1" applyBorder="1"/>
    <xf numFmtId="0" fontId="41" fillId="7" borderId="47" xfId="0" applyFont="1" applyFill="1" applyBorder="1" applyAlignment="1">
      <alignment horizontal="center" wrapText="1"/>
    </xf>
    <xf numFmtId="0" fontId="15" fillId="8" borderId="0" xfId="0" applyFont="1" applyFill="1" applyAlignment="1">
      <alignment wrapText="1"/>
    </xf>
    <xf numFmtId="0" fontId="0" fillId="0" borderId="0" xfId="0" applyAlignment="1" applyProtection="1">
      <alignment wrapText="1"/>
      <protection locked="0"/>
    </xf>
    <xf numFmtId="40" fontId="15" fillId="0" borderId="0" xfId="0" applyNumberFormat="1" applyFont="1"/>
    <xf numFmtId="4" fontId="0" fillId="0" borderId="0" xfId="0" applyNumberFormat="1"/>
    <xf numFmtId="40" fontId="82" fillId="0" borderId="0" xfId="0" applyNumberFormat="1" applyFont="1"/>
    <xf numFmtId="39" fontId="82" fillId="0" borderId="0" xfId="0" applyNumberFormat="1" applyFont="1"/>
    <xf numFmtId="0" fontId="83" fillId="0" borderId="0" xfId="0" applyFont="1" applyAlignment="1">
      <alignment wrapText="1"/>
    </xf>
    <xf numFmtId="0" fontId="84" fillId="0" borderId="40" xfId="0" applyFont="1" applyBorder="1" applyAlignment="1" applyProtection="1">
      <alignment vertical="top" wrapText="1" readingOrder="1"/>
      <protection locked="0"/>
    </xf>
    <xf numFmtId="49" fontId="15"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xf numFmtId="0" fontId="66" fillId="7" borderId="0" xfId="0" applyFont="1" applyFill="1"/>
    <xf numFmtId="0" fontId="32" fillId="0" borderId="0" xfId="0" applyFont="1" applyAlignment="1">
      <alignment horizontal="center"/>
    </xf>
    <xf numFmtId="0" fontId="32" fillId="0" borderId="0" xfId="0" applyFont="1"/>
    <xf numFmtId="0" fontId="15" fillId="0" borderId="0" xfId="0" applyFont="1" applyAlignment="1">
      <alignment horizontal="center"/>
    </xf>
    <xf numFmtId="0" fontId="15" fillId="0" borderId="22" xfId="0" applyFont="1" applyBorder="1" applyAlignment="1">
      <alignment horizontal="center"/>
    </xf>
    <xf numFmtId="0" fontId="15" fillId="0" borderId="14" xfId="0" applyFont="1" applyBorder="1" applyAlignment="1">
      <alignment horizontal="center"/>
    </xf>
    <xf numFmtId="0" fontId="0" fillId="0" borderId="0" xfId="0"/>
    <xf numFmtId="0" fontId="43" fillId="0" borderId="0" xfId="0" applyFont="1" applyAlignment="1">
      <alignment horizontal="left" vertical="top" wrapText="1"/>
    </xf>
    <xf numFmtId="0" fontId="41" fillId="40" borderId="0" xfId="0" applyFont="1" applyFill="1" applyAlignment="1">
      <alignment horizontal="center" wrapText="1"/>
    </xf>
    <xf numFmtId="0" fontId="30" fillId="0" borderId="0" xfId="0" applyFont="1" applyAlignment="1">
      <alignment horizontal="center"/>
    </xf>
    <xf numFmtId="49" fontId="16" fillId="0" borderId="0" xfId="0" applyNumberFormat="1" applyFont="1" applyAlignment="1" applyProtection="1">
      <alignment horizontal="left"/>
      <protection locked="0"/>
    </xf>
    <xf numFmtId="49" fontId="16" fillId="0" borderId="0" xfId="0" applyNumberFormat="1" applyFont="1" applyAlignment="1">
      <alignment horizontal="left"/>
    </xf>
    <xf numFmtId="49" fontId="16" fillId="0" borderId="10" xfId="0" applyNumberFormat="1" applyFont="1" applyBorder="1" applyAlignment="1" applyProtection="1">
      <alignment horizontal="left"/>
      <protection locked="0"/>
    </xf>
    <xf numFmtId="0" fontId="33" fillId="0" borderId="20" xfId="0" applyFont="1" applyBorder="1" applyAlignment="1">
      <alignment horizontal="center"/>
    </xf>
    <xf numFmtId="0" fontId="33" fillId="0" borderId="8" xfId="0" applyFont="1" applyBorder="1" applyAlignment="1">
      <alignment horizontal="center"/>
    </xf>
    <xf numFmtId="0" fontId="15" fillId="0" borderId="10" xfId="0" applyFont="1" applyBorder="1" applyAlignment="1">
      <alignment horizontal="center"/>
    </xf>
    <xf numFmtId="49" fontId="36" fillId="0" borderId="0" xfId="0" applyNumberFormat="1" applyFont="1"/>
    <xf numFmtId="0" fontId="36" fillId="0" borderId="0" xfId="0" applyFont="1"/>
    <xf numFmtId="0" fontId="35" fillId="0" borderId="11" xfId="0" applyFont="1" applyBorder="1" applyAlignment="1">
      <alignment horizontal="center"/>
    </xf>
    <xf numFmtId="0" fontId="35" fillId="0" borderId="0" xfId="0" applyFont="1" applyAlignment="1">
      <alignment horizontal="center"/>
    </xf>
    <xf numFmtId="49" fontId="16" fillId="0" borderId="10" xfId="0" applyNumberFormat="1" applyFont="1" applyBorder="1" applyAlignment="1">
      <alignment horizontal="left"/>
    </xf>
    <xf numFmtId="49" fontId="16" fillId="0" borderId="13" xfId="0" applyNumberFormat="1" applyFont="1" applyBorder="1" applyAlignment="1" applyProtection="1">
      <alignment horizontal="left"/>
      <protection locked="0"/>
    </xf>
    <xf numFmtId="49" fontId="16" fillId="0" borderId="19" xfId="0" applyNumberFormat="1" applyFont="1" applyBorder="1" applyAlignment="1" applyProtection="1">
      <alignment horizontal="left"/>
      <protection locked="0"/>
    </xf>
    <xf numFmtId="0" fontId="34" fillId="0" borderId="0" xfId="0" applyFont="1" applyAlignment="1">
      <alignment horizontal="center"/>
    </xf>
    <xf numFmtId="4" fontId="0" fillId="0" borderId="0" xfId="0" applyNumberFormat="1" applyProtection="1">
      <protection locked="0"/>
    </xf>
    <xf numFmtId="4" fontId="0" fillId="0" borderId="0" xfId="0" applyNumberFormat="1" applyProtection="1">
      <protection locked="0"/>
    </xf>
    <xf numFmtId="4" fontId="0" fillId="0" borderId="0" xfId="0" applyNumberFormat="1" applyProtection="1">
      <protection locked="0"/>
    </xf>
  </cellXfs>
  <cellStyles count="61">
    <cellStyle name="20% - Accent1" xfId="17" builtinId="30" customBuiltin="1"/>
    <cellStyle name="20% - Accent1 2" xfId="45" xr:uid="{080A2744-CC14-4AF2-9AEB-7E518234E2D2}"/>
    <cellStyle name="20% - Accent2" xfId="21" builtinId="34" customBuiltin="1"/>
    <cellStyle name="20% - Accent2 2" xfId="47" xr:uid="{0CF44ED0-45F1-4E9C-B0FB-5620E4ACCBDF}"/>
    <cellStyle name="20% - Accent3" xfId="25" builtinId="38" customBuiltin="1"/>
    <cellStyle name="20% - Accent3 2" xfId="49" xr:uid="{058AC66D-B1E7-4507-9574-B9DFA1A9D70A}"/>
    <cellStyle name="20% - Accent4" xfId="29" builtinId="42" customBuiltin="1"/>
    <cellStyle name="20% - Accent4 2" xfId="51" xr:uid="{CB47CE74-B30A-4193-972F-EAA31D9FC3A3}"/>
    <cellStyle name="20% - Accent5" xfId="33" builtinId="46" customBuiltin="1"/>
    <cellStyle name="20% - Accent5 2" xfId="53" xr:uid="{4180A751-8110-4786-B677-55BC76C89DE7}"/>
    <cellStyle name="20% - Accent6" xfId="37" builtinId="50" customBuiltin="1"/>
    <cellStyle name="20% - Accent6 2" xfId="55" xr:uid="{2B3E7296-9580-4A02-8DF8-A6D57CB974E5}"/>
    <cellStyle name="40% - Accent1" xfId="18" builtinId="31" customBuiltin="1"/>
    <cellStyle name="40% - Accent1 2" xfId="46" xr:uid="{26C84CE3-99DA-4A52-BE2E-045AD79E4AC5}"/>
    <cellStyle name="40% - Accent2" xfId="22" builtinId="35" customBuiltin="1"/>
    <cellStyle name="40% - Accent2 2" xfId="48" xr:uid="{042A5781-5805-4E4B-9F18-E531966DDD50}"/>
    <cellStyle name="40% - Accent3" xfId="26" builtinId="39" customBuiltin="1"/>
    <cellStyle name="40% - Accent3 2" xfId="50" xr:uid="{C6C78E8C-4311-42EC-A6DB-5F9A840D215E}"/>
    <cellStyle name="40% - Accent4" xfId="30" builtinId="43" customBuiltin="1"/>
    <cellStyle name="40% - Accent4 2" xfId="52" xr:uid="{FBB8E524-9E21-4C2C-862B-027D74A52A90}"/>
    <cellStyle name="40% - Accent5" xfId="34" builtinId="47" customBuiltin="1"/>
    <cellStyle name="40% - Accent5 2" xfId="54" xr:uid="{3823A479-AA13-418B-B921-A453168C30C2}"/>
    <cellStyle name="40% - Accent6" xfId="38" builtinId="51" customBuiltin="1"/>
    <cellStyle name="40% - Accent6 2" xfId="56" xr:uid="{30BFFBE0-3F92-4CF3-9010-2B13EE160ADB}"/>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2 2" xfId="57" xr:uid="{836B4AEF-33BD-48B5-B254-503E5C659964}"/>
    <cellStyle name="Normal 3" xfId="43" xr:uid="{00000000-0005-0000-0000-000026000000}"/>
    <cellStyle name="Normal 3 2" xfId="59" xr:uid="{4CFF9A52-C5F7-4DA0-B66F-4924992F0790}"/>
    <cellStyle name="Normal 4" xfId="44" xr:uid="{4593146B-18D1-4E3C-A4FA-C9B7D170F76A}"/>
    <cellStyle name="Normal 4 2" xfId="60" xr:uid="{AA04CAB0-2E50-45BD-A3F2-FF54CCAF3012}"/>
    <cellStyle name="Note 2" xfId="42" xr:uid="{00000000-0005-0000-0000-000027000000}"/>
    <cellStyle name="Note 2 2" xfId="58" xr:uid="{CD2B6563-5257-433C-8983-3786986E78E3}"/>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540" zoomScale="115" zoomScaleNormal="115"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1013</v>
      </c>
      <c r="B2">
        <f>INDEX('School Tables'!$AH$3:$AH$209,MATCH('DOE25'!A2,'School Tables'!$AJ$3:$AJ$209,0))</f>
        <v>165</v>
      </c>
      <c r="C2">
        <f>INDEX('School Tables'!$AI$3:$AI$209,MATCH('DOE25'!A2,'School Tables'!$AJ$3:$AJ$209,0))</f>
        <v>165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2086049.5</v>
      </c>
      <c r="G9" s="18">
        <v>390620.08</v>
      </c>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310996.44</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189896.54</v>
      </c>
      <c r="G13" s="18">
        <v>28517.87</v>
      </c>
      <c r="H13" s="18">
        <v>153960.85</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f>250+2055.77+0.1</f>
        <v>2305.87</v>
      </c>
      <c r="G14" s="18">
        <v>-0.47</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16209.79</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0</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v>165002</v>
      </c>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2278251.91</v>
      </c>
      <c r="G19" s="38">
        <f>SUM(G9:G18)</f>
        <v>435347.27</v>
      </c>
      <c r="H19" s="38">
        <f>SUM(H9:H18)</f>
        <v>153960.85</v>
      </c>
      <c r="I19" s="38">
        <f>SUM(I9:I18)</f>
        <v>165002</v>
      </c>
      <c r="J19" s="38">
        <f>SUM(J9:J18)</f>
        <v>310996.44</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f>-438460.29-0.39-0.48-0.18</f>
        <v>-438461.33999999997</v>
      </c>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31172</v>
      </c>
      <c r="G24" s="18">
        <v>29267.83</v>
      </c>
      <c r="H24" s="18">
        <v>-32.9</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v>0.68</v>
      </c>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f>160316.41+189896.53</f>
        <v>350212.94</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f>354062.53+37416.58+71166.06+36816.08+499851+26310+6348.4+12694.66</f>
        <v>1044665.31</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v>513</v>
      </c>
      <c r="I30" s="18">
        <v>0</v>
      </c>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37390.519999999997</v>
      </c>
      <c r="G31" s="18">
        <v>269466.40000000002</v>
      </c>
      <c r="H31" s="18">
        <v>153480.75</v>
      </c>
      <c r="I31" s="18">
        <v>0</v>
      </c>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1024979.4300000002</v>
      </c>
      <c r="G32" s="38">
        <f>SUM(G22:G31)</f>
        <v>298734.91000000003</v>
      </c>
      <c r="H32" s="38">
        <f>SUM(H22:H31)</f>
        <v>153960.85</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v>103593.07</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400000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v>189896.54</v>
      </c>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370183</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0</v>
      </c>
      <c r="G48" s="18">
        <v>24091</v>
      </c>
      <c r="H48" s="18"/>
      <c r="I48" s="18">
        <v>165002</v>
      </c>
      <c r="J48" s="13">
        <f>SUM(I460)</f>
        <v>310996.44</v>
      </c>
      <c r="K48" s="23" t="s">
        <v>288</v>
      </c>
      <c r="L48" s="23" t="s">
        <v>288</v>
      </c>
      <c r="M48" s="8"/>
      <c r="N48" s="165"/>
    </row>
    <row r="49" spans="1:14" s="3" customFormat="1" ht="12.2" customHeight="1" x14ac:dyDescent="0.15">
      <c r="A49" s="1" t="s">
        <v>858</v>
      </c>
      <c r="B49" s="2" t="s">
        <v>289</v>
      </c>
      <c r="C49" s="6">
        <v>34</v>
      </c>
      <c r="D49" s="2"/>
      <c r="E49" s="6">
        <v>753</v>
      </c>
      <c r="F49" s="18"/>
      <c r="G49" s="18">
        <v>8928.2900000000009</v>
      </c>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293192.94</f>
        <v>293192.94</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1253272.48</v>
      </c>
      <c r="G51" s="38">
        <f>SUM(G35:G50)</f>
        <v>136612.36000000002</v>
      </c>
      <c r="H51" s="38">
        <f>SUM(H35:H50)</f>
        <v>0</v>
      </c>
      <c r="I51" s="38">
        <f>SUM(I35:I50)</f>
        <v>165002</v>
      </c>
      <c r="J51" s="38">
        <f>SUM(J35:J50)</f>
        <v>310996.44</v>
      </c>
      <c r="K51" s="42" t="s">
        <v>288</v>
      </c>
      <c r="L51" s="42" t="s">
        <v>288</v>
      </c>
      <c r="N51" s="131"/>
    </row>
    <row r="52" spans="1:14" s="3" customFormat="1" ht="12.2" customHeight="1" thickTop="1" x14ac:dyDescent="0.15">
      <c r="A52" s="35" t="s">
        <v>455</v>
      </c>
      <c r="B52" s="36" t="s">
        <v>289</v>
      </c>
      <c r="C52" s="6">
        <v>37</v>
      </c>
      <c r="D52" s="36" t="s">
        <v>653</v>
      </c>
      <c r="E52" s="36"/>
      <c r="F52" s="38">
        <f>F51+F32</f>
        <v>2278251.91</v>
      </c>
      <c r="G52" s="38">
        <f>G51+G32</f>
        <v>435347.27</v>
      </c>
      <c r="H52" s="38">
        <f>H51+H32</f>
        <v>153960.85</v>
      </c>
      <c r="I52" s="38">
        <f>I51+I32</f>
        <v>165002</v>
      </c>
      <c r="J52" s="38">
        <f>J51+J32</f>
        <v>310996.44</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14807315</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14807315</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f>23981.73</f>
        <v>23981.73</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740</v>
      </c>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5771.88</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30493.61</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c r="G96" s="18">
        <v>9752.2900000000009</v>
      </c>
      <c r="H96" s="18"/>
      <c r="I96" s="18"/>
      <c r="J96" s="18">
        <f>7354.63+3641.81</f>
        <v>10996.44</v>
      </c>
      <c r="K96" s="23" t="s">
        <v>288</v>
      </c>
      <c r="L96" s="23" t="s">
        <v>288</v>
      </c>
      <c r="M96" s="8"/>
      <c r="N96" s="165"/>
    </row>
    <row r="97" spans="1:14" s="3" customFormat="1" ht="12.2" customHeight="1" x14ac:dyDescent="0.15">
      <c r="A97" s="1" t="s">
        <v>503</v>
      </c>
      <c r="B97" s="2" t="s">
        <v>315</v>
      </c>
      <c r="C97" s="6">
        <v>12</v>
      </c>
      <c r="D97" s="2" t="s">
        <v>430</v>
      </c>
      <c r="E97" s="6">
        <v>1600</v>
      </c>
      <c r="F97" s="23" t="s">
        <v>288</v>
      </c>
      <c r="G97" s="18">
        <f>304731.59-9752.29</f>
        <v>294979.30000000005</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10971.25</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11054.69+90000+5400.14+15340.24+17818.71</f>
        <v>139613.78</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150585.03</v>
      </c>
      <c r="G111" s="38">
        <f>SUM(G96:G110)</f>
        <v>304731.59000000003</v>
      </c>
      <c r="H111" s="38">
        <f>SUM(H96:H110)</f>
        <v>0</v>
      </c>
      <c r="I111" s="38">
        <f>SUM(I96:I110)</f>
        <v>0</v>
      </c>
      <c r="J111" s="38">
        <f>SUM(J96:J110)</f>
        <v>10996.44</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14988393.639999999</v>
      </c>
      <c r="G112" s="38">
        <f>G60+G111</f>
        <v>304731.59000000003</v>
      </c>
      <c r="H112" s="38">
        <f>H60+H79+H94+H111</f>
        <v>0</v>
      </c>
      <c r="I112" s="38">
        <f>I60+I111</f>
        <v>0</v>
      </c>
      <c r="J112" s="38">
        <f>J60+J111</f>
        <v>10996.44</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3484063.02</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1236203</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111857.96+6371.67</f>
        <v>118229.63</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4838495.6499999994</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327874.61</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149015.56</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11740.8</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6543.87</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488630.97</v>
      </c>
      <c r="G136" s="38">
        <f>SUM(G123:G135)</f>
        <v>6543.87</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5327126.6199999992</v>
      </c>
      <c r="G140" s="38">
        <f>G121+SUM(G136:G137)</f>
        <v>6543.87</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20752.82+133417.95</f>
        <v>154170.77000000002</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40267.9</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174424.47</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293577.15000000002</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22126.400000000001</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75000</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397398.18</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22126.400000000001</v>
      </c>
      <c r="G163" s="38">
        <f>SUM(G150:G162)</f>
        <v>174424.47</v>
      </c>
      <c r="H163" s="38">
        <f>SUM(H150:H162)</f>
        <v>960414</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22126.400000000001</v>
      </c>
      <c r="G170" s="38">
        <f>G147+G163+SUM(G164:G169)</f>
        <v>174424.47</v>
      </c>
      <c r="H170" s="38">
        <f>H147+H163+SUM(H164:H169)</f>
        <v>960414</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v>0</v>
      </c>
      <c r="J180" s="18">
        <v>300000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300000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573769.76</v>
      </c>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573769.76</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v>165002</v>
      </c>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573769.76</v>
      </c>
      <c r="G193" s="38">
        <f>G184+SUM(G189:G192)</f>
        <v>0</v>
      </c>
      <c r="H193" s="38">
        <f>+H184+SUM(H189:H192)</f>
        <v>0</v>
      </c>
      <c r="I193" s="38">
        <f>I178+I184+SUM(I189:I192)</f>
        <v>165002</v>
      </c>
      <c r="J193" s="38">
        <f>J184</f>
        <v>300000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20911416.419999998</v>
      </c>
      <c r="G194" s="38">
        <f>G112+G140+G170+G193</f>
        <v>485699.93000000005</v>
      </c>
      <c r="H194" s="38">
        <f>H112+H140+H170+H193</f>
        <v>960414</v>
      </c>
      <c r="I194" s="38">
        <f>I112+I140+I170+I193</f>
        <v>165002</v>
      </c>
      <c r="J194" s="38">
        <f>J112+J140+J193</f>
        <v>310996.44</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2055631.87+376.49+101.24</f>
        <v>2056109.6</v>
      </c>
      <c r="G198" s="18">
        <f>934402.78+222000.25+479176.58+489891.12</f>
        <v>2125470.73</v>
      </c>
      <c r="H198" s="18">
        <f>150+307.64+693.49</f>
        <v>1151.1300000000001</v>
      </c>
      <c r="I198" s="18">
        <f>116192.47+878.4+9805.13</f>
        <v>126876</v>
      </c>
      <c r="J198" s="18">
        <v>7512.95</v>
      </c>
      <c r="K198" s="18"/>
      <c r="L198" s="13">
        <f>SUM(F198:K198)</f>
        <v>4317120.41</v>
      </c>
      <c r="M198" s="8"/>
      <c r="N198" s="165"/>
    </row>
    <row r="199" spans="1:14" s="3" customFormat="1" ht="12.2" customHeight="1" x14ac:dyDescent="0.15">
      <c r="A199" s="1" t="s">
        <v>439</v>
      </c>
      <c r="B199" s="2" t="s">
        <v>341</v>
      </c>
      <c r="C199" s="2" t="s">
        <v>291</v>
      </c>
      <c r="D199" s="2" t="s">
        <v>431</v>
      </c>
      <c r="E199" s="6">
        <v>1200</v>
      </c>
      <c r="F199" s="18">
        <f>859782.4+20396.42+6125.02+33192.08</f>
        <v>919495.92</v>
      </c>
      <c r="G199" s="18">
        <f>146381.87+107381.87</f>
        <v>253763.74</v>
      </c>
      <c r="H199" s="18">
        <f>257309.77+199368.03+153693.53+16807.04</f>
        <v>627178.37</v>
      </c>
      <c r="I199" s="18">
        <f>10080.65+41.74+531.22+564.41</f>
        <v>11218.019999999999</v>
      </c>
      <c r="J199" s="18">
        <v>3848.65</v>
      </c>
      <c r="K199" s="18"/>
      <c r="L199" s="13">
        <f>SUM(F199:K199)</f>
        <v>1815504.7000000002</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10757.5</v>
      </c>
      <c r="G201" s="18">
        <f>4373.3+2641.29</f>
        <v>7014.59</v>
      </c>
      <c r="H201" s="18">
        <v>2500</v>
      </c>
      <c r="I201" s="18">
        <v>1225.98</v>
      </c>
      <c r="J201" s="18"/>
      <c r="K201" s="18"/>
      <c r="L201" s="13">
        <f>SUM(F201:K201)</f>
        <v>21498.07</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193982.14+189192.04</f>
        <v>383174.18000000005</v>
      </c>
      <c r="G203" s="18">
        <f>16518.11+26280.72</f>
        <v>42798.83</v>
      </c>
      <c r="H203" s="18">
        <f>245+162976.37</f>
        <v>163221.37</v>
      </c>
      <c r="I203" s="18">
        <f>5602.1+2902.51</f>
        <v>8504.61</v>
      </c>
      <c r="J203" s="18">
        <v>608.41</v>
      </c>
      <c r="K203" s="18">
        <f>179+45</f>
        <v>224</v>
      </c>
      <c r="L203" s="13">
        <f t="shared" ref="L203:L209" si="0">SUM(F203:K203)</f>
        <v>598531.40000000014</v>
      </c>
      <c r="M203" s="8"/>
      <c r="N203" s="165"/>
    </row>
    <row r="204" spans="1:14" s="3" customFormat="1" ht="12.2" customHeight="1" x14ac:dyDescent="0.15">
      <c r="A204" s="1" t="s">
        <v>443</v>
      </c>
      <c r="B204" s="2" t="s">
        <v>341</v>
      </c>
      <c r="C204" s="2" t="s">
        <v>295</v>
      </c>
      <c r="D204" s="2" t="s">
        <v>431</v>
      </c>
      <c r="E204" s="6">
        <v>2200</v>
      </c>
      <c r="F204" s="18">
        <f>62412.56+162098.68</f>
        <v>224511.24</v>
      </c>
      <c r="G204" s="18">
        <f>29554.63+45709.64</f>
        <v>75264.27</v>
      </c>
      <c r="H204" s="18">
        <v>31346.76</v>
      </c>
      <c r="I204" s="18">
        <f>11050.49+54669.72</f>
        <v>65720.210000000006</v>
      </c>
      <c r="J204" s="18">
        <f>439+75575.5</f>
        <v>76014.5</v>
      </c>
      <c r="K204" s="18">
        <v>724.83</v>
      </c>
      <c r="L204" s="13">
        <f t="shared" si="0"/>
        <v>473581.81000000006</v>
      </c>
      <c r="M204" s="8"/>
      <c r="N204" s="165"/>
    </row>
    <row r="205" spans="1:14" s="3" customFormat="1" ht="12.2" customHeight="1" x14ac:dyDescent="0.15">
      <c r="A205" s="1" t="s">
        <v>444</v>
      </c>
      <c r="B205" s="2" t="s">
        <v>341</v>
      </c>
      <c r="C205" s="2" t="s">
        <v>296</v>
      </c>
      <c r="D205" s="2" t="s">
        <v>431</v>
      </c>
      <c r="E205" s="6">
        <v>2300</v>
      </c>
      <c r="F205" s="18">
        <v>279267.76</v>
      </c>
      <c r="G205" s="18">
        <v>6607.72</v>
      </c>
      <c r="H205" s="18">
        <v>38466.79</v>
      </c>
      <c r="I205" s="18">
        <v>15529.34</v>
      </c>
      <c r="J205" s="18">
        <v>419.12</v>
      </c>
      <c r="K205" s="18">
        <v>18395.89</v>
      </c>
      <c r="L205" s="13">
        <f t="shared" si="0"/>
        <v>358686.62</v>
      </c>
      <c r="M205" s="8"/>
      <c r="N205" s="165"/>
    </row>
    <row r="206" spans="1:14" s="3" customFormat="1" ht="12.2" customHeight="1" x14ac:dyDescent="0.15">
      <c r="A206" s="1" t="s">
        <v>445</v>
      </c>
      <c r="B206" s="2" t="s">
        <v>341</v>
      </c>
      <c r="C206" s="2" t="s">
        <v>297</v>
      </c>
      <c r="D206" s="2" t="s">
        <v>431</v>
      </c>
      <c r="E206" s="6">
        <v>2400</v>
      </c>
      <c r="F206" s="18">
        <v>317145.12</v>
      </c>
      <c r="G206" s="18">
        <f>31517.62+49575.5+3684.88</f>
        <v>84778</v>
      </c>
      <c r="H206" s="18">
        <f>16884.27+1240.49+3026.78</f>
        <v>21151.54</v>
      </c>
      <c r="I206" s="18">
        <v>4898.92</v>
      </c>
      <c r="J206" s="18">
        <v>240.98</v>
      </c>
      <c r="K206" s="18">
        <v>1598</v>
      </c>
      <c r="L206" s="13">
        <f t="shared" si="0"/>
        <v>429812.55999999994</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f>158977.42+94502.49</f>
        <v>253479.91000000003</v>
      </c>
      <c r="G208" s="18">
        <f>46069.41+379.65</f>
        <v>46449.060000000005</v>
      </c>
      <c r="H208" s="18">
        <v>401331.82</v>
      </c>
      <c r="I208" s="18">
        <v>210721.07</v>
      </c>
      <c r="J208" s="18">
        <v>8709.2800000000007</v>
      </c>
      <c r="K208" s="18"/>
      <c r="L208" s="13">
        <f t="shared" si="0"/>
        <v>920691.14000000013</v>
      </c>
      <c r="M208" s="8"/>
      <c r="N208" s="165"/>
    </row>
    <row r="209" spans="1:14" s="3" customFormat="1" ht="12.2" customHeight="1" x14ac:dyDescent="0.15">
      <c r="A209" s="1" t="s">
        <v>448</v>
      </c>
      <c r="B209" s="2" t="s">
        <v>341</v>
      </c>
      <c r="C209" s="2" t="s">
        <v>300</v>
      </c>
      <c r="D209" s="2" t="s">
        <v>431</v>
      </c>
      <c r="E209" s="6">
        <v>2700</v>
      </c>
      <c r="F209" s="18"/>
      <c r="G209" s="18"/>
      <c r="H209" s="18">
        <v>343439.58</v>
      </c>
      <c r="I209" s="18"/>
      <c r="J209" s="18"/>
      <c r="K209" s="18"/>
      <c r="L209" s="13">
        <f t="shared" si="0"/>
        <v>343439.58</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4443941.2300000004</v>
      </c>
      <c r="G212" s="38">
        <f t="shared" si="1"/>
        <v>2642146.94</v>
      </c>
      <c r="H212" s="38">
        <f t="shared" si="1"/>
        <v>1629787.36</v>
      </c>
      <c r="I212" s="38">
        <f t="shared" si="1"/>
        <v>444694.15</v>
      </c>
      <c r="J212" s="38">
        <f t="shared" si="1"/>
        <v>97353.889999999985</v>
      </c>
      <c r="K212" s="38">
        <f t="shared" si="1"/>
        <v>20942.72</v>
      </c>
      <c r="L212" s="38">
        <f t="shared" si="1"/>
        <v>9278866.290000001</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f>1098452.59+163.1+43.86</f>
        <v>1098659.5500000003</v>
      </c>
      <c r="G216" s="18">
        <f>744622.47+212234.54</f>
        <v>956857.01</v>
      </c>
      <c r="H216" s="18">
        <f>841+130+133.28+300.44</f>
        <v>1404.72</v>
      </c>
      <c r="I216" s="18">
        <f>29127.49+380.55+4247.86</f>
        <v>33755.9</v>
      </c>
      <c r="J216" s="18">
        <v>6087.2</v>
      </c>
      <c r="K216" s="18"/>
      <c r="L216" s="13">
        <f>SUM(F216:K216)</f>
        <v>2096764.3800000001</v>
      </c>
      <c r="M216" s="8"/>
      <c r="N216" s="165"/>
    </row>
    <row r="217" spans="1:14" s="3" customFormat="1" ht="12.2" customHeight="1" x14ac:dyDescent="0.15">
      <c r="A217" s="1" t="s">
        <v>439</v>
      </c>
      <c r="B217" s="2" t="s">
        <v>346</v>
      </c>
      <c r="C217" s="2" t="s">
        <v>291</v>
      </c>
      <c r="D217" s="2" t="s">
        <v>431</v>
      </c>
      <c r="E217" s="6">
        <v>1200</v>
      </c>
      <c r="F217" s="18">
        <f>249203.71+8836.3+2653.53+14379.74</f>
        <v>275073.27999999997</v>
      </c>
      <c r="G217" s="18">
        <v>18814.89</v>
      </c>
      <c r="H217" s="18">
        <f>111473.79+86371.81+66584.34+7281.28</f>
        <v>271711.21999999997</v>
      </c>
      <c r="I217" s="18">
        <f>3025.49+18.08+230.14+244.52</f>
        <v>3518.2299999999996</v>
      </c>
      <c r="J217" s="18">
        <v>552.58000000000004</v>
      </c>
      <c r="K217" s="18"/>
      <c r="L217" s="13">
        <f>SUM(F217:K217)</f>
        <v>569670.19999999984</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v>70149.5</v>
      </c>
      <c r="G219" s="18">
        <v>18824.54</v>
      </c>
      <c r="H219" s="18">
        <f>4982+4329.94</f>
        <v>9311.9399999999987</v>
      </c>
      <c r="I219" s="18">
        <v>3074.18</v>
      </c>
      <c r="J219" s="18">
        <v>4649.0200000000004</v>
      </c>
      <c r="K219" s="18">
        <v>872</v>
      </c>
      <c r="L219" s="13">
        <f>SUM(F219:K219)</f>
        <v>106881.18000000001</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f>105768.4+81963.28</f>
        <v>187731.68</v>
      </c>
      <c r="G221" s="18">
        <v>28233.1</v>
      </c>
      <c r="H221" s="18">
        <f>135+70605.92</f>
        <v>70740.92</v>
      </c>
      <c r="I221" s="18">
        <f>2428.32+1257.45</f>
        <v>3685.7700000000004</v>
      </c>
      <c r="J221" s="18">
        <f>2100.82+263.58</f>
        <v>2364.4</v>
      </c>
      <c r="K221" s="18"/>
      <c r="L221" s="13">
        <f t="shared" ref="L221:L227" si="2">SUM(F221:K221)</f>
        <v>292755.87000000005</v>
      </c>
      <c r="M221" s="8"/>
      <c r="N221" s="165"/>
    </row>
    <row r="222" spans="1:14" s="3" customFormat="1" ht="12.2" customHeight="1" x14ac:dyDescent="0.15">
      <c r="A222" s="1" t="s">
        <v>443</v>
      </c>
      <c r="B222" s="2" t="s">
        <v>346</v>
      </c>
      <c r="C222" s="2" t="s">
        <v>295</v>
      </c>
      <c r="D222" s="2" t="s">
        <v>431</v>
      </c>
      <c r="E222" s="6">
        <v>2200</v>
      </c>
      <c r="F222" s="18">
        <f>45698.19+70225.68</f>
        <v>115923.87</v>
      </c>
      <c r="G222" s="18">
        <f>3495.91+19802.7</f>
        <v>23298.61</v>
      </c>
      <c r="H222" s="18">
        <f>2500+13580.3</f>
        <v>16080.3</v>
      </c>
      <c r="I222" s="18">
        <f>7291.84+23684.45</f>
        <v>30976.29</v>
      </c>
      <c r="J222" s="18">
        <f>448.43+32741.42</f>
        <v>33189.85</v>
      </c>
      <c r="K222" s="18">
        <v>314.02</v>
      </c>
      <c r="L222" s="13">
        <f t="shared" si="2"/>
        <v>219782.93999999997</v>
      </c>
      <c r="M222" s="8"/>
      <c r="N222" s="165"/>
    </row>
    <row r="223" spans="1:14" s="3" customFormat="1" ht="12.2" customHeight="1" x14ac:dyDescent="0.15">
      <c r="A223" s="1" t="s">
        <v>444</v>
      </c>
      <c r="B223" s="2" t="s">
        <v>346</v>
      </c>
      <c r="C223" s="2" t="s">
        <v>296</v>
      </c>
      <c r="D223" s="2" t="s">
        <v>431</v>
      </c>
      <c r="E223" s="6">
        <v>2300</v>
      </c>
      <c r="F223" s="18">
        <v>120986.6</v>
      </c>
      <c r="G223" s="18">
        <v>2862.65</v>
      </c>
      <c r="H223" s="18">
        <v>16664.89</v>
      </c>
      <c r="I223" s="18">
        <v>6727.74</v>
      </c>
      <c r="J223" s="18">
        <v>181.58</v>
      </c>
      <c r="K223" s="18">
        <v>7969.61</v>
      </c>
      <c r="L223" s="13">
        <f t="shared" si="2"/>
        <v>155393.06999999998</v>
      </c>
      <c r="M223" s="8"/>
      <c r="N223" s="165"/>
    </row>
    <row r="224" spans="1:14" s="3" customFormat="1" ht="12.2" customHeight="1" x14ac:dyDescent="0.15">
      <c r="A224" s="1" t="s">
        <v>445</v>
      </c>
      <c r="B224" s="2" t="s">
        <v>346</v>
      </c>
      <c r="C224" s="2" t="s">
        <v>297</v>
      </c>
      <c r="D224" s="2" t="s">
        <v>431</v>
      </c>
      <c r="E224" s="6">
        <v>2400</v>
      </c>
      <c r="F224" s="18">
        <v>235264.87</v>
      </c>
      <c r="G224" s="18">
        <v>117997.75</v>
      </c>
      <c r="H224" s="18">
        <f>5445.25+8684.41</f>
        <v>14129.66</v>
      </c>
      <c r="I224" s="18">
        <v>1130.3599999999999</v>
      </c>
      <c r="J224" s="18"/>
      <c r="K224" s="18">
        <f>1120+4311.99</f>
        <v>5431.99</v>
      </c>
      <c r="L224" s="13">
        <f t="shared" si="2"/>
        <v>373954.62999999995</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f>104300.87+40941.12</f>
        <v>145241.99</v>
      </c>
      <c r="G226" s="18">
        <f>7979.01+164.48</f>
        <v>8143.49</v>
      </c>
      <c r="H226" s="18">
        <v>173868.17</v>
      </c>
      <c r="I226" s="18">
        <v>91290.26</v>
      </c>
      <c r="J226" s="18">
        <v>3773.1</v>
      </c>
      <c r="K226" s="18"/>
      <c r="L226" s="13">
        <f t="shared" si="2"/>
        <v>422317.01</v>
      </c>
      <c r="M226" s="8"/>
      <c r="N226" s="165"/>
    </row>
    <row r="227" spans="1:14" s="3" customFormat="1" ht="12.2" customHeight="1" x14ac:dyDescent="0.15">
      <c r="A227" s="1" t="s">
        <v>448</v>
      </c>
      <c r="B227" s="2" t="s">
        <v>346</v>
      </c>
      <c r="C227" s="2" t="s">
        <v>300</v>
      </c>
      <c r="D227" s="2" t="s">
        <v>431</v>
      </c>
      <c r="E227" s="6">
        <v>2700</v>
      </c>
      <c r="F227" s="18"/>
      <c r="G227" s="18"/>
      <c r="H227" s="18">
        <f>12006.85+148787.63</f>
        <v>160794.48000000001</v>
      </c>
      <c r="I227" s="18"/>
      <c r="J227" s="18"/>
      <c r="K227" s="18"/>
      <c r="L227" s="13">
        <f t="shared" si="2"/>
        <v>160794.48000000001</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2249031.3400000008</v>
      </c>
      <c r="G230" s="38">
        <f>SUM(G216:G229)</f>
        <v>1175032.04</v>
      </c>
      <c r="H230" s="38">
        <f>SUM(H216:H229)</f>
        <v>734706.29999999993</v>
      </c>
      <c r="I230" s="38">
        <f>SUM(I216:I229)</f>
        <v>174158.72999999998</v>
      </c>
      <c r="J230" s="38">
        <f>SUM(J216:J229)</f>
        <v>50797.729999999996</v>
      </c>
      <c r="K230" s="38">
        <f t="shared" si="3"/>
        <v>14587.619999999999</v>
      </c>
      <c r="L230" s="38">
        <f t="shared" si="3"/>
        <v>4398313.7600000007</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f>1186209.02+204.16+54.9</f>
        <v>1186468.0799999998</v>
      </c>
      <c r="G234" s="18">
        <f>656228.84+169999.88+265656.09</f>
        <v>1091884.81</v>
      </c>
      <c r="H234" s="18">
        <f>1305+2155+29988.6+166.83+376.07</f>
        <v>33991.5</v>
      </c>
      <c r="I234" s="18">
        <f>47414.08+476.34+5317.08</f>
        <v>53207.5</v>
      </c>
      <c r="J234" s="18">
        <v>15422.82</v>
      </c>
      <c r="K234" s="18">
        <v>1429</v>
      </c>
      <c r="L234" s="13">
        <f>SUM(F234:K234)</f>
        <v>2382403.7099999995</v>
      </c>
      <c r="M234" s="8"/>
      <c r="N234" s="165"/>
    </row>
    <row r="235" spans="1:14" s="3" customFormat="1" ht="12.2" customHeight="1" x14ac:dyDescent="0.15">
      <c r="A235" s="1" t="s">
        <v>439</v>
      </c>
      <c r="B235" s="2" t="s">
        <v>350</v>
      </c>
      <c r="C235" s="2" t="s">
        <v>291</v>
      </c>
      <c r="D235" s="2" t="s">
        <v>431</v>
      </c>
      <c r="E235" s="6">
        <v>1200</v>
      </c>
      <c r="F235" s="18">
        <f>224673.07+11060.49+3321.45+17999.26</f>
        <v>257054.27000000002</v>
      </c>
      <c r="G235" s="18">
        <v>149616.4</v>
      </c>
      <c r="H235" s="18">
        <f>139532.86+108112.46+83344.28+9114.05</f>
        <v>340103.64999999997</v>
      </c>
      <c r="I235" s="18">
        <f>4994.55+22.64+288.07+306.07</f>
        <v>5611.33</v>
      </c>
      <c r="J235" s="18"/>
      <c r="K235" s="18"/>
      <c r="L235" s="13">
        <f>SUM(F235:K235)</f>
        <v>752385.65</v>
      </c>
      <c r="M235" s="8"/>
      <c r="N235" s="165"/>
    </row>
    <row r="236" spans="1:14" s="3" customFormat="1" ht="12.2" customHeight="1" x14ac:dyDescent="0.15">
      <c r="A236" s="1" t="s">
        <v>440</v>
      </c>
      <c r="B236" s="2" t="s">
        <v>350</v>
      </c>
      <c r="C236" s="2" t="s">
        <v>292</v>
      </c>
      <c r="D236" s="2" t="s">
        <v>431</v>
      </c>
      <c r="E236" s="6">
        <v>1300</v>
      </c>
      <c r="F236" s="18"/>
      <c r="G236" s="18"/>
      <c r="H236" s="18">
        <v>215560.25</v>
      </c>
      <c r="I236" s="18"/>
      <c r="J236" s="18"/>
      <c r="K236" s="18"/>
      <c r="L236" s="13">
        <f>SUM(F236:K236)</f>
        <v>215560.25</v>
      </c>
      <c r="M236" s="8"/>
      <c r="N236" s="165"/>
    </row>
    <row r="237" spans="1:14" s="3" customFormat="1" ht="12.2" customHeight="1" x14ac:dyDescent="0.15">
      <c r="A237" s="1" t="s">
        <v>441</v>
      </c>
      <c r="B237" s="2" t="s">
        <v>350</v>
      </c>
      <c r="C237" s="2" t="s">
        <v>293</v>
      </c>
      <c r="D237" s="2" t="s">
        <v>431</v>
      </c>
      <c r="E237" s="6">
        <v>1400</v>
      </c>
      <c r="F237" s="18">
        <v>145609.25</v>
      </c>
      <c r="G237" s="18">
        <v>24523.5</v>
      </c>
      <c r="H237" s="18">
        <f>23051.58+6248.88+1056.3</f>
        <v>30356.760000000002</v>
      </c>
      <c r="I237" s="18">
        <v>10719.33</v>
      </c>
      <c r="J237" s="18">
        <v>19086.11</v>
      </c>
      <c r="K237" s="18">
        <v>14715</v>
      </c>
      <c r="L237" s="13">
        <f>SUM(F237:K237)</f>
        <v>245009.95</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f>190395.29+102594.26</f>
        <v>292989.55</v>
      </c>
      <c r="G239" s="18">
        <v>27844.14</v>
      </c>
      <c r="H239" s="18">
        <f>2980+88378.14</f>
        <v>91358.14</v>
      </c>
      <c r="I239" s="18">
        <f>4529.88+1573.96</f>
        <v>6103.84</v>
      </c>
      <c r="J239" s="18">
        <f>357.1+329.93</f>
        <v>687.03</v>
      </c>
      <c r="K239" s="18"/>
      <c r="L239" s="13">
        <f t="shared" ref="L239:L245" si="4">SUM(F239:K239)</f>
        <v>418982.70000000007</v>
      </c>
      <c r="M239" s="8"/>
      <c r="N239" s="165"/>
    </row>
    <row r="240" spans="1:14" s="3" customFormat="1" ht="12.2" customHeight="1" x14ac:dyDescent="0.15">
      <c r="A240" s="1" t="s">
        <v>443</v>
      </c>
      <c r="B240" s="2" t="s">
        <v>350</v>
      </c>
      <c r="C240" s="2" t="s">
        <v>295</v>
      </c>
      <c r="D240" s="2" t="s">
        <v>431</v>
      </c>
      <c r="E240" s="6">
        <v>2200</v>
      </c>
      <c r="F240" s="18">
        <f>33014.89+87902.19</f>
        <v>120917.08</v>
      </c>
      <c r="G240" s="18">
        <f>2525.64+24787.23</f>
        <v>27312.87</v>
      </c>
      <c r="H240" s="18">
        <f>219.05+16998.59</f>
        <v>17217.64</v>
      </c>
      <c r="I240" s="18">
        <f>6877.59+29646.07</f>
        <v>36523.660000000003</v>
      </c>
      <c r="J240" s="18">
        <f>343.95+40982.76</f>
        <v>41326.71</v>
      </c>
      <c r="K240" s="18">
        <v>393.06</v>
      </c>
      <c r="L240" s="13">
        <f t="shared" si="4"/>
        <v>243691.02000000002</v>
      </c>
      <c r="M240" s="8"/>
      <c r="N240" s="165"/>
    </row>
    <row r="241" spans="1:14" s="3" customFormat="1" ht="12.2" customHeight="1" x14ac:dyDescent="0.15">
      <c r="A241" s="1" t="s">
        <v>444</v>
      </c>
      <c r="B241" s="2" t="s">
        <v>350</v>
      </c>
      <c r="C241" s="2" t="s">
        <v>296</v>
      </c>
      <c r="D241" s="2" t="s">
        <v>431</v>
      </c>
      <c r="E241" s="6">
        <v>2300</v>
      </c>
      <c r="F241" s="18">
        <v>151440.14000000001</v>
      </c>
      <c r="G241" s="18">
        <v>3583.2</v>
      </c>
      <c r="H241" s="18">
        <v>20859.61</v>
      </c>
      <c r="I241" s="18">
        <v>8421.19</v>
      </c>
      <c r="J241" s="18">
        <v>227.28</v>
      </c>
      <c r="K241" s="18">
        <v>9975.64</v>
      </c>
      <c r="L241" s="13">
        <f t="shared" si="4"/>
        <v>194507.06</v>
      </c>
      <c r="M241" s="8"/>
      <c r="N241" s="165"/>
    </row>
    <row r="242" spans="1:14" s="3" customFormat="1" ht="12.2" customHeight="1" x14ac:dyDescent="0.15">
      <c r="A242" s="1" t="s">
        <v>445</v>
      </c>
      <c r="B242" s="2" t="s">
        <v>350</v>
      </c>
      <c r="C242" s="2" t="s">
        <v>297</v>
      </c>
      <c r="D242" s="2" t="s">
        <v>431</v>
      </c>
      <c r="E242" s="6">
        <v>2400</v>
      </c>
      <c r="F242" s="18">
        <v>198609.07</v>
      </c>
      <c r="G242" s="18">
        <v>100519.85</v>
      </c>
      <c r="H242" s="18">
        <f>12934.01+8688.94</f>
        <v>21622.95</v>
      </c>
      <c r="I242" s="18">
        <v>1516.9</v>
      </c>
      <c r="J242" s="18">
        <v>2439.58</v>
      </c>
      <c r="K242" s="18">
        <v>18497.11</v>
      </c>
      <c r="L242" s="13">
        <f t="shared" si="4"/>
        <v>343205.46000000008</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f>104300.87+51246.41</f>
        <v>155547.28</v>
      </c>
      <c r="G244" s="18">
        <f>70519.98+205.88</f>
        <v>70725.86</v>
      </c>
      <c r="H244" s="18">
        <v>217632.53</v>
      </c>
      <c r="I244" s="18">
        <v>114268.93</v>
      </c>
      <c r="J244" s="18">
        <v>4722.83</v>
      </c>
      <c r="K244" s="18"/>
      <c r="L244" s="13">
        <f t="shared" si="4"/>
        <v>562897.43000000005</v>
      </c>
      <c r="M244" s="8"/>
      <c r="N244" s="165"/>
    </row>
    <row r="245" spans="1:14" s="3" customFormat="1" ht="12.2" customHeight="1" x14ac:dyDescent="0.15">
      <c r="A245" s="1" t="s">
        <v>448</v>
      </c>
      <c r="B245" s="2" t="s">
        <v>350</v>
      </c>
      <c r="C245" s="2" t="s">
        <v>300</v>
      </c>
      <c r="D245" s="2" t="s">
        <v>431</v>
      </c>
      <c r="E245" s="6">
        <v>2700</v>
      </c>
      <c r="F245" s="18"/>
      <c r="G245" s="18"/>
      <c r="H245" s="18">
        <f>76622.32+186238.96</f>
        <v>262861.28000000003</v>
      </c>
      <c r="I245" s="18"/>
      <c r="J245" s="18"/>
      <c r="K245" s="18"/>
      <c r="L245" s="13">
        <f t="shared" si="4"/>
        <v>262861.28000000003</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2508634.7199999997</v>
      </c>
      <c r="G248" s="38">
        <f t="shared" si="5"/>
        <v>1496010.6300000001</v>
      </c>
      <c r="H248" s="38">
        <f t="shared" si="5"/>
        <v>1251564.31</v>
      </c>
      <c r="I248" s="38">
        <f t="shared" si="5"/>
        <v>236372.68</v>
      </c>
      <c r="J248" s="38">
        <f t="shared" si="5"/>
        <v>83912.36</v>
      </c>
      <c r="K248" s="38">
        <f t="shared" si="5"/>
        <v>45009.81</v>
      </c>
      <c r="L248" s="38">
        <f t="shared" si="5"/>
        <v>5621504.5099999988</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9201607.290000001</v>
      </c>
      <c r="G258" s="38">
        <f t="shared" si="8"/>
        <v>5313189.6100000003</v>
      </c>
      <c r="H258" s="38">
        <f t="shared" si="8"/>
        <v>3616057.97</v>
      </c>
      <c r="I258" s="38">
        <f t="shared" si="8"/>
        <v>855225.56</v>
      </c>
      <c r="J258" s="38">
        <f t="shared" si="8"/>
        <v>232063.97999999998</v>
      </c>
      <c r="K258" s="38">
        <f t="shared" si="8"/>
        <v>80540.149999999994</v>
      </c>
      <c r="L258" s="38">
        <f t="shared" si="8"/>
        <v>19298684.559999999</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970375</v>
      </c>
      <c r="L261" s="13">
        <f>SUM(F261:K261)</f>
        <v>970375</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152460.32</v>
      </c>
      <c r="L262" s="13">
        <f>SUM(F262:K262)</f>
        <v>152460.32</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300000</v>
      </c>
      <c r="L267" s="13">
        <f t="shared" si="9"/>
        <v>300000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1422835.32</v>
      </c>
      <c r="L271" s="38">
        <f t="shared" si="9"/>
        <v>1422835.32</v>
      </c>
      <c r="M271" s="8"/>
      <c r="N271" s="165"/>
    </row>
    <row r="272" spans="1:14" s="33" customFormat="1" ht="12.2" customHeight="1" thickTop="1" x14ac:dyDescent="0.2">
      <c r="A272" s="40" t="s">
        <v>464</v>
      </c>
      <c r="B272" s="37">
        <v>10</v>
      </c>
      <c r="C272" s="37">
        <v>18</v>
      </c>
      <c r="D272" s="36" t="s">
        <v>431</v>
      </c>
      <c r="E272" s="37"/>
      <c r="F272" s="39">
        <f t="shared" ref="F272:L272" si="11">F258+F271</f>
        <v>9201607.290000001</v>
      </c>
      <c r="G272" s="39">
        <f t="shared" si="11"/>
        <v>5313189.6100000003</v>
      </c>
      <c r="H272" s="39">
        <f t="shared" si="11"/>
        <v>3616057.97</v>
      </c>
      <c r="I272" s="39">
        <f t="shared" si="11"/>
        <v>855225.56</v>
      </c>
      <c r="J272" s="39">
        <f t="shared" si="11"/>
        <v>232063.97999999998</v>
      </c>
      <c r="K272" s="39">
        <f t="shared" si="11"/>
        <v>1503375.47</v>
      </c>
      <c r="L272" s="39">
        <f t="shared" si="11"/>
        <v>20721519.879999999</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122097.06</v>
      </c>
      <c r="G277" s="18">
        <v>9340.43</v>
      </c>
      <c r="H277" s="18">
        <f>250+3244.62</f>
        <v>3494.62</v>
      </c>
      <c r="I277" s="18">
        <f>13605.86+459</f>
        <v>14064.86</v>
      </c>
      <c r="J277" s="18">
        <v>8708.25</v>
      </c>
      <c r="K277" s="18"/>
      <c r="L277" s="13">
        <f>SUM(F277:K277)</f>
        <v>157705.21999999997</v>
      </c>
      <c r="M277" s="8"/>
      <c r="N277" s="165"/>
    </row>
    <row r="278" spans="1:14" s="3" customFormat="1" ht="12.2" customHeight="1" x14ac:dyDescent="0.15">
      <c r="A278" s="1" t="s">
        <v>439</v>
      </c>
      <c r="B278" s="2" t="s">
        <v>357</v>
      </c>
      <c r="C278" s="2" t="s">
        <v>291</v>
      </c>
      <c r="D278" s="2" t="s">
        <v>431</v>
      </c>
      <c r="E278" s="6">
        <v>1200</v>
      </c>
      <c r="F278" s="18">
        <f>110256+18797.07+980.58+9850.09+2510.79</f>
        <v>142394.53000000003</v>
      </c>
      <c r="G278" s="18">
        <v>8069.76</v>
      </c>
      <c r="H278" s="18">
        <v>97065.73</v>
      </c>
      <c r="I278" s="18">
        <v>558.21</v>
      </c>
      <c r="J278" s="18">
        <v>6586.74</v>
      </c>
      <c r="K278" s="18"/>
      <c r="L278" s="13">
        <f>SUM(F278:K278)</f>
        <v>254674.97</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44057.63</v>
      </c>
      <c r="G280" s="18"/>
      <c r="H280" s="18"/>
      <c r="I280" s="18"/>
      <c r="J280" s="18"/>
      <c r="K280" s="18">
        <v>4156.5</v>
      </c>
      <c r="L280" s="13">
        <f>SUM(F280:K280)</f>
        <v>48214.13</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f>48.4+38.43</f>
        <v>86.83</v>
      </c>
      <c r="H282" s="18"/>
      <c r="I282" s="18"/>
      <c r="J282" s="18"/>
      <c r="K282" s="18"/>
      <c r="L282" s="13">
        <f t="shared" ref="L282:L288" si="12">SUM(F282:K282)</f>
        <v>86.83</v>
      </c>
      <c r="M282" s="8"/>
      <c r="N282" s="165"/>
    </row>
    <row r="283" spans="1:14" s="3" customFormat="1" ht="12.2" customHeight="1" x14ac:dyDescent="0.15">
      <c r="A283" s="1" t="s">
        <v>443</v>
      </c>
      <c r="B283" s="2" t="s">
        <v>357</v>
      </c>
      <c r="C283" s="2" t="s">
        <v>295</v>
      </c>
      <c r="D283" s="2" t="s">
        <v>431</v>
      </c>
      <c r="E283" s="6">
        <v>2200</v>
      </c>
      <c r="F283" s="18">
        <f>3250+3570</f>
        <v>6820</v>
      </c>
      <c r="G283" s="18">
        <v>2132.33</v>
      </c>
      <c r="H283" s="18">
        <f>4938.92+34836.68+7165.5</f>
        <v>46941.1</v>
      </c>
      <c r="I283" s="18">
        <f>724.95+2078.9</f>
        <v>2803.8500000000004</v>
      </c>
      <c r="J283" s="18">
        <v>28739.79</v>
      </c>
      <c r="K283" s="18"/>
      <c r="L283" s="13">
        <f t="shared" si="12"/>
        <v>87437.07</v>
      </c>
      <c r="M283" s="8"/>
      <c r="N283" s="165"/>
    </row>
    <row r="284" spans="1:14" s="3" customFormat="1" ht="12.2" customHeight="1" x14ac:dyDescent="0.15">
      <c r="A284" s="1" t="s">
        <v>444</v>
      </c>
      <c r="B284" s="2" t="s">
        <v>357</v>
      </c>
      <c r="C284" s="2" t="s">
        <v>296</v>
      </c>
      <c r="D284" s="2" t="s">
        <v>431</v>
      </c>
      <c r="E284" s="6">
        <v>2300</v>
      </c>
      <c r="F284" s="18"/>
      <c r="G284" s="18">
        <v>1456.6</v>
      </c>
      <c r="H284" s="18">
        <v>12606.14</v>
      </c>
      <c r="I284" s="18">
        <v>737.46</v>
      </c>
      <c r="J284" s="18"/>
      <c r="K284" s="18"/>
      <c r="L284" s="13">
        <f t="shared" si="12"/>
        <v>14800.2</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v>5100</v>
      </c>
      <c r="J286" s="18"/>
      <c r="K286" s="18"/>
      <c r="L286" s="13">
        <f t="shared" si="12"/>
        <v>5100</v>
      </c>
      <c r="M286" s="8"/>
      <c r="N286" s="165"/>
    </row>
    <row r="287" spans="1:14" s="3" customFormat="1" ht="12.2" customHeight="1" x14ac:dyDescent="0.15">
      <c r="A287" s="1" t="s">
        <v>447</v>
      </c>
      <c r="B287" s="2" t="s">
        <v>357</v>
      </c>
      <c r="C287" s="2" t="s">
        <v>299</v>
      </c>
      <c r="D287" s="2" t="s">
        <v>431</v>
      </c>
      <c r="E287" s="6">
        <v>2600</v>
      </c>
      <c r="F287" s="18"/>
      <c r="G287" s="18"/>
      <c r="H287" s="18">
        <v>13458.08</v>
      </c>
      <c r="I287" s="18">
        <v>8206.86</v>
      </c>
      <c r="J287" s="18"/>
      <c r="K287" s="18"/>
      <c r="L287" s="13">
        <f t="shared" si="12"/>
        <v>21664.940000000002</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v>11959.5</v>
      </c>
      <c r="J289" s="18"/>
      <c r="K289" s="18"/>
      <c r="L289" s="13">
        <f>SUM(F289:K289)</f>
        <v>11959.5</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315369.22000000003</v>
      </c>
      <c r="G291" s="39">
        <f t="shared" si="13"/>
        <v>21085.950000000004</v>
      </c>
      <c r="H291" s="39">
        <f t="shared" si="13"/>
        <v>173565.66999999995</v>
      </c>
      <c r="I291" s="39">
        <f t="shared" si="13"/>
        <v>43430.74</v>
      </c>
      <c r="J291" s="39">
        <f t="shared" si="13"/>
        <v>44034.78</v>
      </c>
      <c r="K291" s="39">
        <f t="shared" si="13"/>
        <v>4156.5</v>
      </c>
      <c r="L291" s="38">
        <f t="shared" si="13"/>
        <v>601642.85999999987</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v>1399.64</v>
      </c>
      <c r="I296" s="18">
        <v>198</v>
      </c>
      <c r="J296" s="18">
        <v>3756.5</v>
      </c>
      <c r="K296" s="18"/>
      <c r="L296" s="13">
        <f>SUM(F296:K296)</f>
        <v>5354.14</v>
      </c>
      <c r="M296" s="8"/>
      <c r="N296" s="165"/>
    </row>
    <row r="297" spans="1:14" s="3" customFormat="1" ht="12.2" customHeight="1" x14ac:dyDescent="0.15">
      <c r="A297" s="1" t="s">
        <v>439</v>
      </c>
      <c r="B297" s="2" t="s">
        <v>358</v>
      </c>
      <c r="C297" s="2" t="s">
        <v>291</v>
      </c>
      <c r="D297" s="2" t="s">
        <v>431</v>
      </c>
      <c r="E297" s="6">
        <v>1200</v>
      </c>
      <c r="F297" s="18">
        <f>8108.54+423+4249.06+1083.08</f>
        <v>13863.680000000002</v>
      </c>
      <c r="G297" s="18">
        <v>4264.67</v>
      </c>
      <c r="H297" s="18">
        <v>41871.49</v>
      </c>
      <c r="I297" s="18">
        <v>240.8</v>
      </c>
      <c r="J297" s="18">
        <v>2841.34</v>
      </c>
      <c r="K297" s="18"/>
      <c r="L297" s="13">
        <f>SUM(F297:K297)</f>
        <v>63081.979999999996</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v>19005.25</v>
      </c>
      <c r="G299" s="18">
        <v>2132.34</v>
      </c>
      <c r="H299" s="18"/>
      <c r="I299" s="18"/>
      <c r="J299" s="18"/>
      <c r="K299" s="18">
        <v>1793</v>
      </c>
      <c r="L299" s="13">
        <f>SUM(F299:K299)</f>
        <v>22930.59</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v>16.579999999999998</v>
      </c>
      <c r="H301" s="18"/>
      <c r="I301" s="18"/>
      <c r="J301" s="18"/>
      <c r="K301" s="18"/>
      <c r="L301" s="13">
        <f t="shared" ref="L301:L307" si="14">SUM(F301:K301)</f>
        <v>16.579999999999998</v>
      </c>
      <c r="M301" s="8"/>
      <c r="N301" s="165"/>
    </row>
    <row r="302" spans="1:14" s="3" customFormat="1" ht="12.2" customHeight="1" x14ac:dyDescent="0.15">
      <c r="A302" s="1" t="s">
        <v>443</v>
      </c>
      <c r="B302" s="2" t="s">
        <v>358</v>
      </c>
      <c r="C302" s="2" t="s">
        <v>295</v>
      </c>
      <c r="D302" s="2" t="s">
        <v>431</v>
      </c>
      <c r="E302" s="6">
        <v>2200</v>
      </c>
      <c r="F302" s="18">
        <v>1540</v>
      </c>
      <c r="G302" s="18"/>
      <c r="H302" s="18">
        <f>15027.59+3091</f>
        <v>18118.59</v>
      </c>
      <c r="I302" s="18">
        <v>896.78</v>
      </c>
      <c r="J302" s="18">
        <v>12397.56</v>
      </c>
      <c r="K302" s="18"/>
      <c r="L302" s="13">
        <f t="shared" si="14"/>
        <v>32952.93</v>
      </c>
      <c r="M302" s="8"/>
      <c r="N302" s="165"/>
    </row>
    <row r="303" spans="1:14" s="3" customFormat="1" ht="12.2" customHeight="1" x14ac:dyDescent="0.15">
      <c r="A303" s="1" t="s">
        <v>444</v>
      </c>
      <c r="B303" s="2" t="s">
        <v>358</v>
      </c>
      <c r="C303" s="2" t="s">
        <v>296</v>
      </c>
      <c r="D303" s="2" t="s">
        <v>431</v>
      </c>
      <c r="E303" s="6">
        <v>2300</v>
      </c>
      <c r="F303" s="18"/>
      <c r="G303" s="18">
        <v>628.34</v>
      </c>
      <c r="H303" s="18"/>
      <c r="I303" s="18"/>
      <c r="J303" s="18"/>
      <c r="K303" s="18"/>
      <c r="L303" s="13">
        <f t="shared" si="14"/>
        <v>628.34</v>
      </c>
      <c r="M303" s="8"/>
      <c r="N303" s="165"/>
    </row>
    <row r="304" spans="1:14" s="3" customFormat="1" ht="12.2" customHeight="1" x14ac:dyDescent="0.15">
      <c r="A304" s="1" t="s">
        <v>445</v>
      </c>
      <c r="B304" s="2" t="s">
        <v>358</v>
      </c>
      <c r="C304" s="2" t="s">
        <v>297</v>
      </c>
      <c r="D304" s="2" t="s">
        <v>431</v>
      </c>
      <c r="E304" s="6">
        <v>2400</v>
      </c>
      <c r="F304" s="18"/>
      <c r="G304" s="18"/>
      <c r="H304" s="18">
        <v>5437.94</v>
      </c>
      <c r="I304" s="18">
        <v>318.12</v>
      </c>
      <c r="J304" s="18"/>
      <c r="K304" s="18"/>
      <c r="L304" s="13">
        <f t="shared" si="14"/>
        <v>5756.0599999999995</v>
      </c>
      <c r="M304" s="8"/>
      <c r="N304" s="165"/>
    </row>
    <row r="305" spans="1:14" s="3" customFormat="1" ht="12.2" customHeight="1" x14ac:dyDescent="0.15">
      <c r="A305" s="1" t="s">
        <v>446</v>
      </c>
      <c r="B305" s="2" t="s">
        <v>358</v>
      </c>
      <c r="C305" s="2" t="s">
        <v>298</v>
      </c>
      <c r="D305" s="2" t="s">
        <v>431</v>
      </c>
      <c r="E305" s="6">
        <v>2500</v>
      </c>
      <c r="F305" s="18"/>
      <c r="G305" s="18"/>
      <c r="H305" s="18"/>
      <c r="I305" s="18">
        <v>2200</v>
      </c>
      <c r="J305" s="18"/>
      <c r="K305" s="18"/>
      <c r="L305" s="13">
        <f t="shared" si="14"/>
        <v>2200</v>
      </c>
      <c r="M305" s="8"/>
      <c r="N305" s="165"/>
    </row>
    <row r="306" spans="1:14" s="3" customFormat="1" ht="12.2" customHeight="1" x14ac:dyDescent="0.15">
      <c r="A306" s="1" t="s">
        <v>447</v>
      </c>
      <c r="B306" s="2" t="s">
        <v>358</v>
      </c>
      <c r="C306" s="2" t="s">
        <v>299</v>
      </c>
      <c r="D306" s="2" t="s">
        <v>431</v>
      </c>
      <c r="E306" s="6">
        <v>2600</v>
      </c>
      <c r="F306" s="18"/>
      <c r="G306" s="18"/>
      <c r="H306" s="18">
        <v>5805.45</v>
      </c>
      <c r="I306" s="18">
        <v>3540.22</v>
      </c>
      <c r="J306" s="18"/>
      <c r="K306" s="18"/>
      <c r="L306" s="13">
        <f t="shared" si="14"/>
        <v>9345.67</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v>5159</v>
      </c>
      <c r="J308" s="18"/>
      <c r="K308" s="18"/>
      <c r="L308" s="13">
        <f>SUM(F308:K308)</f>
        <v>5159</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34408.93</v>
      </c>
      <c r="G310" s="39">
        <f t="shared" si="15"/>
        <v>7041.93</v>
      </c>
      <c r="H310" s="39">
        <f t="shared" si="15"/>
        <v>72633.11</v>
      </c>
      <c r="I310" s="39">
        <f t="shared" si="15"/>
        <v>12552.92</v>
      </c>
      <c r="J310" s="39">
        <f t="shared" si="15"/>
        <v>18995.400000000001</v>
      </c>
      <c r="K310" s="39">
        <f t="shared" si="15"/>
        <v>1793</v>
      </c>
      <c r="L310" s="38">
        <f t="shared" si="15"/>
        <v>147425.29</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v>1717.74</v>
      </c>
      <c r="I315" s="18">
        <v>243</v>
      </c>
      <c r="J315" s="18">
        <v>4610.25</v>
      </c>
      <c r="K315" s="18"/>
      <c r="L315" s="13">
        <f>SUM(F315:K315)</f>
        <v>6570.99</v>
      </c>
      <c r="M315" s="8"/>
      <c r="N315" s="165"/>
    </row>
    <row r="316" spans="1:14" s="3" customFormat="1" ht="12.2" customHeight="1" x14ac:dyDescent="0.15">
      <c r="A316" s="1" t="s">
        <v>439</v>
      </c>
      <c r="B316" s="2" t="s">
        <v>359</v>
      </c>
      <c r="C316" s="2" t="s">
        <v>291</v>
      </c>
      <c r="D316" s="2" t="s">
        <v>431</v>
      </c>
      <c r="E316" s="6">
        <v>1200</v>
      </c>
      <c r="F316" s="18">
        <f>35760.44+9951.39+519.13+5214.75+1329.24</f>
        <v>52774.95</v>
      </c>
      <c r="G316" s="18">
        <v>2505.2800000000002</v>
      </c>
      <c r="H316" s="18">
        <v>51387.74</v>
      </c>
      <c r="I316" s="18">
        <v>295.52</v>
      </c>
      <c r="J316" s="18">
        <v>3487.1</v>
      </c>
      <c r="K316" s="18"/>
      <c r="L316" s="13">
        <f>SUM(F316:K316)</f>
        <v>110450.59000000001</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v>23324.63</v>
      </c>
      <c r="G318" s="18"/>
      <c r="H318" s="18"/>
      <c r="I318" s="18"/>
      <c r="J318" s="18"/>
      <c r="K318" s="18">
        <v>2200.5</v>
      </c>
      <c r="L318" s="13">
        <f>SUM(F318:K318)</f>
        <v>25525.13</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v>20.34</v>
      </c>
      <c r="H320" s="18"/>
      <c r="I320" s="18"/>
      <c r="J320" s="18"/>
      <c r="K320" s="18"/>
      <c r="L320" s="13">
        <f t="shared" ref="L320:L326" si="16">SUM(F320:K320)</f>
        <v>20.34</v>
      </c>
      <c r="M320" s="8"/>
      <c r="N320" s="165"/>
    </row>
    <row r="321" spans="1:14" s="3" customFormat="1" ht="12.2" customHeight="1" x14ac:dyDescent="0.15">
      <c r="A321" s="1" t="s">
        <v>443</v>
      </c>
      <c r="B321" s="2" t="s">
        <v>359</v>
      </c>
      <c r="C321" s="2" t="s">
        <v>295</v>
      </c>
      <c r="D321" s="2" t="s">
        <v>431</v>
      </c>
      <c r="E321" s="6">
        <v>2200</v>
      </c>
      <c r="F321" s="18">
        <v>1890</v>
      </c>
      <c r="G321" s="18"/>
      <c r="H321" s="18">
        <f>18442.95+3793.5</f>
        <v>22236.45</v>
      </c>
      <c r="I321" s="18">
        <v>1100.5899999999999</v>
      </c>
      <c r="J321" s="18">
        <v>15215.18</v>
      </c>
      <c r="K321" s="18"/>
      <c r="L321" s="13">
        <f t="shared" si="16"/>
        <v>40442.22</v>
      </c>
      <c r="M321" s="8"/>
      <c r="N321" s="165"/>
    </row>
    <row r="322" spans="1:14" s="3" customFormat="1" ht="12.2" customHeight="1" x14ac:dyDescent="0.15">
      <c r="A322" s="1" t="s">
        <v>444</v>
      </c>
      <c r="B322" s="2" t="s">
        <v>359</v>
      </c>
      <c r="C322" s="2" t="s">
        <v>296</v>
      </c>
      <c r="D322" s="2" t="s">
        <v>431</v>
      </c>
      <c r="E322" s="6">
        <v>2300</v>
      </c>
      <c r="F322" s="18"/>
      <c r="G322" s="18">
        <v>771.14</v>
      </c>
      <c r="H322" s="18">
        <v>6673.84</v>
      </c>
      <c r="I322" s="18">
        <v>390.42</v>
      </c>
      <c r="J322" s="18"/>
      <c r="K322" s="18"/>
      <c r="L322" s="13">
        <f t="shared" si="16"/>
        <v>7835.4000000000005</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v>2700</v>
      </c>
      <c r="J324" s="18"/>
      <c r="K324" s="18"/>
      <c r="L324" s="13">
        <f t="shared" si="16"/>
        <v>2700</v>
      </c>
      <c r="M324" s="8"/>
      <c r="N324" s="165"/>
    </row>
    <row r="325" spans="1:14" s="3" customFormat="1" ht="12.2" customHeight="1" x14ac:dyDescent="0.15">
      <c r="A325" s="1" t="s">
        <v>447</v>
      </c>
      <c r="B325" s="2" t="s">
        <v>359</v>
      </c>
      <c r="C325" s="2" t="s">
        <v>299</v>
      </c>
      <c r="D325" s="2" t="s">
        <v>431</v>
      </c>
      <c r="E325" s="6">
        <v>2600</v>
      </c>
      <c r="F325" s="18"/>
      <c r="G325" s="18"/>
      <c r="H325" s="18">
        <v>7124.87</v>
      </c>
      <c r="I325" s="18">
        <v>4344.8100000000004</v>
      </c>
      <c r="J325" s="18"/>
      <c r="K325" s="18"/>
      <c r="L325" s="13">
        <f t="shared" si="16"/>
        <v>11469.68</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v>6331.5</v>
      </c>
      <c r="J327" s="18"/>
      <c r="K327" s="18"/>
      <c r="L327" s="13">
        <f>SUM(F327:K327)</f>
        <v>6331.5</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77989.58</v>
      </c>
      <c r="G329" s="39">
        <f t="shared" si="17"/>
        <v>3296.76</v>
      </c>
      <c r="H329" s="39">
        <f t="shared" si="17"/>
        <v>89140.639999999985</v>
      </c>
      <c r="I329" s="39">
        <f t="shared" si="17"/>
        <v>15405.84</v>
      </c>
      <c r="J329" s="39">
        <f t="shared" si="17"/>
        <v>23312.53</v>
      </c>
      <c r="K329" s="39">
        <f t="shared" si="17"/>
        <v>2200.5</v>
      </c>
      <c r="L329" s="38">
        <f t="shared" si="17"/>
        <v>211345.85</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427767.73000000004</v>
      </c>
      <c r="G339" s="38">
        <f t="shared" si="20"/>
        <v>31424.640000000007</v>
      </c>
      <c r="H339" s="38">
        <f t="shared" si="20"/>
        <v>335339.41999999993</v>
      </c>
      <c r="I339" s="38">
        <f t="shared" si="20"/>
        <v>71389.5</v>
      </c>
      <c r="J339" s="38">
        <f t="shared" si="20"/>
        <v>86342.709999999992</v>
      </c>
      <c r="K339" s="38">
        <f t="shared" si="20"/>
        <v>8150</v>
      </c>
      <c r="L339" s="38">
        <f t="shared" si="20"/>
        <v>960413.99999999988</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427767.73000000004</v>
      </c>
      <c r="G353" s="38">
        <f>G339</f>
        <v>31424.640000000007</v>
      </c>
      <c r="H353" s="38">
        <f>H339</f>
        <v>335339.41999999993</v>
      </c>
      <c r="I353" s="38">
        <f>I339</f>
        <v>71389.5</v>
      </c>
      <c r="J353" s="38">
        <f>J339</f>
        <v>86342.709999999992</v>
      </c>
      <c r="K353" s="38">
        <f>K339+K352</f>
        <v>8150</v>
      </c>
      <c r="L353" s="38">
        <f>L339+L352</f>
        <v>960413.99999999988</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85183.31</v>
      </c>
      <c r="G359" s="18">
        <v>7916.22</v>
      </c>
      <c r="H359" s="18">
        <v>2180.7199999999998</v>
      </c>
      <c r="I359" s="18">
        <v>131686.1</v>
      </c>
      <c r="J359" s="18">
        <v>4389.7700000000004</v>
      </c>
      <c r="K359" s="18">
        <v>4314.41</v>
      </c>
      <c r="L359" s="13">
        <f>SUM(F359:K359)</f>
        <v>235670.53</v>
      </c>
      <c r="M359" s="8"/>
      <c r="N359" s="165"/>
    </row>
    <row r="360" spans="1:22" s="3" customFormat="1" ht="12.2" customHeight="1" x14ac:dyDescent="0.15">
      <c r="A360" s="1" t="s">
        <v>542</v>
      </c>
      <c r="B360" s="2" t="s">
        <v>366</v>
      </c>
      <c r="C360" s="6">
        <v>2</v>
      </c>
      <c r="D360" s="2" t="s">
        <v>431</v>
      </c>
      <c r="E360" s="6"/>
      <c r="F360" s="18">
        <v>46809.45</v>
      </c>
      <c r="G360" s="18">
        <v>3988.86</v>
      </c>
      <c r="H360" s="18">
        <v>944.75</v>
      </c>
      <c r="I360" s="18">
        <v>57050.1</v>
      </c>
      <c r="J360" s="18">
        <v>1901.77</v>
      </c>
      <c r="K360" s="18">
        <v>1869.12</v>
      </c>
      <c r="L360" s="13">
        <f>SUM(F360:K360)</f>
        <v>112564.05</v>
      </c>
      <c r="M360" s="8"/>
      <c r="N360" s="165"/>
    </row>
    <row r="361" spans="1:22" s="3" customFormat="1" ht="12.2" customHeight="1" x14ac:dyDescent="0.15">
      <c r="A361" s="3" t="s">
        <v>543</v>
      </c>
      <c r="B361" s="2" t="s">
        <v>366</v>
      </c>
      <c r="C361" s="6">
        <v>3</v>
      </c>
      <c r="D361" s="2" t="s">
        <v>431</v>
      </c>
      <c r="E361" s="6"/>
      <c r="F361" s="18">
        <v>46809.19</v>
      </c>
      <c r="G361" s="18">
        <f>3987.81+427.25</f>
        <v>4415.0599999999995</v>
      </c>
      <c r="H361" s="18">
        <v>1182.55</v>
      </c>
      <c r="I361" s="18">
        <v>71410.19</v>
      </c>
      <c r="J361" s="18">
        <v>2380.4699999999998</v>
      </c>
      <c r="K361" s="18">
        <v>2339.6</v>
      </c>
      <c r="L361" s="13">
        <f>SUM(F361:K361)</f>
        <v>128537.06000000001</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178801.95</v>
      </c>
      <c r="G363" s="38">
        <f t="shared" si="22"/>
        <v>16320.14</v>
      </c>
      <c r="H363" s="38">
        <f t="shared" si="22"/>
        <v>4308.0199999999995</v>
      </c>
      <c r="I363" s="38">
        <f t="shared" si="22"/>
        <v>260146.39</v>
      </c>
      <c r="J363" s="38">
        <f t="shared" si="22"/>
        <v>8672.01</v>
      </c>
      <c r="K363" s="38">
        <f t="shared" si="22"/>
        <v>8523.1299999999992</v>
      </c>
      <c r="L363" s="38">
        <f t="shared" si="22"/>
        <v>476771.64</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110182.39999999999</v>
      </c>
      <c r="G368" s="18">
        <v>47734.1</v>
      </c>
      <c r="H368" s="18">
        <v>59749.25</v>
      </c>
      <c r="I368" s="13">
        <f>SUM(F368:H368)</f>
        <v>217665.75</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21503.7</v>
      </c>
      <c r="G369" s="53">
        <v>9316</v>
      </c>
      <c r="H369" s="53">
        <v>11660.94</v>
      </c>
      <c r="I369" s="13">
        <f>SUM(F369:H369)</f>
        <v>42480.639999999999</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131686.1</v>
      </c>
      <c r="G370" s="38">
        <f>SUM(G368:G369)</f>
        <v>57050.1</v>
      </c>
      <c r="H370" s="38">
        <f>SUM(H368:H369)</f>
        <v>71410.19</v>
      </c>
      <c r="I370" s="38">
        <f>SUM(I368:I369)</f>
        <v>260146.39</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v>200000</v>
      </c>
      <c r="H389" s="18">
        <v>3641.81</v>
      </c>
      <c r="I389" s="18"/>
      <c r="J389" s="23" t="s">
        <v>288</v>
      </c>
      <c r="K389" s="23" t="s">
        <v>288</v>
      </c>
      <c r="L389" s="13">
        <f t="shared" si="25"/>
        <v>203641.81</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200000</v>
      </c>
      <c r="H394" s="97">
        <f>SUM(H388:H393)</f>
        <v>3641.81</v>
      </c>
      <c r="I394" s="54">
        <f>SUM(I388:I393)</f>
        <v>0</v>
      </c>
      <c r="J394" s="42" t="s">
        <v>288</v>
      </c>
      <c r="K394" s="42" t="s">
        <v>288</v>
      </c>
      <c r="L394" s="38">
        <f>SUM(L388:L393)</f>
        <v>203641.81</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v>100000</v>
      </c>
      <c r="H398" s="18">
        <v>7354.63</v>
      </c>
      <c r="I398" s="18"/>
      <c r="J398" s="23" t="s">
        <v>288</v>
      </c>
      <c r="K398" s="23" t="s">
        <v>288</v>
      </c>
      <c r="L398" s="13">
        <f t="shared" si="26"/>
        <v>107354.63</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100000</v>
      </c>
      <c r="H402" s="38">
        <f>SUM(H396:H401)</f>
        <v>7354.63</v>
      </c>
      <c r="I402" s="38">
        <f>SUM(I396:I401)</f>
        <v>0</v>
      </c>
      <c r="J402" s="42" t="s">
        <v>288</v>
      </c>
      <c r="K402" s="42" t="s">
        <v>288</v>
      </c>
      <c r="L402" s="38">
        <f>SUM(L396:L401)</f>
        <v>107354.63</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300000</v>
      </c>
      <c r="H409" s="38">
        <f>H394+H402+H408</f>
        <v>10996.44</v>
      </c>
      <c r="I409" s="38">
        <f>I394+I402+I408</f>
        <v>0</v>
      </c>
      <c r="J409" s="23" t="s">
        <v>288</v>
      </c>
      <c r="K409" s="23" t="s">
        <v>288</v>
      </c>
      <c r="L409" s="38">
        <f>L394+L402+L408</f>
        <v>310996.44</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f>300000+7354.63+3641.81</f>
        <v>310996.44</v>
      </c>
      <c r="G441" s="18"/>
      <c r="H441" s="18"/>
      <c r="I441" s="13">
        <f t="shared" si="33"/>
        <v>310996.44</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310996.44</v>
      </c>
      <c r="G447" s="13">
        <f>SUM(G440:G446)</f>
        <v>0</v>
      </c>
      <c r="H447" s="13">
        <f>SUM(H440:H446)</f>
        <v>0</v>
      </c>
      <c r="I447" s="13">
        <f>SUM(I440:I446)</f>
        <v>310996.44</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310996.44</v>
      </c>
      <c r="G460" s="18"/>
      <c r="H460" s="18"/>
      <c r="I460" s="13">
        <f t="shared" si="34"/>
        <v>310996.44</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310996.44</v>
      </c>
      <c r="G461" s="65">
        <f>SUM(G455:G460)</f>
        <v>0</v>
      </c>
      <c r="H461" s="65">
        <f>SUM(H455:H460)</f>
        <v>0</v>
      </c>
      <c r="I461" s="65">
        <f>SUM(I455:I460)</f>
        <v>310996.44</v>
      </c>
      <c r="J461" s="23" t="s">
        <v>288</v>
      </c>
      <c r="K461" s="23" t="s">
        <v>288</v>
      </c>
      <c r="L461" s="23" t="s">
        <v>288</v>
      </c>
      <c r="N461" s="131"/>
    </row>
    <row r="462" spans="1:86" ht="12.2" customHeight="1" thickTop="1" x14ac:dyDescent="0.2">
      <c r="A462" s="40" t="s">
        <v>424</v>
      </c>
      <c r="B462" s="41">
        <v>18</v>
      </c>
      <c r="C462" s="64">
        <v>21</v>
      </c>
      <c r="D462" s="114" t="s">
        <v>432</v>
      </c>
      <c r="E462" s="64"/>
      <c r="F462" s="39">
        <f>F453+F461</f>
        <v>310996.44</v>
      </c>
      <c r="G462" s="39">
        <f>G453+G461</f>
        <v>0</v>
      </c>
      <c r="H462" s="39">
        <f>H453+H461</f>
        <v>0</v>
      </c>
      <c r="I462" s="39">
        <f>I453+I461</f>
        <v>310996.44</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1063375.94</v>
      </c>
      <c r="G466" s="18">
        <v>127684.07</v>
      </c>
      <c r="H466" s="18">
        <v>0</v>
      </c>
      <c r="I466" s="18">
        <v>0</v>
      </c>
      <c r="J466" s="18"/>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20911416.420000002</v>
      </c>
      <c r="G469" s="18">
        <v>485699.93</v>
      </c>
      <c r="H469" s="18">
        <v>960414</v>
      </c>
      <c r="I469" s="18">
        <v>165002</v>
      </c>
      <c r="J469" s="18">
        <f>300000+3641.81+7354.63</f>
        <v>310996.44</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20911416.420000002</v>
      </c>
      <c r="G471" s="19">
        <f>SUM(G469:G470)</f>
        <v>485699.93</v>
      </c>
      <c r="H471" s="19">
        <f>SUM(H469:H470)</f>
        <v>960414</v>
      </c>
      <c r="I471" s="19">
        <f>SUM(I469:I470)</f>
        <v>165002</v>
      </c>
      <c r="J471" s="19">
        <f>SUM(J469:J470)</f>
        <v>310996.44</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20721519.879999999</v>
      </c>
      <c r="G473" s="18">
        <v>476771.64</v>
      </c>
      <c r="H473" s="18">
        <v>960414</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20721519.879999999</v>
      </c>
      <c r="G475" s="19">
        <f>SUM(G473:G474)</f>
        <v>476771.64</v>
      </c>
      <c r="H475" s="19">
        <f>SUM(H473:H474)</f>
        <v>960414</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1253272.4800000042</v>
      </c>
      <c r="G477" s="19">
        <f>(G466+G471)- G475</f>
        <v>136612.35999999999</v>
      </c>
      <c r="H477" s="19">
        <f>(H466+H471)- H475</f>
        <v>0</v>
      </c>
      <c r="I477" s="19">
        <f>(I466+I471)- I475</f>
        <v>165002</v>
      </c>
      <c r="J477" s="19">
        <f>(J466+J471)- J475</f>
        <v>310996.44</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v>10</v>
      </c>
      <c r="H491" s="111">
        <v>10</v>
      </c>
      <c r="I491" s="111"/>
      <c r="J491" s="111"/>
      <c r="K491" s="23" t="s">
        <v>288</v>
      </c>
      <c r="L491" s="23" t="s">
        <v>288</v>
      </c>
      <c r="N491" s="131"/>
    </row>
    <row r="492" spans="1:14" ht="12.2" customHeight="1" x14ac:dyDescent="0.2">
      <c r="A492" s="21" t="s">
        <v>615</v>
      </c>
      <c r="B492" s="22">
        <v>20</v>
      </c>
      <c r="C492" s="22">
        <v>2</v>
      </c>
      <c r="D492" s="2" t="s">
        <v>432</v>
      </c>
      <c r="E492" s="22"/>
      <c r="F492" s="112" t="s">
        <v>1813</v>
      </c>
      <c r="G492" s="112" t="s">
        <v>1814</v>
      </c>
      <c r="H492" s="111">
        <f>7/2021</f>
        <v>3.4636318654131617E-3</v>
      </c>
      <c r="I492" s="111"/>
      <c r="J492" s="111"/>
      <c r="K492" s="23" t="s">
        <v>288</v>
      </c>
      <c r="L492" s="23" t="s">
        <v>288</v>
      </c>
      <c r="N492" s="131"/>
    </row>
    <row r="493" spans="1:14" ht="12.2" customHeight="1" x14ac:dyDescent="0.2">
      <c r="A493" s="21" t="s">
        <v>616</v>
      </c>
      <c r="B493" s="22">
        <v>20</v>
      </c>
      <c r="C493" s="22">
        <v>3</v>
      </c>
      <c r="D493" s="2" t="s">
        <v>432</v>
      </c>
      <c r="E493" s="22"/>
      <c r="F493" s="112" t="s">
        <v>1812</v>
      </c>
      <c r="G493" s="112" t="s">
        <v>1815</v>
      </c>
      <c r="H493" s="111">
        <f>8/2031</f>
        <v>3.9389463318562287E-3</v>
      </c>
      <c r="I493" s="111"/>
      <c r="J493" s="111"/>
      <c r="K493" s="23" t="s">
        <v>288</v>
      </c>
      <c r="L493" s="23" t="s">
        <v>288</v>
      </c>
      <c r="N493" s="131"/>
    </row>
    <row r="494" spans="1:14" ht="12.2" customHeight="1" x14ac:dyDescent="0.2">
      <c r="A494" s="21" t="s">
        <v>617</v>
      </c>
      <c r="B494" s="22">
        <v>20</v>
      </c>
      <c r="C494" s="22">
        <v>4</v>
      </c>
      <c r="D494" s="2" t="s">
        <v>432</v>
      </c>
      <c r="E494" s="22"/>
      <c r="F494" s="18">
        <v>12500000</v>
      </c>
      <c r="G494" s="18">
        <v>974600</v>
      </c>
      <c r="H494" s="18">
        <v>820375</v>
      </c>
      <c r="I494" s="18"/>
      <c r="J494" s="18"/>
      <c r="K494" s="23" t="s">
        <v>288</v>
      </c>
      <c r="L494" s="23" t="s">
        <v>288</v>
      </c>
      <c r="N494" s="131"/>
    </row>
    <row r="495" spans="1:14" ht="12.2" customHeight="1" x14ac:dyDescent="0.2">
      <c r="A495" s="21" t="s">
        <v>618</v>
      </c>
      <c r="B495" s="22">
        <v>20</v>
      </c>
      <c r="C495" s="22">
        <v>5</v>
      </c>
      <c r="D495" s="2" t="s">
        <v>432</v>
      </c>
      <c r="E495" s="22"/>
      <c r="F495" s="18">
        <v>4.13</v>
      </c>
      <c r="G495" s="18">
        <v>2.57</v>
      </c>
      <c r="H495" s="18">
        <v>0.96</v>
      </c>
      <c r="I495" s="18"/>
      <c r="J495" s="18"/>
      <c r="K495" s="23" t="s">
        <v>288</v>
      </c>
      <c r="L495" s="23" t="s">
        <v>288</v>
      </c>
      <c r="N495" s="131"/>
    </row>
    <row r="496" spans="1:14" ht="12.2" customHeight="1" x14ac:dyDescent="0.2">
      <c r="A496" s="21" t="s">
        <v>619</v>
      </c>
      <c r="B496" s="22">
        <v>20</v>
      </c>
      <c r="C496" s="22">
        <v>6</v>
      </c>
      <c r="D496" s="2" t="s">
        <v>432</v>
      </c>
      <c r="E496" s="22"/>
      <c r="F496" s="18">
        <v>3360000</v>
      </c>
      <c r="G496" s="18">
        <v>670000</v>
      </c>
      <c r="H496" s="18">
        <v>820375</v>
      </c>
      <c r="I496" s="18"/>
      <c r="J496" s="18"/>
      <c r="K496" s="19">
        <f>SUM(F496:J496)</f>
        <v>4850375</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v>2575000</v>
      </c>
      <c r="G499" s="147">
        <v>570000</v>
      </c>
      <c r="H499" s="147">
        <v>735000</v>
      </c>
      <c r="I499" s="147"/>
      <c r="J499" s="147"/>
      <c r="K499" s="148">
        <f t="shared" si="35"/>
        <v>3880000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2575000</v>
      </c>
      <c r="G501" s="39">
        <f>SUM(G499:G500)</f>
        <v>570000</v>
      </c>
      <c r="H501" s="39">
        <f>SUM(H499:H500)</f>
        <v>735000</v>
      </c>
      <c r="I501" s="39">
        <f>SUM(I499:I500)</f>
        <v>0</v>
      </c>
      <c r="J501" s="39">
        <f>SUM(J499:J500)</f>
        <v>0</v>
      </c>
      <c r="K501" s="39">
        <f t="shared" si="35"/>
        <v>3880000</v>
      </c>
      <c r="L501" s="42" t="s">
        <v>288</v>
      </c>
      <c r="N501" s="131"/>
    </row>
    <row r="502" spans="1:14" ht="12.2" customHeight="1" x14ac:dyDescent="0.2">
      <c r="A502" s="144" t="s">
        <v>651</v>
      </c>
      <c r="B502" s="145">
        <v>20</v>
      </c>
      <c r="C502" s="145">
        <v>12</v>
      </c>
      <c r="D502" s="146" t="s">
        <v>432</v>
      </c>
      <c r="E502" s="145"/>
      <c r="F502" s="147">
        <v>820000</v>
      </c>
      <c r="G502" s="147">
        <v>95000</v>
      </c>
      <c r="H502" s="147">
        <v>85000</v>
      </c>
      <c r="I502" s="147"/>
      <c r="J502" s="147"/>
      <c r="K502" s="148">
        <f t="shared" si="35"/>
        <v>1000000</v>
      </c>
      <c r="L502" s="149" t="s">
        <v>288</v>
      </c>
      <c r="N502" s="131"/>
    </row>
    <row r="503" spans="1:14" ht="12.2" customHeight="1" thickBot="1" x14ac:dyDescent="0.25">
      <c r="A503" s="21" t="s">
        <v>625</v>
      </c>
      <c r="B503" s="22">
        <v>20</v>
      </c>
      <c r="C503" s="22">
        <v>13</v>
      </c>
      <c r="D503" s="2" t="s">
        <v>432</v>
      </c>
      <c r="E503" s="22"/>
      <c r="F503" s="18">
        <f>12413.5+38950</f>
        <v>51363.5</v>
      </c>
      <c r="G503" s="18">
        <f>14535+12112.5</f>
        <v>26647.5</v>
      </c>
      <c r="H503" s="18">
        <f>18742.5+16575</f>
        <v>35317.5</v>
      </c>
      <c r="I503" s="18"/>
      <c r="J503" s="18"/>
      <c r="K503" s="19">
        <f t="shared" si="35"/>
        <v>113328.5</v>
      </c>
      <c r="L503" s="23" t="s">
        <v>288</v>
      </c>
      <c r="N503" s="131"/>
    </row>
    <row r="504" spans="1:14" ht="12.2" customHeight="1" thickTop="1" x14ac:dyDescent="0.2">
      <c r="A504" s="97" t="s">
        <v>626</v>
      </c>
      <c r="B504" s="41">
        <v>20</v>
      </c>
      <c r="C504" s="41">
        <v>14</v>
      </c>
      <c r="D504" s="36" t="s">
        <v>432</v>
      </c>
      <c r="E504" s="41"/>
      <c r="F504" s="39">
        <f>SUM(F502:F503)</f>
        <v>871363.5</v>
      </c>
      <c r="G504" s="39">
        <f>SUM(G502:G503)</f>
        <v>121647.5</v>
      </c>
      <c r="H504" s="39">
        <f>SUM(H502:H503)</f>
        <v>120317.5</v>
      </c>
      <c r="I504" s="39">
        <f>SUM(I502:I503)</f>
        <v>0</v>
      </c>
      <c r="J504" s="39">
        <f>SUM(J502:J503)</f>
        <v>0</v>
      </c>
      <c r="K504" s="39">
        <f t="shared" si="35"/>
        <v>1113328.5</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973528.55</v>
      </c>
      <c r="G522" s="18">
        <f>204635.7+74474.93</f>
        <v>279110.63</v>
      </c>
      <c r="H522" s="18">
        <f>290866.99+432653.88</f>
        <v>723520.87</v>
      </c>
      <c r="I522" s="18">
        <v>14863.18</v>
      </c>
      <c r="J522" s="18">
        <v>3848.65</v>
      </c>
      <c r="K522" s="18"/>
      <c r="L522" s="69">
        <f>SUM(F522:K522)</f>
        <v>1994871.8800000001</v>
      </c>
      <c r="N522" s="131"/>
    </row>
    <row r="523" spans="1:14" ht="12.2" customHeight="1" x14ac:dyDescent="0.2">
      <c r="A523" s="21" t="s">
        <v>634</v>
      </c>
      <c r="B523" s="22">
        <v>21</v>
      </c>
      <c r="C523" s="22">
        <v>2</v>
      </c>
      <c r="D523" s="2" t="s">
        <v>432</v>
      </c>
      <c r="E523" s="22"/>
      <c r="F523" s="18">
        <v>249203.71</v>
      </c>
      <c r="G523" s="18">
        <v>18814.89</v>
      </c>
      <c r="H523" s="18">
        <f>126011.72+187437.76</f>
        <v>313449.48</v>
      </c>
      <c r="I523" s="18">
        <v>3025.49</v>
      </c>
      <c r="J523" s="18">
        <v>552.58000000000004</v>
      </c>
      <c r="K523" s="18"/>
      <c r="L523" s="69">
        <f>SUM(F523:K523)</f>
        <v>585046.14999999991</v>
      </c>
      <c r="N523" s="131"/>
    </row>
    <row r="524" spans="1:14" ht="12.2" customHeight="1" thickBot="1" x14ac:dyDescent="0.25">
      <c r="A524" s="21" t="s">
        <v>635</v>
      </c>
      <c r="B524" s="22">
        <v>21</v>
      </c>
      <c r="C524" s="22">
        <v>3</v>
      </c>
      <c r="D524" s="2" t="s">
        <v>432</v>
      </c>
      <c r="E524" s="22"/>
      <c r="F524" s="18">
        <v>260433.51</v>
      </c>
      <c r="G524" s="18">
        <v>149615.4</v>
      </c>
      <c r="H524" s="18">
        <f>157730.12+234617.72</f>
        <v>392347.83999999997</v>
      </c>
      <c r="I524" s="18">
        <v>4994.55</v>
      </c>
      <c r="J524" s="18">
        <v>0</v>
      </c>
      <c r="K524" s="18"/>
      <c r="L524" s="69">
        <f>SUM(F524:K524)</f>
        <v>807391.3</v>
      </c>
      <c r="N524" s="131"/>
    </row>
    <row r="525" spans="1:14" ht="12.2" customHeight="1" thickTop="1" x14ac:dyDescent="0.2">
      <c r="A525" s="97" t="s">
        <v>63</v>
      </c>
      <c r="B525" s="41">
        <v>21</v>
      </c>
      <c r="C525" s="41">
        <v>4</v>
      </c>
      <c r="D525" s="115" t="s">
        <v>432</v>
      </c>
      <c r="E525" s="41"/>
      <c r="F525" s="81">
        <f>SUM(F522:F524)</f>
        <v>1483165.77</v>
      </c>
      <c r="G525" s="81">
        <f t="shared" ref="G525:L525" si="36">SUM(G522:G524)</f>
        <v>447540.92000000004</v>
      </c>
      <c r="H525" s="81">
        <f t="shared" si="36"/>
        <v>1429318.19</v>
      </c>
      <c r="I525" s="81">
        <f t="shared" si="36"/>
        <v>22883.219999999998</v>
      </c>
      <c r="J525" s="81">
        <f t="shared" si="36"/>
        <v>4401.2300000000005</v>
      </c>
      <c r="K525" s="81">
        <f t="shared" si="36"/>
        <v>0</v>
      </c>
      <c r="L525" s="70">
        <f t="shared" si="36"/>
        <v>3387309.33</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211244.85</f>
        <v>211244.85</v>
      </c>
      <c r="G527" s="18">
        <f>44403.66+16160.23</f>
        <v>60563.89</v>
      </c>
      <c r="H527" s="18">
        <v>128462.93</v>
      </c>
      <c r="I527" s="18">
        <f>5041.75+3200+2630</f>
        <v>10871.75</v>
      </c>
      <c r="J527" s="18">
        <f>1012.4+140+100</f>
        <v>1252.4000000000001</v>
      </c>
      <c r="K527" s="18"/>
      <c r="L527" s="69">
        <f>SUM(F527:K527)</f>
        <v>412395.82</v>
      </c>
      <c r="M527" s="8"/>
      <c r="N527" s="165"/>
    </row>
    <row r="528" spans="1:14" s="3" customFormat="1" ht="12.2" customHeight="1" x14ac:dyDescent="0.15">
      <c r="A528" s="21" t="s">
        <v>634</v>
      </c>
      <c r="B528" s="22">
        <v>21</v>
      </c>
      <c r="C528" s="22">
        <v>6</v>
      </c>
      <c r="D528" s="2" t="s">
        <v>432</v>
      </c>
      <c r="E528" s="22"/>
      <c r="F528" s="18">
        <v>91517.18</v>
      </c>
      <c r="G528" s="18">
        <v>20014.810000000001</v>
      </c>
      <c r="H528" s="18">
        <v>55653.73</v>
      </c>
      <c r="I528" s="18">
        <f>2184.23+1230</f>
        <v>3414.23</v>
      </c>
      <c r="J528" s="18">
        <f>438.6+200</f>
        <v>638.6</v>
      </c>
      <c r="K528" s="18"/>
      <c r="L528" s="69">
        <f>SUM(F528:K528)</f>
        <v>171238.55000000002</v>
      </c>
      <c r="M528" s="8"/>
      <c r="N528" s="165"/>
    </row>
    <row r="529" spans="1:14" s="3" customFormat="1" ht="12.2" customHeight="1" thickBot="1" x14ac:dyDescent="0.2">
      <c r="A529" s="21" t="s">
        <v>635</v>
      </c>
      <c r="B529" s="22">
        <v>21</v>
      </c>
      <c r="C529" s="22">
        <v>7</v>
      </c>
      <c r="D529" s="2" t="s">
        <v>432</v>
      </c>
      <c r="E529" s="22"/>
      <c r="F529" s="18">
        <v>114552.97</v>
      </c>
      <c r="G529" s="18">
        <v>25052.73</v>
      </c>
      <c r="H529" s="18">
        <v>69662.34</v>
      </c>
      <c r="I529" s="18">
        <f>2734.03+1300</f>
        <v>4034.03</v>
      </c>
      <c r="J529" s="18">
        <f>549+200</f>
        <v>749</v>
      </c>
      <c r="K529" s="18"/>
      <c r="L529" s="69">
        <f>SUM(F529:K529)</f>
        <v>214051.07</v>
      </c>
      <c r="M529" s="8"/>
      <c r="N529" s="165"/>
    </row>
    <row r="530" spans="1:14" s="3" customFormat="1" ht="12.2" customHeight="1" thickTop="1" x14ac:dyDescent="0.15">
      <c r="A530" s="97" t="s">
        <v>65</v>
      </c>
      <c r="B530" s="41">
        <v>21</v>
      </c>
      <c r="C530" s="41">
        <v>8</v>
      </c>
      <c r="D530" s="115" t="s">
        <v>432</v>
      </c>
      <c r="E530" s="41"/>
      <c r="F530" s="70">
        <f>SUM(F527:F529)</f>
        <v>417315</v>
      </c>
      <c r="G530" s="70">
        <f t="shared" ref="G530:L530" si="37">SUM(G527:G529)</f>
        <v>105631.43</v>
      </c>
      <c r="H530" s="70">
        <f t="shared" si="37"/>
        <v>253779</v>
      </c>
      <c r="I530" s="70">
        <f t="shared" si="37"/>
        <v>18320.009999999998</v>
      </c>
      <c r="J530" s="70">
        <f t="shared" si="37"/>
        <v>2640</v>
      </c>
      <c r="K530" s="70">
        <f t="shared" si="37"/>
        <v>0</v>
      </c>
      <c r="L530" s="70">
        <f t="shared" si="37"/>
        <v>797685.44</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f>82733.65+154646.12</f>
        <v>237379.77</v>
      </c>
      <c r="G532" s="18">
        <f>5113.15+33770</f>
        <v>38883.15</v>
      </c>
      <c r="H532" s="18"/>
      <c r="I532" s="18"/>
      <c r="J532" s="18"/>
      <c r="K532" s="18"/>
      <c r="L532" s="69">
        <f>SUM(F532:K532)</f>
        <v>276262.92</v>
      </c>
      <c r="M532" s="8"/>
      <c r="N532" s="165"/>
    </row>
    <row r="533" spans="1:14" s="3" customFormat="1" ht="12.2" customHeight="1" x14ac:dyDescent="0.15">
      <c r="A533" s="21" t="s">
        <v>634</v>
      </c>
      <c r="B533" s="22">
        <v>21</v>
      </c>
      <c r="C533" s="22">
        <v>10</v>
      </c>
      <c r="D533" s="2" t="s">
        <v>432</v>
      </c>
      <c r="E533" s="22"/>
      <c r="F533" s="18">
        <f>35842.53+66997.03</f>
        <v>102839.56</v>
      </c>
      <c r="G533" s="18">
        <f>22491.01+33777</f>
        <v>56268.009999999995</v>
      </c>
      <c r="H533" s="18"/>
      <c r="I533" s="18"/>
      <c r="J533" s="18"/>
      <c r="K533" s="18"/>
      <c r="L533" s="69">
        <f>SUM(F533:K533)</f>
        <v>159107.57</v>
      </c>
      <c r="M533" s="8"/>
      <c r="N533" s="165"/>
    </row>
    <row r="534" spans="1:14" s="3" customFormat="1" ht="12.2" customHeight="1" thickBot="1" x14ac:dyDescent="0.2">
      <c r="A534" s="21" t="s">
        <v>635</v>
      </c>
      <c r="B534" s="22">
        <v>21</v>
      </c>
      <c r="C534" s="22">
        <v>11</v>
      </c>
      <c r="D534" s="2" t="s">
        <v>432</v>
      </c>
      <c r="E534" s="22"/>
      <c r="F534" s="18">
        <f>44864.45+83860.85</f>
        <v>128725.3</v>
      </c>
      <c r="G534" s="18">
        <f>28152.22+33777</f>
        <v>61929.22</v>
      </c>
      <c r="H534" s="18"/>
      <c r="I534" s="18"/>
      <c r="J534" s="18"/>
      <c r="K534" s="18"/>
      <c r="L534" s="69">
        <f>SUM(F534:K534)</f>
        <v>190654.52000000002</v>
      </c>
      <c r="M534" s="8"/>
      <c r="N534" s="165"/>
    </row>
    <row r="535" spans="1:14" s="3" customFormat="1" ht="12.2" customHeight="1" thickTop="1" x14ac:dyDescent="0.15">
      <c r="A535" s="97" t="s">
        <v>67</v>
      </c>
      <c r="B535" s="41">
        <v>21</v>
      </c>
      <c r="C535" s="41">
        <v>12</v>
      </c>
      <c r="D535" s="115" t="s">
        <v>432</v>
      </c>
      <c r="E535" s="41"/>
      <c r="F535" s="70">
        <f>SUM(F532:F534)</f>
        <v>468944.62999999995</v>
      </c>
      <c r="G535" s="70">
        <f t="shared" ref="G535:L535" si="38">SUM(G532:G534)</f>
        <v>157080.38</v>
      </c>
      <c r="H535" s="70">
        <f t="shared" si="38"/>
        <v>0</v>
      </c>
      <c r="I535" s="70">
        <f t="shared" si="38"/>
        <v>0</v>
      </c>
      <c r="J535" s="70">
        <f t="shared" si="38"/>
        <v>0</v>
      </c>
      <c r="K535" s="70">
        <f t="shared" si="38"/>
        <v>0</v>
      </c>
      <c r="L535" s="70">
        <f t="shared" si="38"/>
        <v>626025.01</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150837.73000000001</v>
      </c>
      <c r="I542" s="18"/>
      <c r="J542" s="18"/>
      <c r="K542" s="18"/>
      <c r="L542" s="69">
        <f>SUM(F542:K542)</f>
        <v>150837.73000000001</v>
      </c>
      <c r="M542" s="8"/>
      <c r="N542" s="165"/>
    </row>
    <row r="543" spans="1:14" s="3" customFormat="1" ht="12.2" customHeight="1" x14ac:dyDescent="0.15">
      <c r="A543" s="21" t="s">
        <v>634</v>
      </c>
      <c r="B543" s="22">
        <v>21</v>
      </c>
      <c r="C543" s="22">
        <v>18</v>
      </c>
      <c r="D543" s="2" t="s">
        <v>432</v>
      </c>
      <c r="E543" s="22"/>
      <c r="F543" s="18"/>
      <c r="G543" s="18"/>
      <c r="H543" s="18">
        <v>65347.12</v>
      </c>
      <c r="I543" s="18"/>
      <c r="J543" s="18"/>
      <c r="K543" s="18"/>
      <c r="L543" s="69">
        <f>SUM(F543:K543)</f>
        <v>65347.12</v>
      </c>
      <c r="M543" s="8"/>
      <c r="N543" s="165"/>
    </row>
    <row r="544" spans="1:14" s="3" customFormat="1" ht="12.2" customHeight="1" thickBot="1" x14ac:dyDescent="0.2">
      <c r="A544" s="21" t="s">
        <v>635</v>
      </c>
      <c r="B544" s="22">
        <v>21</v>
      </c>
      <c r="C544" s="22">
        <v>19</v>
      </c>
      <c r="D544" s="2" t="s">
        <v>432</v>
      </c>
      <c r="E544" s="22"/>
      <c r="F544" s="18"/>
      <c r="G544" s="18"/>
      <c r="H544" s="18">
        <v>81795.649999999994</v>
      </c>
      <c r="I544" s="18"/>
      <c r="J544" s="18"/>
      <c r="K544" s="18"/>
      <c r="L544" s="69">
        <f>SUM(F544:K544)</f>
        <v>81795.649999999994</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297980.5</v>
      </c>
      <c r="I545" s="141">
        <f t="shared" si="40"/>
        <v>0</v>
      </c>
      <c r="J545" s="141">
        <f t="shared" si="40"/>
        <v>0</v>
      </c>
      <c r="K545" s="141">
        <f t="shared" si="40"/>
        <v>0</v>
      </c>
      <c r="L545" s="141">
        <f t="shared" si="40"/>
        <v>297980.5</v>
      </c>
      <c r="M545" s="8"/>
      <c r="N545" s="165"/>
    </row>
    <row r="546" spans="1:14" s="3" customFormat="1" ht="12.2" customHeight="1" thickTop="1" x14ac:dyDescent="0.15">
      <c r="A546" s="75" t="s">
        <v>72</v>
      </c>
      <c r="B546" s="41">
        <v>21</v>
      </c>
      <c r="C546" s="41">
        <v>21</v>
      </c>
      <c r="D546" s="115" t="s">
        <v>432</v>
      </c>
      <c r="E546" s="41"/>
      <c r="F546" s="70">
        <f>F525+F530+F535+F540+F545</f>
        <v>2369425.4</v>
      </c>
      <c r="G546" s="70">
        <f t="shared" ref="G546:L546" si="41">G525+G530+G535+G540+G545</f>
        <v>710252.7300000001</v>
      </c>
      <c r="H546" s="70">
        <f t="shared" si="41"/>
        <v>1981077.69</v>
      </c>
      <c r="I546" s="70">
        <f t="shared" si="41"/>
        <v>41203.229999999996</v>
      </c>
      <c r="J546" s="70">
        <f t="shared" si="41"/>
        <v>7041.2300000000005</v>
      </c>
      <c r="K546" s="70">
        <f t="shared" si="41"/>
        <v>0</v>
      </c>
      <c r="L546" s="70">
        <f t="shared" si="41"/>
        <v>5109000.28</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1994871.8800000001</v>
      </c>
      <c r="G550" s="69">
        <f>L527</f>
        <v>412395.82</v>
      </c>
      <c r="H550" s="69">
        <f>L532</f>
        <v>276262.92</v>
      </c>
      <c r="I550" s="69">
        <f>L537</f>
        <v>0</v>
      </c>
      <c r="J550" s="69">
        <f>L542</f>
        <v>150837.73000000001</v>
      </c>
      <c r="K550" s="69">
        <f>SUM(F550:J550)</f>
        <v>2834368.35</v>
      </c>
      <c r="L550" s="23" t="s">
        <v>288</v>
      </c>
      <c r="M550" s="8"/>
      <c r="N550" s="165"/>
    </row>
    <row r="551" spans="1:14" s="3" customFormat="1" ht="12.2" customHeight="1" x14ac:dyDescent="0.15">
      <c r="A551" s="21" t="s">
        <v>634</v>
      </c>
      <c r="B551" s="22">
        <v>21</v>
      </c>
      <c r="C551" s="22">
        <v>23</v>
      </c>
      <c r="D551" s="2" t="s">
        <v>432</v>
      </c>
      <c r="E551" s="22"/>
      <c r="F551" s="69">
        <f>L523</f>
        <v>585046.14999999991</v>
      </c>
      <c r="G551" s="69">
        <f>L528</f>
        <v>171238.55000000002</v>
      </c>
      <c r="H551" s="69">
        <f>L533</f>
        <v>159107.57</v>
      </c>
      <c r="I551" s="69">
        <f>L538</f>
        <v>0</v>
      </c>
      <c r="J551" s="69">
        <f>L543</f>
        <v>65347.12</v>
      </c>
      <c r="K551" s="69">
        <f>SUM(F551:J551)</f>
        <v>980739.39</v>
      </c>
      <c r="L551" s="23" t="s">
        <v>288</v>
      </c>
      <c r="M551" s="8"/>
      <c r="N551" s="165"/>
    </row>
    <row r="552" spans="1:14" s="3" customFormat="1" ht="12.2" customHeight="1" thickBot="1" x14ac:dyDescent="0.2">
      <c r="A552" s="21" t="s">
        <v>635</v>
      </c>
      <c r="B552" s="22">
        <v>21</v>
      </c>
      <c r="C552" s="22">
        <v>24</v>
      </c>
      <c r="D552" s="2" t="s">
        <v>432</v>
      </c>
      <c r="E552" s="22"/>
      <c r="F552" s="69">
        <f>L524</f>
        <v>807391.3</v>
      </c>
      <c r="G552" s="69">
        <f>L529</f>
        <v>214051.07</v>
      </c>
      <c r="H552" s="69">
        <f>L534</f>
        <v>190654.52000000002</v>
      </c>
      <c r="I552" s="69">
        <f>L539</f>
        <v>0</v>
      </c>
      <c r="J552" s="69">
        <f>L544</f>
        <v>81795.649999999994</v>
      </c>
      <c r="K552" s="69">
        <f>SUM(F552:J552)</f>
        <v>1293892.54</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3387309.33</v>
      </c>
      <c r="G553" s="70">
        <f t="shared" si="42"/>
        <v>797685.44</v>
      </c>
      <c r="H553" s="70">
        <f t="shared" si="42"/>
        <v>626025.01</v>
      </c>
      <c r="I553" s="70">
        <f t="shared" si="42"/>
        <v>0</v>
      </c>
      <c r="J553" s="70">
        <f t="shared" si="42"/>
        <v>297980.5</v>
      </c>
      <c r="K553" s="70">
        <f t="shared" si="42"/>
        <v>5109000.28</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22317.66</v>
      </c>
      <c r="G563" s="18">
        <f>7134.62+1707.3</f>
        <v>8841.92</v>
      </c>
      <c r="H563" s="18"/>
      <c r="I563" s="18">
        <v>721.47</v>
      </c>
      <c r="J563" s="18"/>
      <c r="K563" s="18"/>
      <c r="L563" s="69">
        <f>SUM(F563:K563)</f>
        <v>31881.050000000003</v>
      </c>
      <c r="M563" s="8"/>
      <c r="N563" s="165"/>
    </row>
    <row r="564" spans="1:14" s="3" customFormat="1" ht="12.2" customHeight="1" x14ac:dyDescent="0.15">
      <c r="A564" s="21" t="s">
        <v>634</v>
      </c>
      <c r="B564" s="22">
        <v>22</v>
      </c>
      <c r="C564" s="22">
        <v>6</v>
      </c>
      <c r="D564" s="2" t="s">
        <v>432</v>
      </c>
      <c r="E564" s="22"/>
      <c r="F564" s="18">
        <v>22317.66</v>
      </c>
      <c r="G564" s="18">
        <v>8841.92</v>
      </c>
      <c r="H564" s="18"/>
      <c r="I564" s="18">
        <v>721.47</v>
      </c>
      <c r="J564" s="18"/>
      <c r="K564" s="18"/>
      <c r="L564" s="69">
        <f>SUM(F564:K564)</f>
        <v>31881.050000000003</v>
      </c>
      <c r="M564" s="8"/>
      <c r="N564" s="165"/>
    </row>
    <row r="565" spans="1:14" s="3" customFormat="1" ht="12.2" customHeight="1" thickBot="1" x14ac:dyDescent="0.2">
      <c r="A565" s="21" t="s">
        <v>635</v>
      </c>
      <c r="B565" s="22">
        <v>22</v>
      </c>
      <c r="C565" s="22">
        <v>7</v>
      </c>
      <c r="D565" s="2" t="s">
        <v>432</v>
      </c>
      <c r="E565" s="22"/>
      <c r="F565" s="18">
        <v>22317.66</v>
      </c>
      <c r="G565" s="18">
        <v>8841.92</v>
      </c>
      <c r="H565" s="18"/>
      <c r="I565" s="18">
        <v>721.47</v>
      </c>
      <c r="J565" s="18"/>
      <c r="K565" s="18"/>
      <c r="L565" s="69">
        <f>SUM(F565:K565)</f>
        <v>31881.050000000003</v>
      </c>
      <c r="M565" s="8"/>
      <c r="N565" s="165"/>
    </row>
    <row r="566" spans="1:14" s="3" customFormat="1" ht="12.2" customHeight="1" thickTop="1" x14ac:dyDescent="0.15">
      <c r="A566" s="97" t="s">
        <v>65</v>
      </c>
      <c r="B566" s="41">
        <v>22</v>
      </c>
      <c r="C566" s="41">
        <v>8</v>
      </c>
      <c r="D566" s="115" t="s">
        <v>432</v>
      </c>
      <c r="E566" s="41"/>
      <c r="F566" s="70">
        <f t="shared" ref="F566:L566" si="44">SUM(F563:F565)</f>
        <v>66952.98</v>
      </c>
      <c r="G566" s="70">
        <f t="shared" si="44"/>
        <v>26525.760000000002</v>
      </c>
      <c r="H566" s="70">
        <f t="shared" si="44"/>
        <v>0</v>
      </c>
      <c r="I566" s="70">
        <f t="shared" si="44"/>
        <v>2164.41</v>
      </c>
      <c r="J566" s="70">
        <f t="shared" si="44"/>
        <v>0</v>
      </c>
      <c r="K566" s="70">
        <f t="shared" si="44"/>
        <v>0</v>
      </c>
      <c r="L566" s="70">
        <f t="shared" si="44"/>
        <v>95643.150000000009</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66952.98</v>
      </c>
      <c r="G572" s="70">
        <f t="shared" ref="G572:L572" si="46">G561+G566+G571</f>
        <v>26525.760000000002</v>
      </c>
      <c r="H572" s="70">
        <f t="shared" si="46"/>
        <v>0</v>
      </c>
      <c r="I572" s="70">
        <f t="shared" si="46"/>
        <v>2164.41</v>
      </c>
      <c r="J572" s="70">
        <f t="shared" si="46"/>
        <v>0</v>
      </c>
      <c r="K572" s="70">
        <f t="shared" si="46"/>
        <v>0</v>
      </c>
      <c r="L572" s="70">
        <f t="shared" si="46"/>
        <v>95643.150000000009</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1370</v>
      </c>
      <c r="G576" s="18"/>
      <c r="H576" s="18">
        <v>23703.599999999999</v>
      </c>
      <c r="I576" s="69">
        <f>SUM(F576:H576)</f>
        <v>25073.599999999999</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101333.84</v>
      </c>
      <c r="G583" s="18">
        <v>43586.96</v>
      </c>
      <c r="H583" s="18">
        <v>675216.19</v>
      </c>
      <c r="I583" s="69">
        <f t="shared" si="47"/>
        <v>820136.99</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215560.25</v>
      </c>
      <c r="I585" s="69">
        <f t="shared" si="47"/>
        <v>215560.25</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192601.85</v>
      </c>
      <c r="I592" s="18">
        <v>83440.509999999995</v>
      </c>
      <c r="J592" s="18">
        <v>104443.32</v>
      </c>
      <c r="K592" s="80">
        <f t="shared" ref="K592:K598" si="48">SUM(H592:J592)</f>
        <v>380485.68</v>
      </c>
      <c r="L592" s="23" t="s">
        <v>288</v>
      </c>
      <c r="M592" s="8"/>
      <c r="N592" s="165"/>
    </row>
    <row r="593" spans="1:14" s="3" customFormat="1" ht="12.2" customHeight="1" x14ac:dyDescent="0.15">
      <c r="A593" s="3" t="s">
        <v>638</v>
      </c>
      <c r="B593" s="22">
        <v>23</v>
      </c>
      <c r="C593" s="22">
        <v>2</v>
      </c>
      <c r="D593" s="2" t="s">
        <v>432</v>
      </c>
      <c r="E593" s="22"/>
      <c r="F593" s="78">
        <v>2722</v>
      </c>
      <c r="G593" s="79" t="s">
        <v>97</v>
      </c>
      <c r="H593" s="18">
        <v>150837.73000000001</v>
      </c>
      <c r="I593" s="18">
        <v>65347.12</v>
      </c>
      <c r="J593" s="18">
        <v>81795.649999999994</v>
      </c>
      <c r="K593" s="80">
        <f t="shared" si="48"/>
        <v>297980.5</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37686.46</v>
      </c>
      <c r="K594" s="80">
        <f t="shared" si="48"/>
        <v>37686.46</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8451.58</v>
      </c>
      <c r="J595" s="18">
        <v>31798.35</v>
      </c>
      <c r="K595" s="80">
        <f t="shared" si="48"/>
        <v>40249.93</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v>3555.27</v>
      </c>
      <c r="J596" s="18">
        <v>7137.5</v>
      </c>
      <c r="K596" s="80">
        <f t="shared" si="48"/>
        <v>10692.77</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t="s">
        <v>286</v>
      </c>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343439.58</v>
      </c>
      <c r="I599" s="81">
        <f>SUM(I592:I598)</f>
        <v>160794.47999999998</v>
      </c>
      <c r="J599" s="81">
        <f>SUM(J592:J598)</f>
        <v>262861.28000000003</v>
      </c>
      <c r="K599" s="81">
        <f>SUM(K592:K598)</f>
        <v>767095.34</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44034.78+97353.89</f>
        <v>141388.66999999998</v>
      </c>
      <c r="I605" s="18">
        <f>18995.4+50797.73</f>
        <v>69793.13</v>
      </c>
      <c r="J605" s="18">
        <f>23312.53+83912.36</f>
        <v>107224.89</v>
      </c>
      <c r="K605" s="80">
        <f>SUM(H605:J605)</f>
        <v>318406.69</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141388.66999999998</v>
      </c>
      <c r="I606" s="81">
        <f>SUM(I603:I605)</f>
        <v>69793.13</v>
      </c>
      <c r="J606" s="81">
        <f>SUM(J603:J605)</f>
        <v>107224.89</v>
      </c>
      <c r="K606" s="81">
        <f>SUM(K603:K605)</f>
        <v>318406.69</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2278251.91</v>
      </c>
      <c r="H618" s="80">
        <f>SUM(F52)</f>
        <v>2278251.91</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435347.27</v>
      </c>
      <c r="H619" s="80">
        <f>SUM(G52)</f>
        <v>435347.27</v>
      </c>
      <c r="I619" s="87" t="s">
        <v>875</v>
      </c>
      <c r="J619" s="80">
        <f>G619-H619</f>
        <v>0</v>
      </c>
      <c r="K619" s="80"/>
      <c r="L619" s="80"/>
      <c r="M619" s="8"/>
    </row>
    <row r="620" spans="1:14" s="3" customFormat="1" ht="12.2" customHeight="1" x14ac:dyDescent="0.15">
      <c r="A620" s="74"/>
      <c r="B620" s="22"/>
      <c r="C620" s="22"/>
      <c r="D620" s="22"/>
      <c r="E620" s="22"/>
      <c r="F620" s="87" t="s">
        <v>685</v>
      </c>
      <c r="G620" s="80">
        <f>SUM(H19)</f>
        <v>153960.85</v>
      </c>
      <c r="H620" s="80">
        <f>SUM(H52)</f>
        <v>153960.85</v>
      </c>
      <c r="I620" s="87" t="s">
        <v>876</v>
      </c>
      <c r="J620" s="80">
        <f>G620-H620</f>
        <v>0</v>
      </c>
      <c r="K620" s="80"/>
      <c r="L620" s="80"/>
      <c r="M620" s="8"/>
    </row>
    <row r="621" spans="1:14" s="3" customFormat="1" ht="12.2" customHeight="1" x14ac:dyDescent="0.15">
      <c r="A621" s="74"/>
      <c r="B621" s="22"/>
      <c r="C621" s="22"/>
      <c r="D621" s="22"/>
      <c r="E621" s="22"/>
      <c r="F621" s="87" t="s">
        <v>686</v>
      </c>
      <c r="G621" s="80">
        <f>SUM(I19)</f>
        <v>165002</v>
      </c>
      <c r="H621" s="80">
        <f>SUM(I52)</f>
        <v>165002</v>
      </c>
      <c r="I621" s="87" t="s">
        <v>877</v>
      </c>
      <c r="J621" s="80">
        <f>G621-H621</f>
        <v>0</v>
      </c>
      <c r="K621" s="80"/>
      <c r="L621" s="80"/>
      <c r="M621" s="8"/>
    </row>
    <row r="622" spans="1:14" s="3" customFormat="1" ht="12.2" customHeight="1" x14ac:dyDescent="0.15">
      <c r="A622" s="74"/>
      <c r="B622" s="22"/>
      <c r="C622" s="22"/>
      <c r="D622" s="22"/>
      <c r="E622" s="22"/>
      <c r="F622" s="87" t="s">
        <v>687</v>
      </c>
      <c r="G622" s="80">
        <f>SUM(J19)</f>
        <v>310996.44</v>
      </c>
      <c r="H622" s="80">
        <f>SUM(J52)</f>
        <v>310996.44</v>
      </c>
      <c r="I622" s="87" t="s">
        <v>878</v>
      </c>
      <c r="J622" s="80">
        <f>G622-H622</f>
        <v>0</v>
      </c>
      <c r="K622" s="80"/>
      <c r="L622" s="80"/>
      <c r="M622" s="8"/>
    </row>
    <row r="623" spans="1:14" s="3" customFormat="1" ht="12.2" customHeight="1" x14ac:dyDescent="0.15">
      <c r="A623" s="74"/>
      <c r="B623" s="22"/>
      <c r="C623" s="22"/>
      <c r="D623" s="22"/>
      <c r="E623" s="22"/>
      <c r="F623" s="87" t="s">
        <v>864</v>
      </c>
      <c r="G623" s="80">
        <f>F51</f>
        <v>1253272.48</v>
      </c>
      <c r="H623" s="80">
        <f>F477</f>
        <v>1253272.4800000042</v>
      </c>
      <c r="I623" s="87" t="s">
        <v>101</v>
      </c>
      <c r="J623" s="80">
        <f t="shared" ref="J623:J656" si="50">G623-H623</f>
        <v>-4.1909515857696533E-9</v>
      </c>
      <c r="K623" s="80"/>
      <c r="L623" s="80"/>
      <c r="M623" s="8"/>
    </row>
    <row r="624" spans="1:14" s="3" customFormat="1" ht="12.2" customHeight="1" x14ac:dyDescent="0.15">
      <c r="A624" s="74"/>
      <c r="B624" s="22"/>
      <c r="C624" s="85"/>
      <c r="D624" s="85"/>
      <c r="E624" s="85"/>
      <c r="F624" s="85" t="s">
        <v>865</v>
      </c>
      <c r="G624" s="80">
        <f>G51</f>
        <v>136612.36000000002</v>
      </c>
      <c r="H624" s="80">
        <f>G477</f>
        <v>136612.35999999999</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165002</v>
      </c>
      <c r="H626" s="80">
        <f>I477</f>
        <v>165002</v>
      </c>
      <c r="I626" s="87" t="s">
        <v>104</v>
      </c>
      <c r="J626" s="80">
        <f t="shared" si="50"/>
        <v>0</v>
      </c>
      <c r="K626" s="80"/>
      <c r="L626" s="80"/>
      <c r="M626" s="8"/>
    </row>
    <row r="627" spans="1:13" s="3" customFormat="1" ht="12.2" customHeight="1" x14ac:dyDescent="0.15">
      <c r="A627" s="21"/>
      <c r="B627" s="22"/>
      <c r="C627" s="22"/>
      <c r="D627" s="22"/>
      <c r="E627" s="22"/>
      <c r="F627" s="86" t="s">
        <v>868</v>
      </c>
      <c r="G627" s="80">
        <f>J51</f>
        <v>310996.44</v>
      </c>
      <c r="H627" s="80">
        <f>J477</f>
        <v>310996.44</v>
      </c>
      <c r="I627" s="87" t="s">
        <v>105</v>
      </c>
      <c r="J627" s="80">
        <f t="shared" si="50"/>
        <v>0</v>
      </c>
      <c r="K627" s="67"/>
      <c r="L627" s="69"/>
      <c r="M627" s="8"/>
    </row>
    <row r="628" spans="1:13" s="3" customFormat="1" ht="12.2" customHeight="1" x14ac:dyDescent="0.15">
      <c r="A628" s="21"/>
      <c r="B628" s="22"/>
      <c r="C628" s="22"/>
      <c r="D628" s="22"/>
      <c r="E628" s="22"/>
      <c r="F628" s="86" t="s">
        <v>658</v>
      </c>
      <c r="G628" s="80">
        <f>F194</f>
        <v>20911416.419999998</v>
      </c>
      <c r="H628" s="80">
        <f>SUM(F469)</f>
        <v>20911416.420000002</v>
      </c>
      <c r="I628" s="87" t="s">
        <v>106</v>
      </c>
      <c r="J628" s="80">
        <f>G628-H628</f>
        <v>0</v>
      </c>
      <c r="K628" s="67"/>
      <c r="L628" s="69"/>
      <c r="M628" s="8"/>
    </row>
    <row r="629" spans="1:13" s="3" customFormat="1" ht="12.2" customHeight="1" x14ac:dyDescent="0.15">
      <c r="A629" s="21"/>
      <c r="B629" s="22"/>
      <c r="C629" s="22"/>
      <c r="D629" s="22"/>
      <c r="E629" s="22"/>
      <c r="F629" s="86" t="s">
        <v>659</v>
      </c>
      <c r="G629" s="80">
        <f>G194</f>
        <v>485699.93000000005</v>
      </c>
      <c r="H629" s="80">
        <f>SUM(G469)</f>
        <v>485699.93</v>
      </c>
      <c r="I629" s="87" t="s">
        <v>107</v>
      </c>
      <c r="J629" s="80">
        <f>G629-H629</f>
        <v>0</v>
      </c>
      <c r="K629" s="67"/>
      <c r="L629" s="69"/>
      <c r="M629" s="8"/>
    </row>
    <row r="630" spans="1:13" s="3" customFormat="1" ht="12.2" customHeight="1" x14ac:dyDescent="0.15">
      <c r="A630" s="21"/>
      <c r="B630" s="22"/>
      <c r="C630" s="22"/>
      <c r="D630" s="22"/>
      <c r="E630" s="22"/>
      <c r="F630" s="86" t="s">
        <v>660</v>
      </c>
      <c r="G630" s="80">
        <f>H194</f>
        <v>960414</v>
      </c>
      <c r="H630" s="80">
        <f>SUM(H469)</f>
        <v>960414</v>
      </c>
      <c r="I630" s="87" t="s">
        <v>108</v>
      </c>
      <c r="J630" s="80">
        <f>G630-H630</f>
        <v>0</v>
      </c>
      <c r="K630" s="67"/>
      <c r="L630" s="69"/>
      <c r="M630" s="8"/>
    </row>
    <row r="631" spans="1:13" s="3" customFormat="1" ht="12.2" customHeight="1" x14ac:dyDescent="0.15">
      <c r="A631" s="21"/>
      <c r="B631" s="22"/>
      <c r="C631" s="22"/>
      <c r="D631" s="22"/>
      <c r="E631" s="22"/>
      <c r="F631" s="86" t="s">
        <v>661</v>
      </c>
      <c r="G631" s="80">
        <f>I194</f>
        <v>165002</v>
      </c>
      <c r="H631" s="80">
        <f>SUM(I469)</f>
        <v>165002</v>
      </c>
      <c r="I631" s="87" t="s">
        <v>109</v>
      </c>
      <c r="J631" s="80">
        <f>G631-H631</f>
        <v>0</v>
      </c>
      <c r="K631" s="67"/>
      <c r="L631" s="69"/>
      <c r="M631" s="8"/>
    </row>
    <row r="632" spans="1:13" s="3" customFormat="1" ht="12.2" customHeight="1" x14ac:dyDescent="0.15">
      <c r="A632" s="21"/>
      <c r="B632" s="22"/>
      <c r="C632" s="22"/>
      <c r="D632" s="22"/>
      <c r="E632" s="22"/>
      <c r="F632" s="86" t="s">
        <v>662</v>
      </c>
      <c r="G632" s="80">
        <f>J194</f>
        <v>310996.44</v>
      </c>
      <c r="H632" s="80">
        <f>SUM(J469)</f>
        <v>310996.44</v>
      </c>
      <c r="I632" s="87" t="s">
        <v>110</v>
      </c>
      <c r="J632" s="80">
        <f>G632-H632</f>
        <v>0</v>
      </c>
      <c r="K632" s="67"/>
      <c r="L632" s="69"/>
      <c r="M632" s="8"/>
    </row>
    <row r="633" spans="1:13" s="3" customFormat="1" ht="12.2" customHeight="1" x14ac:dyDescent="0.15">
      <c r="A633" s="21"/>
      <c r="B633" s="22"/>
      <c r="C633" s="22"/>
      <c r="D633" s="22"/>
      <c r="E633" s="22"/>
      <c r="F633" s="86" t="s">
        <v>394</v>
      </c>
      <c r="G633" s="80">
        <f>SUM(L272)</f>
        <v>20721519.879999999</v>
      </c>
      <c r="H633" s="80">
        <f>SUM(F473)</f>
        <v>20721519.879999999</v>
      </c>
      <c r="I633" s="87" t="s">
        <v>111</v>
      </c>
      <c r="J633" s="80">
        <f t="shared" si="50"/>
        <v>0</v>
      </c>
      <c r="K633" s="67"/>
      <c r="L633" s="69"/>
      <c r="M633" s="8"/>
    </row>
    <row r="634" spans="1:13" s="3" customFormat="1" ht="12.2" customHeight="1" x14ac:dyDescent="0.15">
      <c r="A634" s="21"/>
      <c r="B634" s="22"/>
      <c r="C634" s="22"/>
      <c r="D634" s="22"/>
      <c r="E634" s="22"/>
      <c r="F634" s="86" t="s">
        <v>395</v>
      </c>
      <c r="G634" s="80">
        <f>SUM(L353)</f>
        <v>960413.99999999988</v>
      </c>
      <c r="H634" s="80">
        <f>SUM(H473)</f>
        <v>960414</v>
      </c>
      <c r="I634" s="87" t="s">
        <v>112</v>
      </c>
      <c r="J634" s="80">
        <f>G634-H634</f>
        <v>0</v>
      </c>
      <c r="K634" s="67"/>
      <c r="L634" s="69"/>
      <c r="M634" s="8"/>
    </row>
    <row r="635" spans="1:13" s="124" customFormat="1" ht="12.2" customHeight="1" x14ac:dyDescent="0.15">
      <c r="A635" s="21"/>
      <c r="B635" s="22"/>
      <c r="C635" s="22"/>
      <c r="D635" s="22"/>
      <c r="E635" s="22"/>
      <c r="F635" s="99" t="s">
        <v>247</v>
      </c>
      <c r="G635" s="80">
        <f>I363</f>
        <v>260146.39</v>
      </c>
      <c r="H635" s="80">
        <f>I370</f>
        <v>260146.39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476771.64</v>
      </c>
      <c r="H636" s="80">
        <f>SUM(G473)</f>
        <v>476771.64</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310996.44</v>
      </c>
      <c r="H638" s="108">
        <f>SUM(J469)</f>
        <v>310996.44</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310996.44</v>
      </c>
      <c r="H640" s="80">
        <f>SUM(F462)</f>
        <v>310996.44</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310996.44</v>
      </c>
      <c r="H643" s="80">
        <f>SUM(I462)</f>
        <v>310996.44</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10996.44</v>
      </c>
      <c r="H645" s="80">
        <f>H409</f>
        <v>10996.44</v>
      </c>
      <c r="I645" s="87" t="s">
        <v>480</v>
      </c>
      <c r="J645" s="80">
        <f t="shared" si="50"/>
        <v>0</v>
      </c>
      <c r="K645" s="67"/>
      <c r="L645" s="69"/>
      <c r="M645" s="8"/>
    </row>
    <row r="646" spans="1:13" s="3" customFormat="1" ht="12.2" customHeight="1" x14ac:dyDescent="0.15">
      <c r="A646" s="21"/>
      <c r="B646" s="22"/>
      <c r="C646" s="22"/>
      <c r="D646" s="22"/>
      <c r="E646" s="22"/>
      <c r="F646" s="86" t="s">
        <v>664</v>
      </c>
      <c r="G646" s="80">
        <f>J184</f>
        <v>300000</v>
      </c>
      <c r="H646" s="80">
        <f>G409</f>
        <v>300000</v>
      </c>
      <c r="I646" s="87" t="s">
        <v>481</v>
      </c>
      <c r="J646" s="80">
        <f t="shared" si="50"/>
        <v>0</v>
      </c>
      <c r="K646" s="67"/>
      <c r="L646" s="69"/>
      <c r="M646" s="8"/>
    </row>
    <row r="647" spans="1:13" s="3" customFormat="1" ht="12.2" customHeight="1" x14ac:dyDescent="0.15">
      <c r="A647" s="21"/>
      <c r="B647" s="22"/>
      <c r="C647" s="22"/>
      <c r="D647" s="22"/>
      <c r="E647" s="22"/>
      <c r="F647" s="86" t="s">
        <v>662</v>
      </c>
      <c r="G647" s="80">
        <f>J194</f>
        <v>310996.44</v>
      </c>
      <c r="H647" s="80">
        <f>L409</f>
        <v>310996.44</v>
      </c>
      <c r="I647" s="87" t="s">
        <v>477</v>
      </c>
      <c r="J647" s="80">
        <f t="shared" si="50"/>
        <v>0</v>
      </c>
      <c r="K647" s="67"/>
      <c r="L647" s="69"/>
      <c r="M647" s="8"/>
    </row>
    <row r="648" spans="1:13" s="3" customFormat="1" ht="12.2" customHeight="1" x14ac:dyDescent="0.15">
      <c r="A648" s="21"/>
      <c r="B648" s="22"/>
      <c r="C648" s="22"/>
      <c r="D648" s="22"/>
      <c r="E648" s="22"/>
      <c r="F648" s="86" t="s">
        <v>51</v>
      </c>
      <c r="G648" s="80">
        <f>K599</f>
        <v>767095.34</v>
      </c>
      <c r="H648" s="80">
        <f>L209+L227+L245</f>
        <v>767095.34000000008</v>
      </c>
      <c r="I648" s="87" t="s">
        <v>396</v>
      </c>
      <c r="J648" s="80">
        <f t="shared" si="50"/>
        <v>0</v>
      </c>
      <c r="K648" s="67"/>
      <c r="L648" s="69"/>
      <c r="M648" s="8"/>
    </row>
    <row r="649" spans="1:13" s="3" customFormat="1" ht="12.2" customHeight="1" x14ac:dyDescent="0.15">
      <c r="A649" s="21"/>
      <c r="B649" s="22"/>
      <c r="C649" s="22"/>
      <c r="D649" s="22"/>
      <c r="E649" s="22"/>
      <c r="F649" s="86" t="s">
        <v>52</v>
      </c>
      <c r="G649" s="80">
        <f>K606</f>
        <v>318406.69</v>
      </c>
      <c r="H649" s="80">
        <f>(J258+J339)-(J256+J337)</f>
        <v>318406.68999999994</v>
      </c>
      <c r="I649" s="87" t="s">
        <v>699</v>
      </c>
      <c r="J649" s="80">
        <f t="shared" si="50"/>
        <v>0</v>
      </c>
      <c r="K649" s="67"/>
      <c r="L649" s="69"/>
      <c r="M649" s="8"/>
    </row>
    <row r="650" spans="1:13" s="3" customFormat="1" ht="12.2" customHeight="1" x14ac:dyDescent="0.15">
      <c r="A650" s="21"/>
      <c r="B650" s="22"/>
      <c r="C650" s="22"/>
      <c r="D650" s="22"/>
      <c r="E650" s="22"/>
      <c r="F650" s="86" t="s">
        <v>387</v>
      </c>
      <c r="G650" s="80">
        <f>L209</f>
        <v>343439.58</v>
      </c>
      <c r="H650" s="80">
        <f>H599</f>
        <v>343439.58</v>
      </c>
      <c r="I650" s="87" t="s">
        <v>388</v>
      </c>
      <c r="J650" s="80">
        <f t="shared" si="50"/>
        <v>0</v>
      </c>
      <c r="K650" s="67"/>
      <c r="L650" s="69"/>
      <c r="M650" s="8"/>
    </row>
    <row r="651" spans="1:13" s="3" customFormat="1" ht="12.2" customHeight="1" x14ac:dyDescent="0.15">
      <c r="A651" s="21"/>
      <c r="B651" s="22"/>
      <c r="C651" s="22"/>
      <c r="D651" s="22"/>
      <c r="E651" s="22"/>
      <c r="F651" s="86" t="s">
        <v>392</v>
      </c>
      <c r="G651" s="80">
        <f>L227</f>
        <v>160794.48000000001</v>
      </c>
      <c r="H651" s="80">
        <f>I599</f>
        <v>160794.47999999998</v>
      </c>
      <c r="I651" s="87" t="s">
        <v>389</v>
      </c>
      <c r="J651" s="80">
        <f t="shared" si="50"/>
        <v>0</v>
      </c>
      <c r="K651" s="67"/>
      <c r="L651" s="69"/>
      <c r="M651" s="8"/>
    </row>
    <row r="652" spans="1:13" s="3" customFormat="1" ht="12.2" customHeight="1" x14ac:dyDescent="0.15">
      <c r="A652" s="21"/>
      <c r="B652" s="22"/>
      <c r="C652" s="22"/>
      <c r="D652" s="22"/>
      <c r="E652" s="22"/>
      <c r="F652" s="86" t="s">
        <v>393</v>
      </c>
      <c r="G652" s="80">
        <f>L245</f>
        <v>262861.28000000003</v>
      </c>
      <c r="H652" s="80">
        <f>J599</f>
        <v>262861.28000000003</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300000</v>
      </c>
      <c r="H656" s="80">
        <f>K267+K348</f>
        <v>300000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10116179.68</v>
      </c>
      <c r="G661" s="13">
        <f>(L230+L310+L360)</f>
        <v>4658303.1000000006</v>
      </c>
      <c r="H661" s="13">
        <f>(L248+L329+L361)</f>
        <v>5961387.4199999981</v>
      </c>
      <c r="I661" s="13">
        <f>SUM(F661:H661)</f>
        <v>20735870.199999999</v>
      </c>
      <c r="J661" s="13"/>
      <c r="K661" s="13"/>
      <c r="L661" s="13"/>
      <c r="M661" s="9"/>
    </row>
    <row r="662" spans="1:13" s="3" customFormat="1" ht="12.2" customHeight="1" x14ac:dyDescent="0.2">
      <c r="A662" s="1" t="s">
        <v>127</v>
      </c>
      <c r="F662" s="13">
        <f>(L359/IF(SUM(L359:L361)=0,1,SUM(L359:L361))*(SUM(G97:G110)))</f>
        <v>145809.69616823058</v>
      </c>
      <c r="G662" s="13">
        <f>(L360/IF(SUM(L359:L361)=0,1,SUM(L359:L361))*(SUM(G97:G110)))</f>
        <v>69643.539775488753</v>
      </c>
      <c r="H662" s="13">
        <f>(L361/IF(SUM(L359:L361)=0,1,SUM(L359:L361))*(SUM(G97:G110)))</f>
        <v>79526.064056280724</v>
      </c>
      <c r="I662" s="13">
        <f>SUM(F662:H662)</f>
        <v>294979.30000000005</v>
      </c>
      <c r="J662"/>
      <c r="K662" s="13"/>
      <c r="L662" s="13"/>
      <c r="M662" s="8"/>
    </row>
    <row r="663" spans="1:13" s="3" customFormat="1" ht="12.2" customHeight="1" x14ac:dyDescent="0.2">
      <c r="A663" s="1" t="s">
        <v>128</v>
      </c>
      <c r="F663" s="13">
        <f>(L209+L288)-(J209+J288)</f>
        <v>343439.58</v>
      </c>
      <c r="G663" s="13">
        <f>(L227+L307)-(J227+J307)</f>
        <v>160794.48000000001</v>
      </c>
      <c r="H663" s="13">
        <f>(L245+L326)-(J245+J326)</f>
        <v>262861.28000000003</v>
      </c>
      <c r="I663" s="13">
        <f>SUM(F663:H663)</f>
        <v>767095.34000000008</v>
      </c>
      <c r="J663"/>
      <c r="K663" s="13"/>
      <c r="L663" s="13"/>
      <c r="M663" s="9"/>
    </row>
    <row r="664" spans="1:13" s="3" customFormat="1" ht="12.2" customHeight="1" x14ac:dyDescent="0.15">
      <c r="A664" s="142" t="s">
        <v>129</v>
      </c>
      <c r="B664" s="124"/>
      <c r="C664" s="124"/>
      <c r="D664" s="124"/>
      <c r="E664" s="124"/>
      <c r="F664" s="143">
        <f>SUM(F576:F588)+SUM(H603:H605)+SUM(L612)</f>
        <v>244092.50999999998</v>
      </c>
      <c r="G664" s="143">
        <f>SUM(G576:G588)+SUM(I603:I605)+L613</f>
        <v>113380.09</v>
      </c>
      <c r="H664" s="143">
        <f>SUM(H576:H588)+SUM(J603:J605)+L614</f>
        <v>1021704.9299999999</v>
      </c>
      <c r="I664" s="13">
        <f>SUM(F664:H664)</f>
        <v>1379177.5299999998</v>
      </c>
      <c r="J664" s="13"/>
      <c r="K664" s="13"/>
      <c r="L664" s="13"/>
      <c r="M664" s="9"/>
    </row>
    <row r="665" spans="1:13" s="3" customFormat="1" ht="12.2" customHeight="1" x14ac:dyDescent="0.15">
      <c r="A665" s="1" t="s">
        <v>130</v>
      </c>
      <c r="F665" s="13">
        <f>F661-SUM(F662:F664)</f>
        <v>9382837.893831769</v>
      </c>
      <c r="G665" s="13">
        <f>G661-SUM(G662:G664)</f>
        <v>4314484.9902245123</v>
      </c>
      <c r="H665" s="13">
        <f>H661-SUM(H662:H664)</f>
        <v>4597295.1459437171</v>
      </c>
      <c r="I665" s="13">
        <f>I661-SUM(I662:I664)</f>
        <v>18294618.030000001</v>
      </c>
      <c r="J665" s="13"/>
      <c r="K665" s="13"/>
      <c r="L665" s="13"/>
      <c r="M665" s="8"/>
    </row>
    <row r="666" spans="1:13" s="3" customFormat="1" ht="12.2" customHeight="1" x14ac:dyDescent="0.2">
      <c r="A666" s="1" t="s">
        <v>131</v>
      </c>
      <c r="F666" s="183">
        <v>427.88</v>
      </c>
      <c r="G666" s="184">
        <v>185.36</v>
      </c>
      <c r="H666" s="184">
        <v>231.96</v>
      </c>
      <c r="I666" s="13">
        <f>SUM(F666:H666)</f>
        <v>845.2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21928.67</v>
      </c>
      <c r="G668" s="13">
        <f>ROUND(G665/G666,2)</f>
        <v>23276.25</v>
      </c>
      <c r="H668" s="13">
        <f>ROUND(H665/H666,2)</f>
        <v>19819.34</v>
      </c>
      <c r="I668" s="13">
        <f>ROUND(I665/I666,2)</f>
        <v>21645.31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-20.28</v>
      </c>
      <c r="I671" s="13">
        <f>SUM(F671:H671)</f>
        <v>-20.28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21928.67</v>
      </c>
      <c r="G673" s="13">
        <f>ROUND((G665+G670)/(G666+G671),2)</f>
        <v>23276.25</v>
      </c>
      <c r="H673" s="13">
        <f>ROUND((H665+H670)/(H666+H671),2)</f>
        <v>21718.14</v>
      </c>
      <c r="I673" s="13">
        <f>ROUND((I665+I670)/(I666+I671),2)</f>
        <v>22177.45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7" sqref="C17"/>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40267.9</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24855.9</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f>15112+300</f>
        <v>15412</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7" t="str">
        <f>'DOE25'!A2</f>
        <v>Epping</v>
      </c>
      <c r="C5" s="318"/>
      <c r="D5" s="318"/>
      <c r="E5" s="318"/>
      <c r="F5" s="318"/>
    </row>
    <row r="8" spans="1:9" ht="18" x14ac:dyDescent="0.25">
      <c r="A8" s="240" t="s">
        <v>1560</v>
      </c>
      <c r="F8" s="247" t="s">
        <v>1578</v>
      </c>
    </row>
    <row r="9" spans="1:9" ht="15" x14ac:dyDescent="0.2">
      <c r="A9" s="238" t="s">
        <v>1561</v>
      </c>
      <c r="B9" s="241">
        <f>'DOE25'!G97</f>
        <v>294979.30000000005</v>
      </c>
      <c r="F9" s="238" t="s">
        <v>1574</v>
      </c>
    </row>
    <row r="10" spans="1:9" ht="15" x14ac:dyDescent="0.2">
      <c r="A10" s="238" t="s">
        <v>1562</v>
      </c>
      <c r="B10" s="241">
        <f>'DOE25'!G112-'DOE25'!G97</f>
        <v>9752.289999999979</v>
      </c>
      <c r="F10" s="238" t="s">
        <v>1575</v>
      </c>
    </row>
    <row r="11" spans="1:9" ht="15" x14ac:dyDescent="0.2">
      <c r="A11" s="238" t="s">
        <v>1563</v>
      </c>
      <c r="B11" s="241">
        <f>'DOE25'!G140</f>
        <v>6543.87</v>
      </c>
      <c r="F11" s="238" t="s">
        <v>1576</v>
      </c>
    </row>
    <row r="12" spans="1:9" ht="15" x14ac:dyDescent="0.2">
      <c r="A12" s="238" t="s">
        <v>1564</v>
      </c>
      <c r="B12" s="241">
        <f>'DOE25'!G170</f>
        <v>174424.47</v>
      </c>
      <c r="F12" s="238" t="s">
        <v>1577</v>
      </c>
    </row>
    <row r="13" spans="1:9" ht="15" x14ac:dyDescent="0.2">
      <c r="A13" s="238" t="s">
        <v>1565</v>
      </c>
      <c r="B13" s="241">
        <f>'DOE25'!G193-'DOE25'!G180</f>
        <v>0</v>
      </c>
      <c r="F13" s="238" t="s">
        <v>1587</v>
      </c>
    </row>
    <row r="14" spans="1:9" ht="18" x14ac:dyDescent="0.25">
      <c r="A14" s="240" t="s">
        <v>732</v>
      </c>
      <c r="B14" s="242">
        <f>SUM(B9:B13)</f>
        <v>485699.93000000005</v>
      </c>
    </row>
    <row r="16" spans="1:9" ht="18" x14ac:dyDescent="0.25">
      <c r="A16" s="240" t="s">
        <v>786</v>
      </c>
      <c r="F16" s="247" t="s">
        <v>1579</v>
      </c>
    </row>
    <row r="17" spans="1:6" ht="15" x14ac:dyDescent="0.2">
      <c r="A17" s="238" t="s">
        <v>1566</v>
      </c>
      <c r="B17" s="241">
        <f>'DOE25'!L363-'DOE25'!L362</f>
        <v>476771.64</v>
      </c>
      <c r="F17" s="238" t="s">
        <v>1580</v>
      </c>
    </row>
    <row r="18" spans="1:6" ht="15" x14ac:dyDescent="0.2">
      <c r="A18" s="238" t="s">
        <v>1567</v>
      </c>
      <c r="B18" s="251"/>
      <c r="F18" s="247" t="s">
        <v>1604</v>
      </c>
    </row>
    <row r="19" spans="1:6" ht="18" x14ac:dyDescent="0.25">
      <c r="A19" s="240" t="s">
        <v>725</v>
      </c>
      <c r="B19" s="242">
        <f>SUM(B17:B18)</f>
        <v>476771.64</v>
      </c>
    </row>
    <row r="21" spans="1:6" ht="18.75" thickBot="1" x14ac:dyDescent="0.3">
      <c r="A21" s="240" t="s">
        <v>1568</v>
      </c>
    </row>
    <row r="22" spans="1:6" ht="18.75" thickTop="1" x14ac:dyDescent="0.25">
      <c r="A22" s="240" t="s">
        <v>1569</v>
      </c>
      <c r="B22" s="246">
        <f>B14-B19</f>
        <v>8928.2900000000373</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127684.07</v>
      </c>
      <c r="F31" s="238" t="s">
        <v>1584</v>
      </c>
    </row>
    <row r="33" spans="1:6" ht="15" x14ac:dyDescent="0.2">
      <c r="A33" s="238" t="s">
        <v>1798</v>
      </c>
      <c r="B33" s="241">
        <f>'DOE25'!G477</f>
        <v>136612.35999999999</v>
      </c>
      <c r="F33" s="238" t="s">
        <v>1585</v>
      </c>
    </row>
    <row r="36" spans="1:6" ht="15" x14ac:dyDescent="0.2">
      <c r="A36" s="238" t="s">
        <v>1571</v>
      </c>
      <c r="B36" s="252">
        <v>28804.16</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39" sqref="B39"/>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Epping</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4463334.29</v>
      </c>
      <c r="C9" s="167">
        <f>'DOE25'!G198+'DOE25'!G216+'DOE25'!G234+'DOE25'!G277+'DOE25'!G296+'DOE25'!G315</f>
        <v>4183552.9800000004</v>
      </c>
    </row>
    <row r="10" spans="1:3" x14ac:dyDescent="0.2">
      <c r="A10" t="s">
        <v>775</v>
      </c>
      <c r="B10" s="177">
        <f>4116133.22+122097.06</f>
        <v>4238230.28</v>
      </c>
      <c r="C10" s="177">
        <f>324224.61+3702347.63+139760.28</f>
        <v>4166332.5199999996</v>
      </c>
    </row>
    <row r="11" spans="1:3" x14ac:dyDescent="0.2">
      <c r="A11" t="s">
        <v>776</v>
      </c>
      <c r="B11" s="177">
        <v>112372.76</v>
      </c>
      <c r="C11" s="177">
        <f>8596.52</f>
        <v>8596.52</v>
      </c>
    </row>
    <row r="12" spans="1:3" x14ac:dyDescent="0.2">
      <c r="A12" t="s">
        <v>777</v>
      </c>
      <c r="B12" s="177">
        <f>112531.25+200</f>
        <v>112731.25</v>
      </c>
      <c r="C12" s="177">
        <f>8623.94</f>
        <v>8623.94</v>
      </c>
    </row>
    <row r="13" spans="1:3" x14ac:dyDescent="0.2">
      <c r="A13" t="str">
        <f>IF(B9=B13,IF(C9=C13,"Check Total OK","Check Total Error"),"Check Total Error")</f>
        <v>Check Total OK</v>
      </c>
      <c r="B13" s="169">
        <f>SUM(B10:B12)</f>
        <v>4463334.29</v>
      </c>
      <c r="C13" s="169">
        <f>SUM(C10:C12)</f>
        <v>4183552.9799999995</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1660656.63</v>
      </c>
      <c r="C18" s="167">
        <f>'DOE25'!G199+'DOE25'!G217+'DOE25'!G235+'DOE25'!G278+'DOE25'!G297+'DOE25'!G316</f>
        <v>437034.74000000005</v>
      </c>
    </row>
    <row r="19" spans="1:3" x14ac:dyDescent="0.2">
      <c r="A19" t="s">
        <v>775</v>
      </c>
      <c r="B19" s="177">
        <f>930162.69+109033.16</f>
        <v>1039195.85</v>
      </c>
      <c r="C19" s="177">
        <f>379498.49+9994.49</f>
        <v>389492.98</v>
      </c>
    </row>
    <row r="20" spans="1:3" x14ac:dyDescent="0.2">
      <c r="A20" t="s">
        <v>776</v>
      </c>
      <c r="B20" s="177">
        <v>510455.65</v>
      </c>
      <c r="C20" s="177">
        <v>39049.86</v>
      </c>
    </row>
    <row r="21" spans="1:3" x14ac:dyDescent="0.2">
      <c r="A21" t="s">
        <v>777</v>
      </c>
      <c r="B21" s="177">
        <v>111005.13</v>
      </c>
      <c r="C21" s="177">
        <v>8491.9</v>
      </c>
    </row>
    <row r="22" spans="1:3" x14ac:dyDescent="0.2">
      <c r="A22" t="str">
        <f>IF(B18=B22,IF(C18=C22,"Check Total OK","Check Total Error"),"Check Total Error")</f>
        <v>Check Total OK</v>
      </c>
      <c r="B22" s="169">
        <f>SUM(B19:B21)</f>
        <v>1660656.63</v>
      </c>
      <c r="C22" s="169">
        <f>SUM(C19:C21)</f>
        <v>437034.74</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312903.76</v>
      </c>
      <c r="C36" s="173">
        <f>'DOE25'!G201+'DOE25'!G219+'DOE25'!G237+'DOE25'!G280+'DOE25'!G299+'DOE25'!G318</f>
        <v>52494.97</v>
      </c>
    </row>
    <row r="37" spans="1:3" x14ac:dyDescent="0.2">
      <c r="A37" t="s">
        <v>775</v>
      </c>
      <c r="B37" s="177">
        <f>213073.75</f>
        <v>213073.75</v>
      </c>
      <c r="C37" s="177">
        <v>45221.47</v>
      </c>
    </row>
    <row r="38" spans="1:3" x14ac:dyDescent="0.2">
      <c r="A38" t="s">
        <v>776</v>
      </c>
      <c r="B38" s="177"/>
      <c r="C38" s="177"/>
    </row>
    <row r="39" spans="1:3" x14ac:dyDescent="0.2">
      <c r="A39" t="s">
        <v>777</v>
      </c>
      <c r="B39" s="177">
        <f>12612.49+85557.5+1660.02</f>
        <v>99830.010000000009</v>
      </c>
      <c r="C39" s="177">
        <v>7273.5</v>
      </c>
    </row>
    <row r="40" spans="1:3" x14ac:dyDescent="0.2">
      <c r="A40" t="str">
        <f>IF(B36=B40,IF(C36=C40,"Check Total OK","Check Total Error"),"Check Total Error")</f>
        <v>Check Total OK</v>
      </c>
      <c r="B40" s="169">
        <f>SUM(B37:B39)</f>
        <v>312903.76</v>
      </c>
      <c r="C40" s="169">
        <f>SUM(C37:C39)</f>
        <v>52494.97</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7" activePane="bottomLeft" state="frozen"/>
      <selection activeCell="F46" sqref="F46"/>
      <selection pane="bottomLeft" activeCell="E45" sqref="E4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Epping</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12522798.5</v>
      </c>
      <c r="D5" s="19">
        <f>SUM('DOE25'!L198:L201)+SUM('DOE25'!L216:L219)+SUM('DOE25'!L234:L237)-F5-G5-H5</f>
        <v>12448623.17</v>
      </c>
      <c r="E5" s="180"/>
      <c r="F5" s="181"/>
      <c r="G5" s="19">
        <f>SUM('DOE25'!J198:J201)+SUM('DOE25'!J216:J219)+SUM('DOE25'!J234:J237)</f>
        <v>57159.33</v>
      </c>
      <c r="H5" s="19">
        <f>SUM('DOE25'!K198:K201)+SUM('DOE25'!K216:K219)+SUM('DOE25'!K234:K237)</f>
        <v>17016</v>
      </c>
      <c r="I5" s="192"/>
    </row>
    <row r="6" spans="1:9" x14ac:dyDescent="0.2">
      <c r="A6" s="31">
        <v>2100</v>
      </c>
      <c r="B6" t="s">
        <v>796</v>
      </c>
      <c r="C6" s="206">
        <f t="shared" si="0"/>
        <v>1310269.9700000002</v>
      </c>
      <c r="D6" s="19">
        <f>'DOE25'!L203+'DOE25'!L221+'DOE25'!L239-F6-G6-H6</f>
        <v>1306386.1300000001</v>
      </c>
      <c r="E6" s="180"/>
      <c r="F6" s="181"/>
      <c r="G6" s="19">
        <f>'DOE25'!J203+'DOE25'!J221+'DOE25'!J239</f>
        <v>3659.84</v>
      </c>
      <c r="H6" s="19">
        <f>'DOE25'!K203+'DOE25'!K221+'DOE25'!K239</f>
        <v>224</v>
      </c>
      <c r="I6" s="192"/>
    </row>
    <row r="7" spans="1:9" x14ac:dyDescent="0.2">
      <c r="A7" s="31">
        <v>2200</v>
      </c>
      <c r="B7" t="s">
        <v>820</v>
      </c>
      <c r="C7" s="206">
        <f t="shared" si="0"/>
        <v>937055.7699999999</v>
      </c>
      <c r="D7" s="19">
        <f>'DOE25'!L204+'DOE25'!L222+'DOE25'!L240-F7-G7-H7</f>
        <v>785092.79999999993</v>
      </c>
      <c r="E7" s="180"/>
      <c r="F7" s="181"/>
      <c r="G7" s="19">
        <f>'DOE25'!J204+'DOE25'!J222+'DOE25'!J240</f>
        <v>150531.06</v>
      </c>
      <c r="H7" s="19">
        <f>'DOE25'!K204+'DOE25'!K222+'DOE25'!K240</f>
        <v>1431.9099999999999</v>
      </c>
      <c r="I7" s="192"/>
    </row>
    <row r="8" spans="1:9" x14ac:dyDescent="0.2">
      <c r="A8" s="31">
        <v>2300</v>
      </c>
      <c r="B8" t="s">
        <v>797</v>
      </c>
      <c r="C8" s="206">
        <f t="shared" si="0"/>
        <v>406858.57999999996</v>
      </c>
      <c r="D8" s="180"/>
      <c r="E8" s="19">
        <f>'DOE25'!L205+'DOE25'!L223+'DOE25'!L241-F8-G8-H8-D9-D11</f>
        <v>369689.45999999996</v>
      </c>
      <c r="F8" s="181"/>
      <c r="G8" s="19">
        <f>'DOE25'!J205+'DOE25'!J223+'DOE25'!J241</f>
        <v>827.98</v>
      </c>
      <c r="H8" s="19">
        <f>'DOE25'!K205+'DOE25'!K223+'DOE25'!K241</f>
        <v>36341.14</v>
      </c>
      <c r="I8" s="192"/>
    </row>
    <row r="9" spans="1:9" ht="14.25" x14ac:dyDescent="0.2">
      <c r="A9" s="31">
        <v>2310</v>
      </c>
      <c r="B9" s="71" t="s">
        <v>887</v>
      </c>
      <c r="C9" s="206">
        <f t="shared" si="0"/>
        <v>64848.17</v>
      </c>
      <c r="D9" s="181">
        <v>64848.17</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236880</v>
      </c>
      <c r="D11" s="181">
        <v>236880</v>
      </c>
      <c r="E11" s="180"/>
      <c r="F11" s="180"/>
      <c r="G11" s="180"/>
      <c r="H11" s="180"/>
      <c r="I11" s="192"/>
    </row>
    <row r="12" spans="1:9" x14ac:dyDescent="0.2">
      <c r="A12" s="31">
        <v>2400</v>
      </c>
      <c r="B12" t="s">
        <v>711</v>
      </c>
      <c r="C12" s="206">
        <f t="shared" si="0"/>
        <v>1146972.6499999999</v>
      </c>
      <c r="D12" s="19">
        <f>'DOE25'!L206+'DOE25'!L224+'DOE25'!L242-F12-G12-H12</f>
        <v>1118764.9899999998</v>
      </c>
      <c r="E12" s="180"/>
      <c r="F12" s="181"/>
      <c r="G12" s="19">
        <f>'DOE25'!J206+'DOE25'!J224+'DOE25'!J242</f>
        <v>2680.56</v>
      </c>
      <c r="H12" s="19">
        <f>'DOE25'!K206+'DOE25'!K224+'DOE25'!K242</f>
        <v>25527.1</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1905905.58</v>
      </c>
      <c r="D14" s="19">
        <f>'DOE25'!L208+'DOE25'!L226+'DOE25'!L244-F14-G14-H14</f>
        <v>1888700.37</v>
      </c>
      <c r="E14" s="180"/>
      <c r="F14" s="181"/>
      <c r="G14" s="19">
        <f>'DOE25'!J208+'DOE25'!J226+'DOE25'!J244</f>
        <v>17205.21</v>
      </c>
      <c r="H14" s="19">
        <f>'DOE25'!K208+'DOE25'!K226+'DOE25'!K244</f>
        <v>0</v>
      </c>
      <c r="I14" s="192"/>
    </row>
    <row r="15" spans="1:9" x14ac:dyDescent="0.2">
      <c r="A15" s="31">
        <v>2700</v>
      </c>
      <c r="B15" t="s">
        <v>799</v>
      </c>
      <c r="C15" s="206">
        <f t="shared" si="0"/>
        <v>767095.34000000008</v>
      </c>
      <c r="D15" s="19">
        <f>'DOE25'!L209+'DOE25'!L227+'DOE25'!L245-F15-G15-H15</f>
        <v>91679.170000000158</v>
      </c>
      <c r="E15" s="180"/>
      <c r="F15" s="181">
        <f>294930.5+380485.67</f>
        <v>675416.16999999993</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1122835.32</v>
      </c>
      <c r="D25" s="180"/>
      <c r="E25" s="180"/>
      <c r="F25" s="191"/>
      <c r="G25" s="180"/>
      <c r="H25" s="180"/>
      <c r="I25" s="190">
        <f>'DOE25'!L261+'DOE25'!L262+'DOE25'!L342+'DOE25'!L343</f>
        <v>1122835.32</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259105.89</v>
      </c>
      <c r="D29" s="212">
        <f>'DOE25'!L359+'DOE25'!L360+'DOE25'!L361-'DOE25'!I368-F29-G29-H29-F39</f>
        <v>241910.75</v>
      </c>
      <c r="E29" s="180"/>
      <c r="F29" s="180"/>
      <c r="G29" s="19">
        <f>'DOE25'!J359+'DOE25'!J360+'DOE25'!J361</f>
        <v>8672.01</v>
      </c>
      <c r="H29" s="19">
        <f>'DOE25'!K359+'DOE25'!K360+'DOE25'!K361</f>
        <v>8523.1299999999992</v>
      </c>
      <c r="I29" s="192"/>
    </row>
    <row r="30" spans="1:9" x14ac:dyDescent="0.2">
      <c r="A30" s="31"/>
      <c r="C30" s="207"/>
      <c r="D30" s="19"/>
      <c r="F30" s="201"/>
      <c r="G30" s="19"/>
      <c r="H30" s="19"/>
      <c r="I30" s="192"/>
    </row>
    <row r="31" spans="1:9" x14ac:dyDescent="0.2">
      <c r="A31" s="31" t="s">
        <v>817</v>
      </c>
      <c r="B31" t="s">
        <v>816</v>
      </c>
      <c r="C31" s="206">
        <f>SUM(D31:I31)</f>
        <v>960413.99999999988</v>
      </c>
      <c r="D31" s="19">
        <f>'DOE25'!L291+'DOE25'!L310+'DOE25'!L329+'DOE25'!L334+'DOE25'!L335+'DOE25'!L336-F31-G31-H31</f>
        <v>865921.28999999992</v>
      </c>
      <c r="E31" s="180"/>
      <c r="F31" s="181"/>
      <c r="G31" s="19">
        <f>'DOE25'!J291+'DOE25'!J310+'DOE25'!J329+'DOE25'!J334+'DOE25'!J335+'DOE25'!J336</f>
        <v>86342.709999999992</v>
      </c>
      <c r="H31" s="19">
        <f>'DOE25'!K291+'DOE25'!K310+'DOE25'!K329+'DOE25'!K334+'DOE25'!K335+'DOE25'!K336</f>
        <v>8150</v>
      </c>
      <c r="I31" s="192"/>
    </row>
    <row r="32" spans="1:9" ht="12" thickBot="1" x14ac:dyDescent="0.25">
      <c r="C32" s="207"/>
      <c r="G32" s="188"/>
      <c r="H32" s="188"/>
      <c r="I32" s="194"/>
    </row>
    <row r="33" spans="1:9" ht="12" thickTop="1" x14ac:dyDescent="0.2">
      <c r="B33" t="s">
        <v>809</v>
      </c>
      <c r="D33" s="182">
        <f t="shared" ref="D33:I33" si="1">SUM(D5:D31)</f>
        <v>19048806.840000004</v>
      </c>
      <c r="E33" s="182">
        <f t="shared" si="1"/>
        <v>369689.45999999996</v>
      </c>
      <c r="F33" s="182">
        <f t="shared" si="1"/>
        <v>675416.16999999993</v>
      </c>
      <c r="G33" s="182">
        <f t="shared" si="1"/>
        <v>327078.69999999995</v>
      </c>
      <c r="H33" s="182">
        <f t="shared" si="1"/>
        <v>97213.28</v>
      </c>
      <c r="I33" s="182">
        <f t="shared" si="1"/>
        <v>1122835.32</v>
      </c>
    </row>
    <row r="34" spans="1:9" ht="12" thickBot="1" x14ac:dyDescent="0.25"/>
    <row r="35" spans="1:9" ht="12" thickBot="1" x14ac:dyDescent="0.25">
      <c r="B35" s="188" t="s">
        <v>830</v>
      </c>
      <c r="D35" s="189">
        <f>E33</f>
        <v>369689.45999999996</v>
      </c>
      <c r="E35" s="185"/>
      <c r="F35" s="295" t="s">
        <v>1608</v>
      </c>
      <c r="G35" s="296"/>
      <c r="H35" s="296"/>
      <c r="I35" s="297"/>
    </row>
    <row r="36" spans="1:9" ht="12" thickTop="1" x14ac:dyDescent="0.2">
      <c r="B36" t="s">
        <v>810</v>
      </c>
      <c r="D36" s="19">
        <f>D33</f>
        <v>19048806.840000004</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c r="G42" s="305" t="str">
        <f>IF(F42=0,"&lt;&lt;&lt;&lt;&lt; YOU HAVE NOT ENTERED YOUR CAPITALIZATION THRESHOLD!!","")</f>
        <v>&lt;&lt;&lt;&lt;&lt; YOU HAVE NOT ENTERED YOUR CAPITALIZATION THRESHOLD!!</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4" zoomScale="80" zoomScaleNormal="80" workbookViewId="0">
      <selection activeCell="A41" sqref="A4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Epping</v>
      </c>
      <c r="B2">
        <f>'DOE25'!B2</f>
        <v>165</v>
      </c>
      <c r="J2" s="224" t="s">
        <v>1808</v>
      </c>
      <c r="K2" s="309">
        <f>SUM('DOE25'!L198:L201)+SUM('DOE25'!L216:L219)+SUM('DOE25'!L234:L237)+SUM('DOE25'!L277:L280)+SUM('DOE25'!L296:L299)+SUM('DOE25'!L315:L318)</f>
        <v>13217306.240000002</v>
      </c>
      <c r="L2" s="309">
        <f>'DOE25'!L203+'DOE25'!L221+'DOE25'!L239+'DOE25'!L282+'DOE25'!L301+'DOE25'!L320</f>
        <v>1310393.7200000004</v>
      </c>
      <c r="M2" s="309">
        <f>'DOE25'!L204+'DOE25'!L222+'DOE25'!L240+'DOE25'!L283+'DOE25'!L302+'DOE25'!L321</f>
        <v>1097887.99</v>
      </c>
      <c r="N2" s="309">
        <f>'DOE25'!L206+'DOE25'!L224+'DOE25'!L242+'DOE25'!L285+'DOE25'!L304+'DOE25'!L323</f>
        <v>1152728.71</v>
      </c>
      <c r="O2" s="309">
        <f>'Salaries-Benefits'!B10+'Salaries-Benefits'!B12+'Salaries-Benefits'!B19+'Salaries-Benefits'!B21+'Salaries-Benefits'!B28+'Salaries-Benefits'!B30+'Salaries-Benefits'!B37+'Salaries-Benefits'!B39</f>
        <v>5814066.2699999996</v>
      </c>
      <c r="P2" s="309">
        <f>'Salaries-Benefits'!B11+'Salaries-Benefits'!B20+'Salaries-Benefits'!B29+'Salaries-Benefits'!B38</f>
        <v>622828.41</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9880509.1499999985</v>
      </c>
      <c r="G4" s="229">
        <f>'DOE25'!L212+'DOE25'!L291</f>
        <v>9880509.1500000004</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342">
        <v>102703.84</v>
      </c>
      <c r="E5" s="342"/>
      <c r="F5" s="232">
        <f>D5+E5</f>
        <v>102703.84</v>
      </c>
      <c r="G5" s="223"/>
      <c r="H5" s="223"/>
      <c r="J5" s="223"/>
      <c r="K5" s="223"/>
      <c r="L5" s="223"/>
      <c r="M5" s="223"/>
      <c r="N5" s="223"/>
      <c r="O5" s="223"/>
      <c r="P5" s="223"/>
      <c r="Q5" s="223"/>
    </row>
    <row r="6" spans="1:21" x14ac:dyDescent="0.2">
      <c r="A6" t="str" cm="1">
        <f t="array" ref="A6">IFERROR(INDEX('School Tables'!$A$4:$G$325,'School Tables'!$J4,3),"")</f>
        <v>Epping Elementary School</v>
      </c>
      <c r="B6" s="230">
        <f>IFERROR(VLOOKUP(A6,'School Tables'!$C$3:$D$365,2,FALSE),"")</f>
        <v>26510</v>
      </c>
      <c r="C6" s="223" t="str">
        <f>IFERROR(INDEX('School Tables'!$B$3:$B$365,MATCH('School Level Expenditures'!B6,'School Tables'!$D$3:$D$365,0)),"")</f>
        <v>Epping</v>
      </c>
      <c r="D6" s="342">
        <v>9176162.4499999993</v>
      </c>
      <c r="E6" s="342">
        <v>601642.86</v>
      </c>
      <c r="F6" s="232">
        <f t="shared" ref="F6:F20" si="1">D6+E6</f>
        <v>9777805.3099999987</v>
      </c>
      <c r="G6" s="223"/>
      <c r="H6" s="223"/>
      <c r="J6" t="str">
        <f>A6</f>
        <v>Epping Elementary School</v>
      </c>
      <c r="K6" s="20">
        <f>4317120.41+1815504.7+21498.07</f>
        <v>6154123.1800000006</v>
      </c>
      <c r="L6" s="20">
        <v>598531.4</v>
      </c>
      <c r="M6" s="308">
        <v>473581.81</v>
      </c>
      <c r="N6" s="20">
        <v>429812.56</v>
      </c>
      <c r="O6" s="20">
        <f>2232005.28+450101.27</f>
        <v>2682106.5499999998</v>
      </c>
      <c r="P6" s="20">
        <v>330764.62</v>
      </c>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9278866.2899999991</v>
      </c>
      <c r="E21" s="262">
        <f>SUM(E5:E20)</f>
        <v>601642.86</v>
      </c>
      <c r="F21" s="217"/>
      <c r="G21" s="217"/>
      <c r="H21" s="217"/>
      <c r="K21" s="263">
        <f t="shared" ref="K21:Q21" si="3">SUM(K5:K20)</f>
        <v>6154123.1800000006</v>
      </c>
      <c r="L21" s="263">
        <f t="shared" si="3"/>
        <v>598531.4</v>
      </c>
      <c r="M21" s="263">
        <f t="shared" si="3"/>
        <v>473581.81</v>
      </c>
      <c r="N21" s="263">
        <f t="shared" si="3"/>
        <v>429812.56</v>
      </c>
      <c r="O21" s="263">
        <f t="shared" si="3"/>
        <v>2682106.5499999998</v>
      </c>
      <c r="P21" s="263">
        <f t="shared" si="3"/>
        <v>330764.62</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4545739.05</v>
      </c>
      <c r="G24" s="229">
        <f>'DOE25'!L230+'DOE25'!L310</f>
        <v>4545739.0500000007</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343">
        <v>43586.96</v>
      </c>
      <c r="E25" s="343"/>
      <c r="F25" s="232">
        <f>D25+E25</f>
        <v>43586.96</v>
      </c>
      <c r="G25" s="223"/>
      <c r="H25" s="223"/>
      <c r="J25" s="223"/>
      <c r="K25" s="223"/>
      <c r="L25" s="224"/>
      <c r="M25" s="223"/>
      <c r="N25" s="223"/>
      <c r="O25" s="223"/>
      <c r="P25" s="223"/>
      <c r="Q25" s="223"/>
    </row>
    <row r="26" spans="1:17" x14ac:dyDescent="0.2">
      <c r="A26" t="str" cm="1">
        <f t="array" ref="A26">IFERROR(INDEX('School Tables'!$L$4:$R$76,'School Tables'!$U4,3),"")</f>
        <v>Epping Middle School</v>
      </c>
      <c r="B26" s="230">
        <f>IFERROR(VLOOKUP(A26,'School Tables'!$N$4:$O$76,2,FALSE),"")</f>
        <v>26505</v>
      </c>
      <c r="C26" s="223" t="str">
        <f>IFERROR(INDEX('School Tables'!$M$4:$M$76,MATCH('School Level Expenditures'!A26,'School Tables'!$N$4:$N$76,0)),"")</f>
        <v>Epping</v>
      </c>
      <c r="D26" s="343">
        <v>4354726.8</v>
      </c>
      <c r="E26" s="343">
        <v>147425.29</v>
      </c>
      <c r="F26" s="232">
        <f t="shared" ref="F26:F32" si="4">D26+E26</f>
        <v>4502152.09</v>
      </c>
      <c r="G26" s="223"/>
      <c r="H26" s="223"/>
      <c r="J26" t="str">
        <f t="shared" ref="J26:J32" si="5">A26</f>
        <v>Epping Middle School</v>
      </c>
      <c r="K26" s="20">
        <f>2096764.38+569670.2+106881.18+347253.87</f>
        <v>3120569.6300000004</v>
      </c>
      <c r="L26" s="20">
        <f>292755.87</f>
        <v>292755.87</v>
      </c>
      <c r="M26" s="308">
        <v>219782.94</v>
      </c>
      <c r="N26" s="20">
        <f>373954.63+5756.06</f>
        <v>379710.69</v>
      </c>
      <c r="O26" s="20">
        <v>1291387.71</v>
      </c>
      <c r="P26" s="20">
        <v>125462.34</v>
      </c>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4398313.76</v>
      </c>
      <c r="E33" s="262">
        <f>SUM(E25:E32)</f>
        <v>147425.29</v>
      </c>
      <c r="F33" s="217"/>
      <c r="G33" s="217"/>
      <c r="H33" s="217"/>
      <c r="K33" s="263">
        <f t="shared" ref="K33:Q33" si="6">SUM(K25:K32)</f>
        <v>3120569.6300000004</v>
      </c>
      <c r="L33" s="263">
        <f t="shared" si="6"/>
        <v>292755.87</v>
      </c>
      <c r="M33" s="263">
        <f t="shared" si="6"/>
        <v>219782.94</v>
      </c>
      <c r="N33" s="263">
        <f t="shared" si="6"/>
        <v>379710.69</v>
      </c>
      <c r="O33" s="263">
        <f t="shared" si="6"/>
        <v>1291387.71</v>
      </c>
      <c r="P33" s="263">
        <f t="shared" si="6"/>
        <v>125462.34</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5832850.3599999994</v>
      </c>
      <c r="G36" s="229">
        <f>'DOE25'!L248+'DOE25'!L329</f>
        <v>5832850.3599999985</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344">
        <v>914480.04</v>
      </c>
      <c r="E37" s="344"/>
      <c r="F37" s="232">
        <f t="shared" ref="F37:F42" si="7">D37+E37</f>
        <v>914480.04</v>
      </c>
      <c r="G37" s="223"/>
      <c r="H37" s="223"/>
      <c r="J37" s="223"/>
      <c r="K37" s="223"/>
      <c r="L37" s="224"/>
      <c r="M37" s="223"/>
      <c r="N37" s="223"/>
      <c r="O37" s="223"/>
      <c r="P37" s="223"/>
      <c r="Q37" s="223"/>
    </row>
    <row r="38" spans="1:18" x14ac:dyDescent="0.2">
      <c r="A38" t="str" cm="1">
        <f t="array" ref="A38">IFERROR(INDEX('School Tables'!$W$4:$AC$101,'School Tables'!$AF4,3),"")</f>
        <v xml:space="preserve">Epping High School </v>
      </c>
      <c r="B38" s="230">
        <f>IFERROR(VLOOKUP(A38,'School Tables'!$Y$4:$Z$101,2,FALSE),"")</f>
        <v>20515</v>
      </c>
      <c r="C38" s="223" t="str">
        <f>IFERROR(INDEX('School Tables'!$X$4:$X$101,MATCH('School Level Expenditures'!A38,'School Tables'!$Y$4:$Y$101,0)),"")</f>
        <v>Epping</v>
      </c>
      <c r="D38" s="344">
        <v>4707024.47</v>
      </c>
      <c r="E38" s="344">
        <v>211345.85</v>
      </c>
      <c r="F38" s="232">
        <f t="shared" si="7"/>
        <v>4918370.3199999994</v>
      </c>
      <c r="G38" s="223"/>
      <c r="H38" s="223"/>
      <c r="J38" t="str">
        <f t="shared" ref="J38:J42" si="8">A38</f>
        <v xml:space="preserve">Epping High School </v>
      </c>
      <c r="K38" s="20">
        <f>2382403.71+752385.65+215560.25+245009.95+347253.87</f>
        <v>3942613.43</v>
      </c>
      <c r="L38" s="20">
        <f>418982.7+123.75</f>
        <v>419106.45</v>
      </c>
      <c r="M38" s="308">
        <f>243691.02+160832.22</f>
        <v>404523.24</v>
      </c>
      <c r="N38" s="20">
        <v>343205.46</v>
      </c>
      <c r="O38" s="20">
        <f>1390572.01+450000</f>
        <v>1840572.01</v>
      </c>
      <c r="P38" s="20">
        <f>125462.34+41139.11</f>
        <v>166601.45000000001</v>
      </c>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5621504.5099999998</v>
      </c>
      <c r="E43" s="263">
        <f>SUM(E37:E42)</f>
        <v>211345.85</v>
      </c>
      <c r="K43" s="263">
        <f t="shared" ref="K43:Q43" si="9">SUM(K37:K42)</f>
        <v>3942613.43</v>
      </c>
      <c r="L43" s="263">
        <f t="shared" si="9"/>
        <v>419106.45</v>
      </c>
      <c r="M43" s="263">
        <f t="shared" si="9"/>
        <v>404523.24</v>
      </c>
      <c r="N43" s="263">
        <f t="shared" si="9"/>
        <v>343205.46</v>
      </c>
      <c r="O43" s="263">
        <f t="shared" si="9"/>
        <v>1840572.01</v>
      </c>
      <c r="P43" s="263">
        <f t="shared" si="9"/>
        <v>166601.45000000001</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sqmC10aWjnWMJV0w3CSRYBkY+BAN43KpJJlpI/x2UQxwjqlGX9MoKrFfLY0DdUJqg217bkoHGy7m0z3NLnTsA==" saltValue="zYWRIsmq9KLqpPkqRAWoeg=="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zoomScaleNormal="80" workbookViewId="0">
      <selection activeCell="B29" sqref="B2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Epping</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2086049.5</v>
      </c>
      <c r="D8" s="73">
        <f>'DOE25'!G9</f>
        <v>390620.08</v>
      </c>
      <c r="E8" s="73">
        <f>'DOE25'!H9</f>
        <v>0</v>
      </c>
      <c r="F8" s="73">
        <f>'DOE25'!I9</f>
        <v>0</v>
      </c>
      <c r="G8" s="73">
        <f>'DOE25'!J9</f>
        <v>0</v>
      </c>
      <c r="H8" s="13">
        <f>SUM(C8:G8)</f>
        <v>2476669.58</v>
      </c>
      <c r="I8" s="90"/>
    </row>
    <row r="9" spans="1:9" x14ac:dyDescent="0.2">
      <c r="A9" s="1" t="s">
        <v>140</v>
      </c>
      <c r="B9" s="6">
        <v>110</v>
      </c>
      <c r="C9" s="73">
        <f>'DOE25'!F10</f>
        <v>0</v>
      </c>
      <c r="D9" s="73">
        <f>'DOE25'!G10</f>
        <v>0</v>
      </c>
      <c r="E9" s="73">
        <f>'DOE25'!H10</f>
        <v>0</v>
      </c>
      <c r="F9" s="73">
        <f>'DOE25'!I10</f>
        <v>0</v>
      </c>
      <c r="G9" s="73">
        <f>'DOE25'!J10</f>
        <v>310996.44</v>
      </c>
      <c r="H9" s="13">
        <f t="shared" ref="H9:H18" si="0">SUM(C9:G9)</f>
        <v>310996.44</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189896.54</v>
      </c>
      <c r="D12" s="73">
        <f>'DOE25'!G13</f>
        <v>28517.87</v>
      </c>
      <c r="E12" s="73">
        <f>'DOE25'!H13</f>
        <v>153960.85</v>
      </c>
      <c r="F12" s="73">
        <f>'DOE25'!I13</f>
        <v>0</v>
      </c>
      <c r="G12" s="73">
        <f>'DOE25'!J13</f>
        <v>0</v>
      </c>
      <c r="H12" s="13">
        <f t="shared" si="0"/>
        <v>372375.26</v>
      </c>
      <c r="I12" s="90"/>
    </row>
    <row r="13" spans="1:9" x14ac:dyDescent="0.2">
      <c r="A13" s="1" t="s">
        <v>144</v>
      </c>
      <c r="B13" s="6">
        <v>150</v>
      </c>
      <c r="C13" s="73">
        <f>'DOE25'!F14</f>
        <v>2305.87</v>
      </c>
      <c r="D13" s="73">
        <f>'DOE25'!G14</f>
        <v>-0.47</v>
      </c>
      <c r="E13" s="73">
        <f>'DOE25'!H14</f>
        <v>0</v>
      </c>
      <c r="F13" s="73">
        <f>'DOE25'!I14</f>
        <v>0</v>
      </c>
      <c r="G13" s="73">
        <f>'DOE25'!J14</f>
        <v>0</v>
      </c>
      <c r="H13" s="13">
        <f t="shared" si="0"/>
        <v>2305.4</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16209.79</v>
      </c>
      <c r="E15" s="73">
        <f>'DOE25'!H16</f>
        <v>0</v>
      </c>
      <c r="F15" s="73">
        <f>'DOE25'!I16</f>
        <v>0</v>
      </c>
      <c r="G15" s="23" t="s">
        <v>288</v>
      </c>
      <c r="H15" s="13">
        <f t="shared" si="0"/>
        <v>16209.79</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165002</v>
      </c>
      <c r="G17" s="73">
        <f>'DOE25'!J18</f>
        <v>0</v>
      </c>
      <c r="H17" s="13">
        <f t="shared" si="0"/>
        <v>165002</v>
      </c>
      <c r="I17" s="90"/>
    </row>
    <row r="18" spans="1:9" ht="12" thickTop="1" x14ac:dyDescent="0.2">
      <c r="A18" s="35" t="s">
        <v>149</v>
      </c>
      <c r="B18" s="36"/>
      <c r="C18" s="38">
        <f>SUM(C8:C17)</f>
        <v>2278251.91</v>
      </c>
      <c r="D18" s="38">
        <f>SUM(D8:D17)</f>
        <v>435347.27</v>
      </c>
      <c r="E18" s="38">
        <f>SUM(E8:E17)</f>
        <v>153960.85</v>
      </c>
      <c r="F18" s="38">
        <f>SUM(F8:F17)</f>
        <v>165002</v>
      </c>
      <c r="G18" s="38">
        <f>SUM(G8:G17)</f>
        <v>310996.44</v>
      </c>
      <c r="H18" s="38">
        <f t="shared" si="0"/>
        <v>3343558.47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-438461.33999999997</v>
      </c>
      <c r="D21" s="73">
        <f>'DOE25'!G22</f>
        <v>0</v>
      </c>
      <c r="E21" s="73">
        <f>'DOE25'!H22</f>
        <v>0</v>
      </c>
      <c r="F21" s="73">
        <f>'DOE25'!I22</f>
        <v>0</v>
      </c>
      <c r="G21" s="73">
        <f>'DOE25'!J22</f>
        <v>0</v>
      </c>
      <c r="H21" s="13">
        <f t="shared" ref="H21:H31" si="1">SUM(C21:G21)</f>
        <v>-438461.33999999997</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31172</v>
      </c>
      <c r="D23" s="73">
        <f>'DOE25'!G24</f>
        <v>29267.83</v>
      </c>
      <c r="E23" s="73">
        <f>'DOE25'!H24</f>
        <v>-32.9</v>
      </c>
      <c r="F23" s="73">
        <f>'DOE25'!I24</f>
        <v>0</v>
      </c>
      <c r="G23" s="73">
        <f>'DOE25'!J24</f>
        <v>0</v>
      </c>
      <c r="H23" s="13">
        <f t="shared" si="1"/>
        <v>60406.93</v>
      </c>
      <c r="I23" s="90"/>
    </row>
    <row r="24" spans="1:9" x14ac:dyDescent="0.2">
      <c r="A24" s="1" t="s">
        <v>153</v>
      </c>
      <c r="B24" s="6">
        <v>430</v>
      </c>
      <c r="C24" s="73">
        <f>'DOE25'!F25</f>
        <v>0</v>
      </c>
      <c r="D24" s="73">
        <f>'DOE25'!G25</f>
        <v>0.68</v>
      </c>
      <c r="E24" s="73">
        <f>'DOE25'!H25</f>
        <v>0</v>
      </c>
      <c r="F24" s="73">
        <f>'DOE25'!I25</f>
        <v>0</v>
      </c>
      <c r="G24" s="23" t="s">
        <v>288</v>
      </c>
      <c r="H24" s="13">
        <f t="shared" si="1"/>
        <v>0.68</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350212.94</v>
      </c>
      <c r="D27" s="73">
        <f>'DOE25'!G28</f>
        <v>0</v>
      </c>
      <c r="E27" s="73">
        <f>'DOE25'!H28</f>
        <v>0</v>
      </c>
      <c r="F27" s="73">
        <f>'DOE25'!I28</f>
        <v>0</v>
      </c>
      <c r="G27" s="23" t="s">
        <v>288</v>
      </c>
      <c r="H27" s="13">
        <f t="shared" si="1"/>
        <v>350212.94</v>
      </c>
      <c r="I27" s="90"/>
    </row>
    <row r="28" spans="1:9" x14ac:dyDescent="0.2">
      <c r="A28" s="1" t="s">
        <v>157</v>
      </c>
      <c r="B28" s="6">
        <v>470</v>
      </c>
      <c r="C28" s="73">
        <f>'DOE25'!F29</f>
        <v>1044665.31</v>
      </c>
      <c r="D28" s="73">
        <f>'DOE25'!G29</f>
        <v>0</v>
      </c>
      <c r="E28" s="73">
        <f>'DOE25'!H29</f>
        <v>0</v>
      </c>
      <c r="F28" s="73">
        <f>'DOE25'!I29</f>
        <v>0</v>
      </c>
      <c r="G28" s="23" t="s">
        <v>288</v>
      </c>
      <c r="H28" s="13">
        <f t="shared" si="1"/>
        <v>1044665.31</v>
      </c>
      <c r="I28" s="90"/>
    </row>
    <row r="29" spans="1:9" x14ac:dyDescent="0.2">
      <c r="A29" s="1" t="s">
        <v>158</v>
      </c>
      <c r="B29" s="6">
        <v>480</v>
      </c>
      <c r="C29" s="73">
        <f>'DOE25'!F30</f>
        <v>0</v>
      </c>
      <c r="D29" s="73">
        <f>'DOE25'!G30</f>
        <v>0</v>
      </c>
      <c r="E29" s="73">
        <f>'DOE25'!H30</f>
        <v>513</v>
      </c>
      <c r="F29" s="73">
        <f>'DOE25'!I30</f>
        <v>0</v>
      </c>
      <c r="G29" s="23" t="s">
        <v>288</v>
      </c>
      <c r="H29" s="13">
        <f t="shared" si="1"/>
        <v>513</v>
      </c>
      <c r="I29" s="90"/>
    </row>
    <row r="30" spans="1:9" ht="12" thickBot="1" x14ac:dyDescent="0.25">
      <c r="A30" s="1" t="s">
        <v>159</v>
      </c>
      <c r="B30" s="56">
        <v>490</v>
      </c>
      <c r="C30" s="73">
        <f>'DOE25'!F31</f>
        <v>37390.519999999997</v>
      </c>
      <c r="D30" s="73">
        <f>'DOE25'!G31</f>
        <v>269466.40000000002</v>
      </c>
      <c r="E30" s="73">
        <f>'DOE25'!H31</f>
        <v>153480.75</v>
      </c>
      <c r="F30" s="73">
        <f>'DOE25'!I31</f>
        <v>0</v>
      </c>
      <c r="G30" s="73">
        <f>'DOE25'!J31</f>
        <v>0</v>
      </c>
      <c r="H30" s="13">
        <f t="shared" si="1"/>
        <v>460337.67000000004</v>
      </c>
      <c r="I30" s="90"/>
    </row>
    <row r="31" spans="1:9" ht="12" thickTop="1" x14ac:dyDescent="0.2">
      <c r="A31" s="35" t="s">
        <v>160</v>
      </c>
      <c r="B31" s="2"/>
      <c r="C31" s="38">
        <f>SUM(C21:C30)</f>
        <v>1024979.4300000002</v>
      </c>
      <c r="D31" s="38">
        <f>SUM(D21:D30)</f>
        <v>298734.91000000003</v>
      </c>
      <c r="E31" s="38">
        <f>SUM(E21:E30)</f>
        <v>153960.85</v>
      </c>
      <c r="F31" s="38">
        <f>SUM(F21:F30)</f>
        <v>0</v>
      </c>
      <c r="G31" s="38">
        <f>SUM(G21:G30)</f>
        <v>0</v>
      </c>
      <c r="H31" s="38">
        <f t="shared" si="1"/>
        <v>1477675.1900000004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103593.07</v>
      </c>
      <c r="E39" s="23" t="s">
        <v>288</v>
      </c>
      <c r="F39" s="23" t="s">
        <v>288</v>
      </c>
      <c r="G39" s="23" t="s">
        <v>288</v>
      </c>
      <c r="H39" s="13">
        <f t="shared" si="2"/>
        <v>103593.07</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400000</v>
      </c>
      <c r="D43" s="73">
        <f>'DOE25'!G44</f>
        <v>0</v>
      </c>
      <c r="E43" s="73">
        <f>'DOE25'!H44</f>
        <v>0</v>
      </c>
      <c r="F43" s="73">
        <f>'DOE25'!I44</f>
        <v>0</v>
      </c>
      <c r="G43" s="23" t="s">
        <v>288</v>
      </c>
      <c r="H43" s="13">
        <f t="shared" si="2"/>
        <v>400000</v>
      </c>
      <c r="I43" s="90"/>
    </row>
    <row r="44" spans="1:9" x14ac:dyDescent="0.2">
      <c r="A44" s="1" t="s">
        <v>863</v>
      </c>
      <c r="B44" s="6">
        <v>753</v>
      </c>
      <c r="C44" s="73">
        <f>'DOE25'!F45</f>
        <v>189896.54</v>
      </c>
      <c r="D44" s="73">
        <f>'DOE25'!G45</f>
        <v>0</v>
      </c>
      <c r="E44" s="73">
        <f>'DOE25'!H45</f>
        <v>0</v>
      </c>
      <c r="F44" s="73">
        <f>'DOE25'!I45</f>
        <v>0</v>
      </c>
      <c r="G44" s="73">
        <f>'DOE25'!J45</f>
        <v>0</v>
      </c>
      <c r="H44" s="13">
        <f t="shared" si="2"/>
        <v>189896.54</v>
      </c>
      <c r="I44" s="90"/>
    </row>
    <row r="45" spans="1:9" x14ac:dyDescent="0.2">
      <c r="A45" s="1" t="s">
        <v>879</v>
      </c>
      <c r="B45" s="6"/>
      <c r="C45" s="73">
        <f>'DOE25'!F46</f>
        <v>370183</v>
      </c>
      <c r="D45" s="23" t="s">
        <v>288</v>
      </c>
      <c r="E45" s="23" t="s">
        <v>288</v>
      </c>
      <c r="F45" s="23" t="s">
        <v>288</v>
      </c>
      <c r="G45" s="23" t="s">
        <v>288</v>
      </c>
      <c r="H45" s="13">
        <f t="shared" si="2"/>
        <v>370183</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24091</v>
      </c>
      <c r="E47" s="73">
        <f>'DOE25'!H48</f>
        <v>0</v>
      </c>
      <c r="F47" s="73">
        <f>'DOE25'!I48</f>
        <v>165002</v>
      </c>
      <c r="G47" s="73">
        <f>'DOE25'!J48</f>
        <v>310996.44</v>
      </c>
      <c r="H47" s="13">
        <f t="shared" si="2"/>
        <v>500089.44</v>
      </c>
      <c r="I47" s="90"/>
    </row>
    <row r="48" spans="1:9" x14ac:dyDescent="0.2">
      <c r="A48" s="1" t="s">
        <v>881</v>
      </c>
      <c r="B48" s="6">
        <v>753</v>
      </c>
      <c r="C48" s="73">
        <f>'DOE25'!F49</f>
        <v>0</v>
      </c>
      <c r="D48" s="73">
        <f>'DOE25'!G49</f>
        <v>8928.2900000000009</v>
      </c>
      <c r="E48" s="73">
        <f>'DOE25'!H49</f>
        <v>0</v>
      </c>
      <c r="F48" s="73">
        <f>'DOE25'!I49</f>
        <v>0</v>
      </c>
      <c r="G48" s="73">
        <f>'DOE25'!J49</f>
        <v>0</v>
      </c>
      <c r="H48" s="13">
        <f t="shared" si="2"/>
        <v>8928.2900000000009</v>
      </c>
      <c r="I48" s="90"/>
    </row>
    <row r="49" spans="1:9" ht="12" thickBot="1" x14ac:dyDescent="0.25">
      <c r="A49" s="28" t="s">
        <v>882</v>
      </c>
      <c r="B49" s="56">
        <v>770</v>
      </c>
      <c r="C49" s="73">
        <f>'DOE25'!F50</f>
        <v>293192.94</v>
      </c>
      <c r="D49" s="23" t="s">
        <v>288</v>
      </c>
      <c r="E49" s="23" t="s">
        <v>288</v>
      </c>
      <c r="F49" s="23" t="s">
        <v>288</v>
      </c>
      <c r="G49" s="23" t="s">
        <v>288</v>
      </c>
      <c r="H49" s="13">
        <f t="shared" si="2"/>
        <v>293192.94</v>
      </c>
      <c r="I49" s="90"/>
    </row>
    <row r="50" spans="1:9" ht="12.75" thickTop="1" thickBot="1" x14ac:dyDescent="0.25">
      <c r="A50" s="35" t="s">
        <v>883</v>
      </c>
      <c r="B50" s="44"/>
      <c r="C50" s="38">
        <f>SUM(C34:C49)</f>
        <v>1253272.48</v>
      </c>
      <c r="D50" s="38">
        <f>SUM(D34:D49)</f>
        <v>136612.36000000002</v>
      </c>
      <c r="E50" s="38">
        <f>SUM(E34:E49)</f>
        <v>0</v>
      </c>
      <c r="F50" s="38">
        <f>SUM(F34:F49)</f>
        <v>165002</v>
      </c>
      <c r="G50" s="38">
        <f>SUM(G34:G49)</f>
        <v>310996.44</v>
      </c>
      <c r="H50" s="38">
        <f t="shared" si="2"/>
        <v>1865883.28</v>
      </c>
      <c r="I50" s="90"/>
    </row>
    <row r="51" spans="1:9" ht="12" thickTop="1" x14ac:dyDescent="0.2">
      <c r="A51" s="35" t="s">
        <v>884</v>
      </c>
      <c r="B51" s="2"/>
      <c r="C51" s="38">
        <f>C50+C31</f>
        <v>2278251.91</v>
      </c>
      <c r="D51" s="38">
        <f>D50+D31</f>
        <v>435347.27</v>
      </c>
      <c r="E51" s="38">
        <f>E50+E31</f>
        <v>153960.85</v>
      </c>
      <c r="F51" s="38">
        <f>F50+F31</f>
        <v>165002</v>
      </c>
      <c r="G51" s="38">
        <f>G50+G31</f>
        <v>310996.44</v>
      </c>
      <c r="H51" s="38">
        <f t="shared" si="2"/>
        <v>3343558.47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14807315</v>
      </c>
      <c r="D56" s="73">
        <f>'DOE25'!G60</f>
        <v>0</v>
      </c>
      <c r="E56" s="73">
        <f>'DOE25'!H60</f>
        <v>0</v>
      </c>
      <c r="F56" s="73">
        <f>'DOE25'!I60</f>
        <v>0</v>
      </c>
      <c r="G56" s="73">
        <f>'DOE25'!J60</f>
        <v>0</v>
      </c>
      <c r="H56" s="13">
        <f t="shared" ref="H56:H63" si="3">SUM(C56:G56)</f>
        <v>14807315</v>
      </c>
      <c r="I56"/>
    </row>
    <row r="57" spans="1:9" x14ac:dyDescent="0.2">
      <c r="A57" s="1" t="s">
        <v>164</v>
      </c>
      <c r="B57" s="6" t="s">
        <v>165</v>
      </c>
      <c r="C57" s="73">
        <f>'DOE25'!F79</f>
        <v>30493.61</v>
      </c>
      <c r="D57" s="23" t="s">
        <v>288</v>
      </c>
      <c r="E57" s="73">
        <f>'DOE25'!H79</f>
        <v>0</v>
      </c>
      <c r="F57" s="23" t="s">
        <v>288</v>
      </c>
      <c r="G57" s="23" t="s">
        <v>288</v>
      </c>
      <c r="H57" s="13">
        <f t="shared" si="3"/>
        <v>30493.61</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0</v>
      </c>
      <c r="D59" s="73">
        <f>'DOE25'!G96</f>
        <v>9752.2900000000009</v>
      </c>
      <c r="E59" s="73">
        <f>'DOE25'!H96</f>
        <v>0</v>
      </c>
      <c r="F59" s="73">
        <f>'DOE25'!I96</f>
        <v>0</v>
      </c>
      <c r="G59" s="73">
        <f>'DOE25'!J96</f>
        <v>10996.44</v>
      </c>
      <c r="H59" s="13">
        <f t="shared" si="3"/>
        <v>20748.730000000003</v>
      </c>
      <c r="I59"/>
    </row>
    <row r="60" spans="1:9" x14ac:dyDescent="0.2">
      <c r="A60" s="1" t="s">
        <v>170</v>
      </c>
      <c r="B60" s="22" t="s">
        <v>171</v>
      </c>
      <c r="C60" s="23" t="s">
        <v>288</v>
      </c>
      <c r="D60" s="73">
        <f>'DOE25'!G97</f>
        <v>294979.30000000005</v>
      </c>
      <c r="E60" s="23" t="s">
        <v>288</v>
      </c>
      <c r="F60" s="23" t="s">
        <v>288</v>
      </c>
      <c r="G60" s="23" t="s">
        <v>288</v>
      </c>
      <c r="H60" s="13">
        <f t="shared" si="3"/>
        <v>294979.30000000005</v>
      </c>
      <c r="I60"/>
    </row>
    <row r="61" spans="1:9" ht="12" thickBot="1" x14ac:dyDescent="0.25">
      <c r="A61" s="1" t="s">
        <v>172</v>
      </c>
      <c r="B61" s="22" t="s">
        <v>173</v>
      </c>
      <c r="C61" s="73">
        <f>SUM('DOE25'!F98:F110)</f>
        <v>150585.03</v>
      </c>
      <c r="D61" s="73">
        <f>SUM('DOE25'!G98:G110)</f>
        <v>0</v>
      </c>
      <c r="E61" s="73">
        <f>SUM('DOE25'!H98:H110)</f>
        <v>0</v>
      </c>
      <c r="F61" s="73">
        <f>SUM('DOE25'!I98:I110)</f>
        <v>0</v>
      </c>
      <c r="G61" s="73">
        <f>SUM('DOE25'!J98:J110)</f>
        <v>0</v>
      </c>
      <c r="H61" s="13">
        <f t="shared" si="3"/>
        <v>150585.03</v>
      </c>
      <c r="I61"/>
    </row>
    <row r="62" spans="1:9" ht="12.75" thickTop="1" thickBot="1" x14ac:dyDescent="0.25">
      <c r="A62" s="28" t="s">
        <v>174</v>
      </c>
      <c r="B62" s="6"/>
      <c r="C62" s="93">
        <f>SUM(C57:C61)</f>
        <v>181078.64</v>
      </c>
      <c r="D62" s="93">
        <f>SUM(D57:D61)</f>
        <v>304731.59000000003</v>
      </c>
      <c r="E62" s="93">
        <f>SUM(E57:E61)</f>
        <v>0</v>
      </c>
      <c r="F62" s="93">
        <f>SUM(F57:F61)</f>
        <v>0</v>
      </c>
      <c r="G62" s="93">
        <f>SUM(G57:G61)</f>
        <v>10996.44</v>
      </c>
      <c r="H62" s="13">
        <f t="shared" si="3"/>
        <v>496806.67000000004</v>
      </c>
      <c r="I62"/>
    </row>
    <row r="63" spans="1:9" ht="12" thickTop="1" x14ac:dyDescent="0.2">
      <c r="A63" s="28" t="s">
        <v>175</v>
      </c>
      <c r="B63" s="6"/>
      <c r="C63" s="21">
        <f>C56+C62</f>
        <v>14988393.640000001</v>
      </c>
      <c r="D63" s="21">
        <f>D56+D62</f>
        <v>304731.59000000003</v>
      </c>
      <c r="E63" s="21">
        <f>E56+E62</f>
        <v>0</v>
      </c>
      <c r="F63" s="21">
        <f>F56+F62</f>
        <v>0</v>
      </c>
      <c r="G63" s="21">
        <f>G56+G62</f>
        <v>10996.44</v>
      </c>
      <c r="H63" s="13">
        <f t="shared" si="3"/>
        <v>15304121.67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3484063.02</v>
      </c>
      <c r="D66" s="23" t="s">
        <v>288</v>
      </c>
      <c r="E66" s="23" t="s">
        <v>288</v>
      </c>
      <c r="F66" s="23" t="s">
        <v>288</v>
      </c>
      <c r="G66" s="23" t="s">
        <v>288</v>
      </c>
      <c r="H66" s="13">
        <f t="shared" ref="H66:H81" si="4">SUM(C66:G66)</f>
        <v>3484063.02</v>
      </c>
      <c r="I66"/>
    </row>
    <row r="67" spans="1:9" x14ac:dyDescent="0.2">
      <c r="A67" s="1" t="s">
        <v>770</v>
      </c>
      <c r="B67" s="6">
        <v>3112</v>
      </c>
      <c r="C67" s="73">
        <f>'DOE25'!F118</f>
        <v>1236203</v>
      </c>
      <c r="D67" s="23"/>
      <c r="E67" s="23"/>
      <c r="F67" s="23"/>
      <c r="G67" s="23"/>
      <c r="H67" s="13">
        <f t="shared" si="4"/>
        <v>1236203</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118229.63</v>
      </c>
      <c r="D69" s="73">
        <f>'DOE25'!G120</f>
        <v>0</v>
      </c>
      <c r="E69" s="73">
        <f>'DOE25'!H120</f>
        <v>0</v>
      </c>
      <c r="F69" s="73">
        <f>'DOE25'!I120</f>
        <v>0</v>
      </c>
      <c r="G69" s="73">
        <f>'DOE25'!J120</f>
        <v>0</v>
      </c>
      <c r="H69" s="13">
        <f t="shared" si="4"/>
        <v>118229.63</v>
      </c>
      <c r="I69"/>
    </row>
    <row r="70" spans="1:9" ht="12" thickTop="1" x14ac:dyDescent="0.2">
      <c r="A70" s="28" t="s">
        <v>252</v>
      </c>
      <c r="B70" s="2"/>
      <c r="C70" s="97">
        <f>SUM(C66:C69)</f>
        <v>4838495.6499999994</v>
      </c>
      <c r="D70" s="97">
        <f>D69</f>
        <v>0</v>
      </c>
      <c r="E70" s="97">
        <f>E69</f>
        <v>0</v>
      </c>
      <c r="F70" s="97">
        <f>F69</f>
        <v>0</v>
      </c>
      <c r="G70" s="97">
        <f>G69</f>
        <v>0</v>
      </c>
      <c r="H70" s="13">
        <f t="shared" si="4"/>
        <v>4838495.6499999994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327874.61</v>
      </c>
      <c r="D72" s="23" t="s">
        <v>288</v>
      </c>
      <c r="E72" s="23" t="s">
        <v>288</v>
      </c>
      <c r="F72" s="73">
        <f>'DOE25'!I123</f>
        <v>0</v>
      </c>
      <c r="G72" s="23" t="s">
        <v>288</v>
      </c>
      <c r="H72" s="13">
        <f t="shared" si="4"/>
        <v>327874.61</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149015.56</v>
      </c>
      <c r="D75" s="23" t="s">
        <v>288</v>
      </c>
      <c r="E75" s="23" t="s">
        <v>288</v>
      </c>
      <c r="F75" s="23" t="s">
        <v>288</v>
      </c>
      <c r="G75" s="23" t="s">
        <v>288</v>
      </c>
      <c r="H75" s="13">
        <f t="shared" si="4"/>
        <v>149015.56</v>
      </c>
      <c r="I75"/>
    </row>
    <row r="76" spans="1:9" x14ac:dyDescent="0.2">
      <c r="A76" s="1" t="s">
        <v>257</v>
      </c>
      <c r="B76" s="6" t="s">
        <v>179</v>
      </c>
      <c r="C76" s="73">
        <f>SUM('DOE25'!F127:F130)</f>
        <v>11740.8</v>
      </c>
      <c r="D76" s="23" t="s">
        <v>288</v>
      </c>
      <c r="E76" s="73">
        <f>SUM('DOE25'!H127:H130)</f>
        <v>0</v>
      </c>
      <c r="F76" s="73">
        <f>SUM('DOE25'!I127:I130)</f>
        <v>0</v>
      </c>
      <c r="G76" s="23" t="s">
        <v>288</v>
      </c>
      <c r="H76" s="13">
        <f t="shared" si="4"/>
        <v>11740.8</v>
      </c>
      <c r="I76"/>
    </row>
    <row r="77" spans="1:9" ht="12" thickBot="1" x14ac:dyDescent="0.25">
      <c r="A77" s="1" t="s">
        <v>258</v>
      </c>
      <c r="B77" s="6" t="s">
        <v>180</v>
      </c>
      <c r="C77" s="73">
        <f>SUM('DOE25'!F131:F135)</f>
        <v>0</v>
      </c>
      <c r="D77" s="73">
        <f>SUM('DOE25'!G131:G135)</f>
        <v>6543.87</v>
      </c>
      <c r="E77" s="73">
        <f>SUM('DOE25'!H131:H135)</f>
        <v>0</v>
      </c>
      <c r="F77" s="73">
        <f>SUM('DOE25'!I131:I135)</f>
        <v>0</v>
      </c>
      <c r="G77" s="73">
        <f>SUM('DOE25'!J131:J135)</f>
        <v>0</v>
      </c>
      <c r="H77" s="13">
        <f t="shared" si="4"/>
        <v>6543.87</v>
      </c>
      <c r="I77"/>
    </row>
    <row r="78" spans="1:9" ht="12.75" thickTop="1" thickBot="1" x14ac:dyDescent="0.25">
      <c r="A78" s="28" t="s">
        <v>259</v>
      </c>
      <c r="B78" s="6"/>
      <c r="C78" s="93">
        <f>SUM(C72:C77)</f>
        <v>488630.97</v>
      </c>
      <c r="D78" s="93">
        <f>SUM(D72:D77)</f>
        <v>6543.87</v>
      </c>
      <c r="E78" s="93">
        <f>SUM(E72:E77)</f>
        <v>0</v>
      </c>
      <c r="F78" s="93">
        <f>SUM(F72:F77)</f>
        <v>0</v>
      </c>
      <c r="G78" s="93">
        <f>SUM(G72:G77)</f>
        <v>0</v>
      </c>
      <c r="H78" s="13">
        <f t="shared" si="4"/>
        <v>495174.83999999997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5327126.6199999992</v>
      </c>
      <c r="D81" s="93">
        <f>SUM(D79:D80)+D78+D70</f>
        <v>6543.87</v>
      </c>
      <c r="E81" s="93">
        <f>SUM(E79:E80)+E78+E70</f>
        <v>0</v>
      </c>
      <c r="F81" s="93">
        <f>SUM(F79:F80)+F78+F70</f>
        <v>0</v>
      </c>
      <c r="G81" s="93">
        <f>SUM(G79:G80)+G78+G70</f>
        <v>0</v>
      </c>
      <c r="H81" s="93">
        <f t="shared" si="4"/>
        <v>5333670.4899999993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22126.400000000001</v>
      </c>
      <c r="D88" s="253">
        <f>SUM('DOE25'!G153:G162)</f>
        <v>174424.47</v>
      </c>
      <c r="E88" s="253">
        <f>SUM('DOE25'!H153:H162)</f>
        <v>960414</v>
      </c>
      <c r="F88" s="253">
        <f>SUM('DOE25'!I153:I162)</f>
        <v>0</v>
      </c>
      <c r="G88" s="23" t="s">
        <v>288</v>
      </c>
      <c r="H88" s="13">
        <f t="shared" si="5"/>
        <v>1156964.8700000001</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22126.400000000001</v>
      </c>
      <c r="D91" s="94">
        <f>SUM(D85:D90)</f>
        <v>174424.47</v>
      </c>
      <c r="E91" s="94">
        <f>SUM(E85:E90)</f>
        <v>960414</v>
      </c>
      <c r="F91" s="94">
        <f>SUM(F85:F90)</f>
        <v>0</v>
      </c>
      <c r="G91" s="23" t="s">
        <v>288</v>
      </c>
      <c r="H91" s="13">
        <f t="shared" si="5"/>
        <v>1156964.8700000001</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300000</v>
      </c>
      <c r="H96" s="13">
        <f t="shared" si="5"/>
        <v>300000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573769.76</v>
      </c>
      <c r="D99" s="73">
        <f>'DOE25'!G186</f>
        <v>0</v>
      </c>
      <c r="E99" s="73">
        <f>'DOE25'!H186</f>
        <v>0</v>
      </c>
      <c r="F99" s="73">
        <f>'DOE25'!I186</f>
        <v>0</v>
      </c>
      <c r="G99" s="23" t="s">
        <v>288</v>
      </c>
      <c r="H99" s="13">
        <f t="shared" si="5"/>
        <v>573769.76</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165002</v>
      </c>
      <c r="G102" s="23" t="s">
        <v>288</v>
      </c>
      <c r="H102" s="13">
        <f t="shared" si="5"/>
        <v>165002</v>
      </c>
    </row>
    <row r="103" spans="1:8" ht="12.75" thickTop="1" thickBot="1" x14ac:dyDescent="0.25">
      <c r="A103" s="32" t="s">
        <v>760</v>
      </c>
      <c r="C103" s="68">
        <f>SUM(C93:C102)</f>
        <v>573769.76</v>
      </c>
      <c r="D103" s="68">
        <f>SUM(D93:D102)</f>
        <v>0</v>
      </c>
      <c r="E103" s="68">
        <f>SUM(E93:E102)</f>
        <v>0</v>
      </c>
      <c r="F103" s="68">
        <f>SUM(F93:F102)</f>
        <v>165002</v>
      </c>
      <c r="G103" s="68">
        <f>SUM(G93:G102)</f>
        <v>300000</v>
      </c>
      <c r="H103" s="68">
        <f t="shared" si="5"/>
        <v>1038771.76</v>
      </c>
    </row>
    <row r="104" spans="1:8" ht="12.75" thickTop="1" thickBot="1" x14ac:dyDescent="0.25">
      <c r="A104" s="32" t="s">
        <v>761</v>
      </c>
      <c r="C104" s="68">
        <f>C63+C81+C91+C103</f>
        <v>20911416.419999998</v>
      </c>
      <c r="D104" s="68">
        <f>D63+D81+D91+D103</f>
        <v>485699.93000000005</v>
      </c>
      <c r="E104" s="68">
        <f>E63+E81+E91+E103</f>
        <v>960414</v>
      </c>
      <c r="F104" s="68">
        <f>F63+F81+F91+F103</f>
        <v>165002</v>
      </c>
      <c r="G104" s="68">
        <f>G63+G81+G103</f>
        <v>310996.44</v>
      </c>
      <c r="H104" s="68">
        <f t="shared" si="5"/>
        <v>22833528.789999999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8796288.5</v>
      </c>
      <c r="D109" s="23" t="s">
        <v>288</v>
      </c>
      <c r="E109" s="73">
        <f>('DOE25'!L277)+('DOE25'!L296)+('DOE25'!L315)</f>
        <v>169630.34999999998</v>
      </c>
      <c r="F109" s="23" t="s">
        <v>288</v>
      </c>
      <c r="G109" s="23" t="s">
        <v>288</v>
      </c>
      <c r="H109" s="13">
        <f t="shared" ref="H109:H115" si="6">SUM(C109:G109)</f>
        <v>8965918.8499999996</v>
      </c>
    </row>
    <row r="110" spans="1:8" x14ac:dyDescent="0.2">
      <c r="A110" t="s">
        <v>198</v>
      </c>
      <c r="B110" s="31" t="s">
        <v>199</v>
      </c>
      <c r="C110" s="73">
        <f>('DOE25'!L199)+('DOE25'!L217)+('DOE25'!L235)</f>
        <v>3137560.55</v>
      </c>
      <c r="D110" s="23" t="s">
        <v>288</v>
      </c>
      <c r="E110" s="73">
        <f>('DOE25'!L278)+('DOE25'!L297)+('DOE25'!L316)</f>
        <v>428207.54000000004</v>
      </c>
      <c r="F110" s="23" t="s">
        <v>288</v>
      </c>
      <c r="G110" s="23" t="s">
        <v>288</v>
      </c>
      <c r="H110" s="13">
        <f t="shared" si="6"/>
        <v>3565768.09</v>
      </c>
    </row>
    <row r="111" spans="1:8" x14ac:dyDescent="0.2">
      <c r="A111" t="s">
        <v>200</v>
      </c>
      <c r="B111" s="31" t="s">
        <v>165</v>
      </c>
      <c r="C111" s="73">
        <f>('DOE25'!L200)+('DOE25'!L218)+('DOE25'!L236)</f>
        <v>215560.25</v>
      </c>
      <c r="D111" s="23" t="s">
        <v>288</v>
      </c>
      <c r="E111" s="73">
        <f>('DOE25'!L279)+('DOE25'!L298)+('DOE25'!L317)</f>
        <v>0</v>
      </c>
      <c r="F111" s="23" t="s">
        <v>288</v>
      </c>
      <c r="G111" s="23" t="s">
        <v>288</v>
      </c>
      <c r="H111" s="13">
        <f t="shared" si="6"/>
        <v>215560.25</v>
      </c>
    </row>
    <row r="112" spans="1:8" x14ac:dyDescent="0.2">
      <c r="A112" t="s">
        <v>201</v>
      </c>
      <c r="B112" s="31" t="s">
        <v>167</v>
      </c>
      <c r="C112" s="73">
        <f>('DOE25'!L201)+('DOE25'!L219)+('DOE25'!L237)</f>
        <v>373389.2</v>
      </c>
      <c r="D112" s="23" t="s">
        <v>288</v>
      </c>
      <c r="E112" s="73">
        <f>+('DOE25'!L280)+('DOE25'!L299)+('DOE25'!L318)</f>
        <v>96669.85</v>
      </c>
      <c r="F112" s="23" t="s">
        <v>288</v>
      </c>
      <c r="G112" s="23" t="s">
        <v>288</v>
      </c>
      <c r="H112" s="13">
        <f t="shared" si="6"/>
        <v>470059.05000000005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12522798.5</v>
      </c>
      <c r="D115" s="68">
        <f>SUM(D109:D114)</f>
        <v>0</v>
      </c>
      <c r="E115" s="68">
        <f>SUM(E109:E114)</f>
        <v>694507.74</v>
      </c>
      <c r="F115" s="68">
        <f>SUM(F109:F114)</f>
        <v>0</v>
      </c>
      <c r="G115" s="68">
        <f>SUM(G109:G114)</f>
        <v>0</v>
      </c>
      <c r="H115" s="68">
        <f t="shared" si="6"/>
        <v>13217306.24</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1310269.9700000002</v>
      </c>
      <c r="D118" s="23" t="s">
        <v>288</v>
      </c>
      <c r="E118" s="73">
        <f>+('DOE25'!L282)+('DOE25'!L301)+('DOE25'!L320)</f>
        <v>123.75</v>
      </c>
      <c r="F118" s="23" t="s">
        <v>288</v>
      </c>
      <c r="G118" s="23" t="s">
        <v>288</v>
      </c>
      <c r="H118" s="13">
        <f t="shared" ref="H118:H145" si="7">SUM(C118:G118)</f>
        <v>1310393.7200000002</v>
      </c>
    </row>
    <row r="119" spans="1:8" x14ac:dyDescent="0.2">
      <c r="A119" t="s">
        <v>208</v>
      </c>
      <c r="B119" s="31" t="s">
        <v>209</v>
      </c>
      <c r="C119" s="73">
        <f>('DOE25'!L204)+('DOE25'!L222)+('DOE25'!L240)</f>
        <v>937055.77</v>
      </c>
      <c r="D119" s="23" t="s">
        <v>288</v>
      </c>
      <c r="E119" s="73">
        <f>+('DOE25'!L283)+('DOE25'!L302)+('DOE25'!L321)</f>
        <v>160832.22</v>
      </c>
      <c r="F119" s="23" t="s">
        <v>288</v>
      </c>
      <c r="G119" s="23" t="s">
        <v>288</v>
      </c>
      <c r="H119" s="13">
        <f t="shared" si="7"/>
        <v>1097887.99</v>
      </c>
    </row>
    <row r="120" spans="1:8" x14ac:dyDescent="0.2">
      <c r="A120" t="s">
        <v>210</v>
      </c>
      <c r="B120" s="31" t="s">
        <v>211</v>
      </c>
      <c r="C120" s="73">
        <f>('DOE25'!L205)+('DOE25'!L223)+('DOE25'!L241)</f>
        <v>708586.75</v>
      </c>
      <c r="D120" s="23" t="s">
        <v>288</v>
      </c>
      <c r="E120" s="73">
        <f>+('DOE25'!L284)+('DOE25'!L303)+('DOE25'!L322)</f>
        <v>23263.940000000002</v>
      </c>
      <c r="F120" s="23" t="s">
        <v>288</v>
      </c>
      <c r="G120" s="23" t="s">
        <v>288</v>
      </c>
      <c r="H120" s="13">
        <f t="shared" si="7"/>
        <v>731850.69</v>
      </c>
    </row>
    <row r="121" spans="1:8" x14ac:dyDescent="0.2">
      <c r="A121" t="s">
        <v>212</v>
      </c>
      <c r="B121" s="31" t="s">
        <v>213</v>
      </c>
      <c r="C121" s="73">
        <f>('DOE25'!L206)+('DOE25'!L224)+('DOE25'!L242)</f>
        <v>1146972.6499999999</v>
      </c>
      <c r="D121" s="23" t="s">
        <v>288</v>
      </c>
      <c r="E121" s="73">
        <f>+('DOE25'!L285)+('DOE25'!L304)+('DOE25'!L323)</f>
        <v>5756.0599999999995</v>
      </c>
      <c r="F121" s="23" t="s">
        <v>288</v>
      </c>
      <c r="G121" s="23" t="s">
        <v>288</v>
      </c>
      <c r="H121" s="13">
        <f t="shared" si="7"/>
        <v>1152728.71</v>
      </c>
    </row>
    <row r="122" spans="1:8" x14ac:dyDescent="0.2">
      <c r="A122" t="s">
        <v>214</v>
      </c>
      <c r="B122" s="31" t="s">
        <v>215</v>
      </c>
      <c r="C122" s="73">
        <f>('DOE25'!L207)+('DOE25'!L225)+('DOE25'!L243)</f>
        <v>0</v>
      </c>
      <c r="D122" s="23" t="s">
        <v>288</v>
      </c>
      <c r="E122" s="73">
        <f>+('DOE25'!L286)+('DOE25'!L305)+('DOE25'!L324)</f>
        <v>10000</v>
      </c>
      <c r="F122" s="23" t="s">
        <v>288</v>
      </c>
      <c r="G122" s="23" t="s">
        <v>288</v>
      </c>
      <c r="H122" s="13">
        <f t="shared" si="7"/>
        <v>10000</v>
      </c>
    </row>
    <row r="123" spans="1:8" x14ac:dyDescent="0.2">
      <c r="A123" t="s">
        <v>216</v>
      </c>
      <c r="B123" s="31" t="s">
        <v>217</v>
      </c>
      <c r="C123" s="73">
        <f>('DOE25'!L208)+('DOE25'!L226)+('DOE25'!L244)</f>
        <v>1905905.58</v>
      </c>
      <c r="D123" s="23" t="s">
        <v>288</v>
      </c>
      <c r="E123" s="73">
        <f>+('DOE25'!L287)+('DOE25'!L306)+('DOE25'!L325)</f>
        <v>42480.29</v>
      </c>
      <c r="F123" s="23" t="s">
        <v>288</v>
      </c>
      <c r="G123" s="23" t="s">
        <v>288</v>
      </c>
      <c r="H123" s="13">
        <f t="shared" si="7"/>
        <v>1948385.87</v>
      </c>
    </row>
    <row r="124" spans="1:8" x14ac:dyDescent="0.2">
      <c r="A124" t="s">
        <v>218</v>
      </c>
      <c r="B124" s="31" t="s">
        <v>219</v>
      </c>
      <c r="C124" s="73">
        <f>('DOE25'!L209)+('DOE25'!L227)+('DOE25'!L245+'DOE25'!L255)</f>
        <v>767095.34000000008</v>
      </c>
      <c r="D124" s="23" t="s">
        <v>288</v>
      </c>
      <c r="E124" s="73">
        <f>+('DOE25'!L288)+('DOE25'!L307)+('DOE25'!L326)</f>
        <v>0</v>
      </c>
      <c r="F124" s="23" t="s">
        <v>288</v>
      </c>
      <c r="G124" s="23" t="s">
        <v>288</v>
      </c>
      <c r="H124" s="13">
        <f t="shared" si="7"/>
        <v>767095.34000000008</v>
      </c>
    </row>
    <row r="125" spans="1:8" x14ac:dyDescent="0.2">
      <c r="A125" t="s">
        <v>220</v>
      </c>
      <c r="B125" s="31" t="s">
        <v>221</v>
      </c>
      <c r="C125" s="73">
        <f>('DOE25'!L210)+('DOE25'!L228)+('DOE25'!L246)</f>
        <v>0</v>
      </c>
      <c r="D125" s="23" t="s">
        <v>288</v>
      </c>
      <c r="E125" s="73">
        <f>+('DOE25'!L289)+('DOE25'!L308)+('DOE25'!L327)</f>
        <v>23450</v>
      </c>
      <c r="F125" s="23" t="s">
        <v>288</v>
      </c>
      <c r="G125" s="23" t="s">
        <v>288</v>
      </c>
      <c r="H125" s="13">
        <f t="shared" si="7"/>
        <v>23450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476771.64</v>
      </c>
      <c r="E127" s="23" t="s">
        <v>288</v>
      </c>
      <c r="F127" s="23" t="s">
        <v>288</v>
      </c>
      <c r="G127" s="23" t="s">
        <v>288</v>
      </c>
      <c r="H127" s="13">
        <f t="shared" si="7"/>
        <v>476771.64</v>
      </c>
    </row>
    <row r="128" spans="1:8" ht="12.75" thickTop="1" thickBot="1" x14ac:dyDescent="0.25">
      <c r="A128" s="32" t="s">
        <v>226</v>
      </c>
      <c r="C128" s="68">
        <f>SUM(C118:C127)</f>
        <v>6775886.0600000005</v>
      </c>
      <c r="D128" s="68">
        <f>SUM(D118:D127)</f>
        <v>476771.64</v>
      </c>
      <c r="E128" s="68">
        <f>SUM(E118:E127)</f>
        <v>265906.26</v>
      </c>
      <c r="F128" s="68">
        <f>SUM(F118:F127)</f>
        <v>0</v>
      </c>
      <c r="G128" s="68">
        <f>SUM(G118:G127)</f>
        <v>0</v>
      </c>
      <c r="H128" s="68">
        <f t="shared" si="7"/>
        <v>7518563.96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970375</v>
      </c>
      <c r="D131" s="23" t="s">
        <v>288</v>
      </c>
      <c r="E131" s="92">
        <f>'DOE25'!L342</f>
        <v>0</v>
      </c>
      <c r="F131" s="23" t="s">
        <v>288</v>
      </c>
      <c r="G131" s="23" t="s">
        <v>288</v>
      </c>
      <c r="H131" s="13">
        <f t="shared" si="7"/>
        <v>970375</v>
      </c>
    </row>
    <row r="132" spans="1:8" x14ac:dyDescent="0.2">
      <c r="A132" t="s">
        <v>230</v>
      </c>
      <c r="B132" s="31">
        <v>5120</v>
      </c>
      <c r="C132" s="73">
        <f>'DOE25'!L262</f>
        <v>152460.32</v>
      </c>
      <c r="D132" s="23" t="s">
        <v>288</v>
      </c>
      <c r="E132" s="92">
        <f>'DOE25'!L343</f>
        <v>0</v>
      </c>
      <c r="F132" s="23" t="s">
        <v>288</v>
      </c>
      <c r="G132" s="23" t="s">
        <v>288</v>
      </c>
      <c r="H132" s="13">
        <f t="shared" si="7"/>
        <v>152460.32</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203641.81</v>
      </c>
      <c r="D138" s="23" t="s">
        <v>288</v>
      </c>
      <c r="E138" s="23" t="s">
        <v>288</v>
      </c>
      <c r="F138" s="23" t="s">
        <v>288</v>
      </c>
      <c r="G138" s="23" t="s">
        <v>288</v>
      </c>
      <c r="H138" s="13">
        <f t="shared" si="7"/>
        <v>203641.81</v>
      </c>
    </row>
    <row r="139" spans="1:8" x14ac:dyDescent="0.2">
      <c r="A139" t="s">
        <v>239</v>
      </c>
      <c r="B139" s="31">
        <v>5252</v>
      </c>
      <c r="C139" s="73">
        <f>'DOE25'!L402</f>
        <v>107354.63</v>
      </c>
      <c r="D139" s="23" t="s">
        <v>288</v>
      </c>
      <c r="E139" s="23" t="s">
        <v>288</v>
      </c>
      <c r="F139" s="23" t="s">
        <v>288</v>
      </c>
      <c r="G139" s="23" t="s">
        <v>288</v>
      </c>
      <c r="H139" s="13">
        <f t="shared" si="7"/>
        <v>107354.63</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-10996.440000000002</v>
      </c>
      <c r="D141" s="23" t="s">
        <v>288</v>
      </c>
      <c r="E141" s="23" t="s">
        <v>288</v>
      </c>
      <c r="F141" s="23" t="s">
        <v>288</v>
      </c>
      <c r="G141" s="23" t="s">
        <v>288</v>
      </c>
      <c r="H141" s="13">
        <f t="shared" si="7"/>
        <v>-10996.440000000002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1422835.3200000003</v>
      </c>
      <c r="D144" s="98">
        <f>SUM(D130:D143)</f>
        <v>0</v>
      </c>
      <c r="E144" s="98">
        <f>SUM(E130:E143)</f>
        <v>0</v>
      </c>
      <c r="F144" s="98">
        <f>SUM(F130:F143)</f>
        <v>0</v>
      </c>
      <c r="G144" s="98">
        <f>SUM(G130:G143)</f>
        <v>0</v>
      </c>
      <c r="H144" s="98">
        <f t="shared" si="7"/>
        <v>1422835.3200000003</v>
      </c>
    </row>
    <row r="145" spans="1:9" ht="12.75" thickTop="1" thickBot="1" x14ac:dyDescent="0.25">
      <c r="A145" s="32" t="s">
        <v>244</v>
      </c>
      <c r="C145" s="68">
        <f>(C115+C128+C144)</f>
        <v>20721519.880000003</v>
      </c>
      <c r="D145" s="68">
        <f>(D115+D128+D144)</f>
        <v>476771.64</v>
      </c>
      <c r="E145" s="68">
        <f>(E115+E128+E144)</f>
        <v>960414</v>
      </c>
      <c r="F145" s="68">
        <f>(F115+F128+F144)</f>
        <v>0</v>
      </c>
      <c r="G145" s="68">
        <f>(G115+G128+G144)</f>
        <v>0</v>
      </c>
      <c r="H145" s="68">
        <f t="shared" si="7"/>
        <v>22158705.520000003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10</v>
      </c>
      <c r="D151" s="110">
        <f>'DOE25'!H491</f>
        <v>10</v>
      </c>
      <c r="E151" s="110">
        <f>'DOE25'!I491</f>
        <v>0</v>
      </c>
      <c r="F151" s="110">
        <f>'DOE25'!J491</f>
        <v>0</v>
      </c>
      <c r="G151" s="23" t="s">
        <v>288</v>
      </c>
    </row>
    <row r="152" spans="1:9" x14ac:dyDescent="0.2">
      <c r="A152" s="21" t="s">
        <v>28</v>
      </c>
      <c r="B152" s="109" t="str">
        <f>'DOE25'!F492</f>
        <v>07/2006</v>
      </c>
      <c r="C152" s="109" t="str">
        <f>'DOE25'!G492</f>
        <v>02/2019</v>
      </c>
      <c r="D152" s="109">
        <f>'DOE25'!H492</f>
        <v>3.4636318654131617E-3</v>
      </c>
      <c r="E152" s="109">
        <f>'DOE25'!I492</f>
        <v>0</v>
      </c>
      <c r="F152" s="109">
        <f>'DOE25'!J492</f>
        <v>0</v>
      </c>
      <c r="G152" s="23" t="s">
        <v>288</v>
      </c>
    </row>
    <row r="153" spans="1:9" x14ac:dyDescent="0.2">
      <c r="A153" s="21" t="s">
        <v>29</v>
      </c>
      <c r="B153" s="109" t="str">
        <f>'DOE25'!F493</f>
        <v>08/2025</v>
      </c>
      <c r="C153" s="109" t="str">
        <f>'DOE25'!G493</f>
        <v>08/2028</v>
      </c>
      <c r="D153" s="109">
        <f>'DOE25'!H493</f>
        <v>3.9389463318562287E-3</v>
      </c>
      <c r="E153" s="109">
        <f>'DOE25'!I493</f>
        <v>0</v>
      </c>
      <c r="F153" s="109">
        <f>'DOE25'!J493</f>
        <v>0</v>
      </c>
      <c r="G153" s="23" t="s">
        <v>288</v>
      </c>
    </row>
    <row r="154" spans="1:9" x14ac:dyDescent="0.2">
      <c r="A154" s="21" t="s">
        <v>30</v>
      </c>
      <c r="B154" s="19">
        <f>'DOE25'!F494</f>
        <v>12500000</v>
      </c>
      <c r="C154" s="19">
        <f>'DOE25'!G494</f>
        <v>974600</v>
      </c>
      <c r="D154" s="19">
        <f>'DOE25'!H494</f>
        <v>820375</v>
      </c>
      <c r="E154" s="19">
        <f>'DOE25'!I494</f>
        <v>0</v>
      </c>
      <c r="F154" s="19">
        <f>'DOE25'!J494</f>
        <v>0</v>
      </c>
      <c r="G154" s="23" t="s">
        <v>288</v>
      </c>
    </row>
    <row r="155" spans="1:9" x14ac:dyDescent="0.2">
      <c r="A155" s="21" t="s">
        <v>31</v>
      </c>
      <c r="B155" s="19">
        <f>'DOE25'!F495</f>
        <v>4.13</v>
      </c>
      <c r="C155" s="19">
        <f>'DOE25'!G495</f>
        <v>2.57</v>
      </c>
      <c r="D155" s="19">
        <f>'DOE25'!H495</f>
        <v>0.96</v>
      </c>
      <c r="E155" s="19">
        <f>'DOE25'!I495</f>
        <v>0</v>
      </c>
      <c r="F155" s="19">
        <f>'DOE25'!J495</f>
        <v>0</v>
      </c>
      <c r="G155" s="23" t="s">
        <v>288</v>
      </c>
    </row>
    <row r="156" spans="1:9" x14ac:dyDescent="0.2">
      <c r="A156" s="21" t="s">
        <v>32</v>
      </c>
      <c r="B156" s="19">
        <f>'DOE25'!F496</f>
        <v>3360000</v>
      </c>
      <c r="C156" s="19">
        <f>'DOE25'!G496</f>
        <v>670000</v>
      </c>
      <c r="D156" s="19">
        <f>'DOE25'!H496</f>
        <v>820375</v>
      </c>
      <c r="E156" s="19">
        <f>'DOE25'!I496</f>
        <v>0</v>
      </c>
      <c r="F156" s="19">
        <f>'DOE25'!J496</f>
        <v>0</v>
      </c>
      <c r="G156" s="96">
        <f>SUM(B156:F156)</f>
        <v>4850375</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2575000</v>
      </c>
      <c r="C159" s="19">
        <f>'DOE25'!G499</f>
        <v>570000</v>
      </c>
      <c r="D159" s="19">
        <f>'DOE25'!H499</f>
        <v>735000</v>
      </c>
      <c r="E159" s="19">
        <f>'DOE25'!I499</f>
        <v>0</v>
      </c>
      <c r="F159" s="19">
        <f>'DOE25'!J499</f>
        <v>0</v>
      </c>
      <c r="G159" s="96">
        <f t="shared" si="8"/>
        <v>3880000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2575000</v>
      </c>
      <c r="C161" s="19">
        <f>'DOE25'!G501</f>
        <v>570000</v>
      </c>
      <c r="D161" s="19">
        <f>'DOE25'!H501</f>
        <v>735000</v>
      </c>
      <c r="E161" s="19">
        <f>'DOE25'!I501</f>
        <v>0</v>
      </c>
      <c r="F161" s="19">
        <f>'DOE25'!J501</f>
        <v>0</v>
      </c>
      <c r="G161" s="96">
        <f t="shared" si="8"/>
        <v>3880000</v>
      </c>
    </row>
    <row r="162" spans="1:7" x14ac:dyDescent="0.2">
      <c r="A162" s="21" t="s">
        <v>38</v>
      </c>
      <c r="B162" s="19">
        <f>'DOE25'!F502</f>
        <v>820000</v>
      </c>
      <c r="C162" s="19">
        <f>'DOE25'!G502</f>
        <v>95000</v>
      </c>
      <c r="D162" s="19">
        <f>'DOE25'!H502</f>
        <v>85000</v>
      </c>
      <c r="E162" s="19">
        <f>'DOE25'!I502</f>
        <v>0</v>
      </c>
      <c r="F162" s="19">
        <f>'DOE25'!J502</f>
        <v>0</v>
      </c>
      <c r="G162" s="96">
        <f t="shared" si="8"/>
        <v>1000000</v>
      </c>
    </row>
    <row r="163" spans="1:7" x14ac:dyDescent="0.2">
      <c r="A163" s="21" t="s">
        <v>39</v>
      </c>
      <c r="B163" s="19">
        <f>'DOE25'!F503</f>
        <v>51363.5</v>
      </c>
      <c r="C163" s="19">
        <f>'DOE25'!G503</f>
        <v>26647.5</v>
      </c>
      <c r="D163" s="19">
        <f>'DOE25'!H503</f>
        <v>35317.5</v>
      </c>
      <c r="E163" s="19">
        <f>'DOE25'!I503</f>
        <v>0</v>
      </c>
      <c r="F163" s="19">
        <f>'DOE25'!J503</f>
        <v>0</v>
      </c>
      <c r="G163" s="96">
        <f t="shared" si="8"/>
        <v>113328.5</v>
      </c>
    </row>
    <row r="164" spans="1:7" x14ac:dyDescent="0.2">
      <c r="A164" s="21" t="s">
        <v>246</v>
      </c>
      <c r="B164" s="19">
        <f>'DOE25'!F504</f>
        <v>871363.5</v>
      </c>
      <c r="C164" s="19">
        <f>'DOE25'!G504</f>
        <v>121647.5</v>
      </c>
      <c r="D164" s="19">
        <f>'DOE25'!H504</f>
        <v>120317.5</v>
      </c>
      <c r="E164" s="19">
        <f>'DOE25'!I504</f>
        <v>0</v>
      </c>
      <c r="F164" s="19">
        <f>'DOE25'!J504</f>
        <v>0</v>
      </c>
      <c r="G164" s="96">
        <f t="shared" si="8"/>
        <v>1113328.5</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Epping</v>
      </c>
    </row>
    <row r="3" spans="1:4" x14ac:dyDescent="0.2">
      <c r="B3" s="137" t="s">
        <v>1799</v>
      </c>
    </row>
    <row r="4" spans="1:4" x14ac:dyDescent="0.2">
      <c r="B4" t="s">
        <v>61</v>
      </c>
      <c r="C4" s="129">
        <f>IF('DOE25'!F666+'DOE25'!F671=0,0,ROUND('DOE25'!F673,0))</f>
        <v>21929</v>
      </c>
    </row>
    <row r="5" spans="1:4" x14ac:dyDescent="0.2">
      <c r="B5" t="s">
        <v>700</v>
      </c>
      <c r="C5" s="129">
        <f>IF('DOE25'!G666+'DOE25'!G671=0,0,ROUND('DOE25'!G673,0))</f>
        <v>23276</v>
      </c>
    </row>
    <row r="6" spans="1:4" x14ac:dyDescent="0.2">
      <c r="B6" t="s">
        <v>62</v>
      </c>
      <c r="C6" s="129">
        <f>IF('DOE25'!H666+'DOE25'!H671=0,0,ROUND('DOE25'!H673,0))</f>
        <v>21718</v>
      </c>
    </row>
    <row r="7" spans="1:4" x14ac:dyDescent="0.2">
      <c r="B7" t="s">
        <v>701</v>
      </c>
      <c r="C7" s="129">
        <f>IF('DOE25'!I666+'DOE25'!I671=0,0,ROUND('DOE25'!I673,0))</f>
        <v>22177</v>
      </c>
    </row>
    <row r="9" spans="1:4" x14ac:dyDescent="0.2">
      <c r="A9" s="136" t="s">
        <v>94</v>
      </c>
      <c r="B9" s="137" t="s">
        <v>1800</v>
      </c>
      <c r="C9" s="131" t="s">
        <v>720</v>
      </c>
      <c r="D9" s="131" t="s">
        <v>721</v>
      </c>
    </row>
    <row r="10" spans="1:4" x14ac:dyDescent="0.2">
      <c r="A10">
        <v>1100</v>
      </c>
      <c r="B10" t="s">
        <v>702</v>
      </c>
      <c r="C10" s="129">
        <f>ROUND('DOE25'!L198+'DOE25'!L216+'DOE25'!L234+'DOE25'!L277+'DOE25'!L296+'DOE25'!L315,0)</f>
        <v>8965919</v>
      </c>
      <c r="D10" s="132">
        <f>ROUND((C10/$C$28)*100,1)</f>
        <v>43.5</v>
      </c>
    </row>
    <row r="11" spans="1:4" x14ac:dyDescent="0.2">
      <c r="A11">
        <v>1200</v>
      </c>
      <c r="B11" t="s">
        <v>703</v>
      </c>
      <c r="C11" s="129">
        <f>ROUND('DOE25'!L199+'DOE25'!L217+'DOE25'!L235+'DOE25'!L278+'DOE25'!L297+'DOE25'!L316,0)</f>
        <v>3565768</v>
      </c>
      <c r="D11" s="132">
        <f>ROUND((C11/$C$28)*100,1)</f>
        <v>17.3</v>
      </c>
    </row>
    <row r="12" spans="1:4" x14ac:dyDescent="0.2">
      <c r="A12">
        <v>1300</v>
      </c>
      <c r="B12" t="s">
        <v>704</v>
      </c>
      <c r="C12" s="129">
        <f>ROUND('DOE25'!L200+'DOE25'!L218+'DOE25'!L236+'DOE25'!L279+'DOE25'!L298+'DOE25'!L317,0)</f>
        <v>215560</v>
      </c>
      <c r="D12" s="132">
        <f>ROUND((C12/$C$28)*100,1)</f>
        <v>1</v>
      </c>
    </row>
    <row r="13" spans="1:4" x14ac:dyDescent="0.2">
      <c r="A13">
        <v>1400</v>
      </c>
      <c r="B13" t="s">
        <v>705</v>
      </c>
      <c r="C13" s="129">
        <f>ROUND('DOE25'!L201+'DOE25'!L219+'DOE25'!L237+'DOE25'!L280+'DOE25'!L299+'DOE25'!L318,0)</f>
        <v>470059</v>
      </c>
      <c r="D13" s="132">
        <f>ROUND((C13/$C$28)*100,1)</f>
        <v>2.2999999999999998</v>
      </c>
    </row>
    <row r="14" spans="1:4" x14ac:dyDescent="0.2">
      <c r="D14" s="132"/>
    </row>
    <row r="15" spans="1:4" x14ac:dyDescent="0.2">
      <c r="A15">
        <v>2100</v>
      </c>
      <c r="B15" t="s">
        <v>706</v>
      </c>
      <c r="C15" s="129">
        <f>ROUND('DOE25'!L203+'DOE25'!L221+'DOE25'!L239+'DOE25'!L282+'DOE25'!L301+'DOE25'!L320,0)</f>
        <v>1310394</v>
      </c>
      <c r="D15" s="132">
        <f t="shared" ref="D15:D27" si="0">ROUND((C15/$C$28)*100,1)</f>
        <v>6.4</v>
      </c>
    </row>
    <row r="16" spans="1:4" x14ac:dyDescent="0.2">
      <c r="A16">
        <v>2200</v>
      </c>
      <c r="B16" t="s">
        <v>707</v>
      </c>
      <c r="C16" s="129">
        <f>ROUND('DOE25'!L204+'DOE25'!L222+'DOE25'!L240+'DOE25'!L283+'DOE25'!L302+'DOE25'!L321,0)</f>
        <v>1097888</v>
      </c>
      <c r="D16" s="132">
        <f t="shared" si="0"/>
        <v>5.3</v>
      </c>
    </row>
    <row r="17" spans="1:4" x14ac:dyDescent="0.2">
      <c r="A17" s="133" t="s">
        <v>723</v>
      </c>
      <c r="B17" t="s">
        <v>738</v>
      </c>
      <c r="C17" s="129">
        <f>ROUND('DOE25'!L205+'DOE25'!L210+'DOE25'!L223+'DOE25'!L228+'DOE25'!L241+'DOE25'!L246+'DOE25'!L284+'DOE25'!L289+'DOE25'!L303+'DOE25'!L308+'DOE25'!L322+'DOE25'!L327,0)</f>
        <v>755301</v>
      </c>
      <c r="D17" s="132">
        <f t="shared" si="0"/>
        <v>3.7</v>
      </c>
    </row>
    <row r="18" spans="1:4" x14ac:dyDescent="0.2">
      <c r="A18">
        <v>2400</v>
      </c>
      <c r="B18" t="s">
        <v>711</v>
      </c>
      <c r="C18" s="129">
        <f>ROUND('DOE25'!L206+'DOE25'!L224+'DOE25'!L242+'DOE25'!L285+'DOE25'!L304+'DOE25'!L323,0)</f>
        <v>1152729</v>
      </c>
      <c r="D18" s="132">
        <f t="shared" si="0"/>
        <v>5.6</v>
      </c>
    </row>
    <row r="19" spans="1:4" x14ac:dyDescent="0.2">
      <c r="A19">
        <v>2500</v>
      </c>
      <c r="B19" t="s">
        <v>708</v>
      </c>
      <c r="C19" s="129">
        <f>ROUND('DOE25'!L207+'DOE25'!L225+'DOE25'!L243+'DOE25'!L286+'DOE25'!L305+'DOE25'!L324,0)</f>
        <v>10000</v>
      </c>
      <c r="D19" s="132">
        <f t="shared" si="0"/>
        <v>0</v>
      </c>
    </row>
    <row r="20" spans="1:4" x14ac:dyDescent="0.2">
      <c r="A20">
        <v>2600</v>
      </c>
      <c r="B20" t="s">
        <v>709</v>
      </c>
      <c r="C20" s="129">
        <f>ROUND('DOE25'!L208+'DOE25'!L226+'DOE25'!L244+'DOE25'!L287+'DOE25'!L306+'DOE25'!L325,0)</f>
        <v>1948386</v>
      </c>
      <c r="D20" s="132">
        <f t="shared" si="0"/>
        <v>9.5</v>
      </c>
    </row>
    <row r="21" spans="1:4" x14ac:dyDescent="0.2">
      <c r="A21">
        <v>2700</v>
      </c>
      <c r="B21" t="s">
        <v>710</v>
      </c>
      <c r="C21" s="129">
        <f>ROUND('DOE25'!L209+'DOE25'!L227+'DOE25'!L245+'DOE25'!L288+'DOE25'!L307+'DOE25'!L326,0)</f>
        <v>767095</v>
      </c>
      <c r="D21" s="132">
        <f t="shared" si="0"/>
        <v>3.7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152460</v>
      </c>
      <c r="D25" s="132">
        <f t="shared" si="0"/>
        <v>0.7</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181792.69999999995</v>
      </c>
      <c r="D27" s="132">
        <f t="shared" si="0"/>
        <v>0.9</v>
      </c>
    </row>
    <row r="28" spans="1:4" x14ac:dyDescent="0.2">
      <c r="B28" s="136" t="s">
        <v>719</v>
      </c>
      <c r="C28" s="130">
        <f>SUM(C10:C27)</f>
        <v>20593351.699999999</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20593351.699999999</v>
      </c>
    </row>
    <row r="31" spans="1:4" x14ac:dyDescent="0.2">
      <c r="B31" s="32"/>
      <c r="C31" s="130"/>
    </row>
    <row r="32" spans="1:4" x14ac:dyDescent="0.2">
      <c r="A32">
        <v>5100</v>
      </c>
      <c r="B32" s="32" t="s">
        <v>726</v>
      </c>
      <c r="C32" s="130">
        <f>ROUND('DOE25'!L261+'DOE25'!L342,0)</f>
        <v>970375</v>
      </c>
    </row>
    <row r="34" spans="1:4" x14ac:dyDescent="0.2">
      <c r="A34" s="136" t="s">
        <v>94</v>
      </c>
      <c r="B34" s="137" t="s">
        <v>1801</v>
      </c>
      <c r="C34" s="131" t="s">
        <v>720</v>
      </c>
      <c r="D34" s="131" t="s">
        <v>721</v>
      </c>
    </row>
    <row r="35" spans="1:4" x14ac:dyDescent="0.2">
      <c r="A35">
        <v>1100</v>
      </c>
      <c r="B35" s="71" t="s">
        <v>727</v>
      </c>
      <c r="C35" s="129">
        <f>ROUND('DOE25'!F60+'DOE25'!G60+'DOE25'!H60+'DOE25'!I60+'DOE25'!J60,0)</f>
        <v>14807315</v>
      </c>
      <c r="D35" s="132">
        <f t="shared" ref="D35:D40" si="1">ROUND((C35/$C$41)*100,1)</f>
        <v>68.3</v>
      </c>
    </row>
    <row r="36" spans="1:4" x14ac:dyDescent="0.2">
      <c r="B36" s="71" t="s">
        <v>739</v>
      </c>
      <c r="C36" s="129">
        <f>SUM('DOE25'!F112:J112)-SUM('DOE25'!G97:G110)+('DOE25'!F175+'DOE25'!F176+'DOE25'!I175+'DOE25'!I176)-C35</f>
        <v>201827.36999999732</v>
      </c>
      <c r="D36" s="132">
        <f t="shared" si="1"/>
        <v>0.9</v>
      </c>
    </row>
    <row r="37" spans="1:4" x14ac:dyDescent="0.2">
      <c r="A37" s="133" t="s">
        <v>834</v>
      </c>
      <c r="B37" s="71" t="s">
        <v>728</v>
      </c>
      <c r="C37" s="129">
        <f>ROUND('DOE25'!F117+'DOE25'!F118,0)</f>
        <v>4720266</v>
      </c>
      <c r="D37" s="132">
        <f t="shared" si="1"/>
        <v>21.8</v>
      </c>
    </row>
    <row r="38" spans="1:4" x14ac:dyDescent="0.2">
      <c r="A38" s="133" t="s">
        <v>734</v>
      </c>
      <c r="B38" s="71" t="s">
        <v>729</v>
      </c>
      <c r="C38" s="129">
        <f>ROUND(SUM('DOE25'!F140:J140)-SUM('DOE25'!F117:F119),0)</f>
        <v>613404</v>
      </c>
      <c r="D38" s="132">
        <f t="shared" si="1"/>
        <v>2.8</v>
      </c>
    </row>
    <row r="39" spans="1:4" x14ac:dyDescent="0.2">
      <c r="A39">
        <v>4000</v>
      </c>
      <c r="B39" s="71" t="s">
        <v>730</v>
      </c>
      <c r="C39" s="129">
        <f>ROUND('DOE25'!F170+'DOE25'!G170+'DOE25'!H170+'DOE25'!I170,0)</f>
        <v>1156965</v>
      </c>
      <c r="D39" s="132">
        <f t="shared" si="1"/>
        <v>5.3</v>
      </c>
    </row>
    <row r="40" spans="1:4" x14ac:dyDescent="0.2">
      <c r="A40" s="133" t="s">
        <v>735</v>
      </c>
      <c r="B40" s="71" t="s">
        <v>731</v>
      </c>
      <c r="C40" s="129">
        <f>ROUND(SUM('DOE25'!F190:F192)+SUM('DOE25'!G190:G192)+SUM('DOE25'!H190:H192)+SUM('DOE25'!I190:I192),0)</f>
        <v>165002</v>
      </c>
      <c r="D40" s="132">
        <f t="shared" si="1"/>
        <v>0.8</v>
      </c>
    </row>
    <row r="41" spans="1:4" x14ac:dyDescent="0.2">
      <c r="B41" s="136" t="s">
        <v>732</v>
      </c>
      <c r="C41" s="130">
        <f>SUM(C35:C40)</f>
        <v>21664779.369999997</v>
      </c>
      <c r="D41" s="134">
        <f>SUM(D35:D40)</f>
        <v>99.899999999999991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1" t="s">
        <v>766</v>
      </c>
      <c r="B1" s="332"/>
      <c r="C1" s="332"/>
      <c r="D1" s="332"/>
      <c r="E1" s="332"/>
      <c r="F1" s="332"/>
      <c r="G1" s="332"/>
      <c r="H1" s="332"/>
      <c r="I1" s="332"/>
      <c r="J1" s="155"/>
      <c r="K1" s="155"/>
      <c r="L1" s="155"/>
      <c r="M1" s="156"/>
    </row>
    <row r="2" spans="1:13" ht="12.75" x14ac:dyDescent="0.2">
      <c r="A2" s="336" t="s">
        <v>763</v>
      </c>
      <c r="B2" s="337"/>
      <c r="C2" s="337"/>
      <c r="D2" s="337"/>
      <c r="E2" s="337"/>
      <c r="F2" s="334" t="str">
        <f>'DOE25'!A2</f>
        <v>Epping</v>
      </c>
      <c r="G2" s="335"/>
      <c r="H2" s="335"/>
      <c r="I2" s="335"/>
      <c r="M2" s="157"/>
    </row>
    <row r="3" spans="1:13" x14ac:dyDescent="0.2">
      <c r="A3" s="158" t="s">
        <v>764</v>
      </c>
      <c r="B3" s="131" t="s">
        <v>765</v>
      </c>
      <c r="C3" s="321" t="s">
        <v>767</v>
      </c>
      <c r="D3" s="321"/>
      <c r="E3" s="321"/>
      <c r="F3" s="321"/>
      <c r="G3" s="321"/>
      <c r="H3" s="321"/>
      <c r="I3" s="321"/>
      <c r="J3" s="321"/>
      <c r="K3" s="321"/>
      <c r="L3" s="321"/>
      <c r="M3" s="333"/>
    </row>
    <row r="4" spans="1:13" x14ac:dyDescent="0.2">
      <c r="A4" s="159"/>
      <c r="B4" s="150"/>
      <c r="C4" s="328"/>
      <c r="D4" s="328"/>
      <c r="E4" s="328"/>
      <c r="F4" s="328"/>
      <c r="G4" s="328"/>
      <c r="H4" s="328"/>
      <c r="I4" s="328"/>
      <c r="J4" s="328"/>
      <c r="K4" s="328"/>
      <c r="L4" s="328"/>
      <c r="M4" s="330"/>
    </row>
    <row r="5" spans="1:13" x14ac:dyDescent="0.2">
      <c r="A5" s="159"/>
      <c r="B5" s="150"/>
      <c r="C5" s="328"/>
      <c r="D5" s="328"/>
      <c r="E5" s="328"/>
      <c r="F5" s="328"/>
      <c r="G5" s="328"/>
      <c r="H5" s="328"/>
      <c r="I5" s="328"/>
      <c r="J5" s="328"/>
      <c r="K5" s="328"/>
      <c r="L5" s="328"/>
      <c r="M5" s="330"/>
    </row>
    <row r="6" spans="1:13" x14ac:dyDescent="0.2">
      <c r="A6" s="159"/>
      <c r="B6" s="150"/>
      <c r="C6" s="328"/>
      <c r="D6" s="328"/>
      <c r="E6" s="328"/>
      <c r="F6" s="328"/>
      <c r="G6" s="328"/>
      <c r="H6" s="328"/>
      <c r="I6" s="328"/>
      <c r="J6" s="328"/>
      <c r="K6" s="328"/>
      <c r="L6" s="328"/>
      <c r="M6" s="330"/>
    </row>
    <row r="7" spans="1:13" x14ac:dyDescent="0.2">
      <c r="A7" s="159"/>
      <c r="B7" s="150"/>
      <c r="C7" s="328"/>
      <c r="D7" s="328"/>
      <c r="E7" s="328"/>
      <c r="F7" s="328"/>
      <c r="G7" s="328"/>
      <c r="H7" s="328"/>
      <c r="I7" s="328"/>
      <c r="J7" s="328"/>
      <c r="K7" s="328"/>
      <c r="L7" s="328"/>
      <c r="M7" s="330"/>
    </row>
    <row r="8" spans="1:13" x14ac:dyDescent="0.2">
      <c r="A8" s="159"/>
      <c r="B8" s="150"/>
      <c r="C8" s="328"/>
      <c r="D8" s="328"/>
      <c r="E8" s="328"/>
      <c r="F8" s="328"/>
      <c r="G8" s="328"/>
      <c r="H8" s="328"/>
      <c r="I8" s="328"/>
      <c r="J8" s="328"/>
      <c r="K8" s="328"/>
      <c r="L8" s="328"/>
      <c r="M8" s="330"/>
    </row>
    <row r="9" spans="1:13" x14ac:dyDescent="0.2">
      <c r="A9" s="159"/>
      <c r="B9" s="150"/>
      <c r="C9" s="328"/>
      <c r="D9" s="328"/>
      <c r="E9" s="328"/>
      <c r="F9" s="328"/>
      <c r="G9" s="328"/>
      <c r="H9" s="328"/>
      <c r="I9" s="328"/>
      <c r="J9" s="328"/>
      <c r="K9" s="328"/>
      <c r="L9" s="328"/>
      <c r="M9" s="330"/>
    </row>
    <row r="10" spans="1:13" x14ac:dyDescent="0.2">
      <c r="A10" s="159"/>
      <c r="B10" s="150"/>
      <c r="C10" s="328"/>
      <c r="D10" s="328"/>
      <c r="E10" s="328"/>
      <c r="F10" s="328"/>
      <c r="G10" s="328"/>
      <c r="H10" s="328"/>
      <c r="I10" s="328"/>
      <c r="J10" s="328"/>
      <c r="K10" s="328"/>
      <c r="L10" s="328"/>
      <c r="M10" s="330"/>
    </row>
    <row r="11" spans="1:13" x14ac:dyDescent="0.2">
      <c r="A11" s="159"/>
      <c r="B11" s="150"/>
      <c r="C11" s="328"/>
      <c r="D11" s="328"/>
      <c r="E11" s="328"/>
      <c r="F11" s="328"/>
      <c r="G11" s="328"/>
      <c r="H11" s="328"/>
      <c r="I11" s="328"/>
      <c r="J11" s="328"/>
      <c r="K11" s="328"/>
      <c r="L11" s="328"/>
      <c r="M11" s="330"/>
    </row>
    <row r="12" spans="1:13" x14ac:dyDescent="0.2">
      <c r="A12" s="159"/>
      <c r="B12" s="150"/>
      <c r="C12" s="328"/>
      <c r="D12" s="328"/>
      <c r="E12" s="328"/>
      <c r="F12" s="328"/>
      <c r="G12" s="328"/>
      <c r="H12" s="328"/>
      <c r="I12" s="328"/>
      <c r="J12" s="328"/>
      <c r="K12" s="328"/>
      <c r="L12" s="328"/>
      <c r="M12" s="330"/>
    </row>
    <row r="13" spans="1:13" x14ac:dyDescent="0.2">
      <c r="A13" s="159"/>
      <c r="B13" s="150"/>
      <c r="C13" s="328"/>
      <c r="D13" s="328"/>
      <c r="E13" s="328"/>
      <c r="F13" s="328"/>
      <c r="G13" s="328"/>
      <c r="H13" s="328"/>
      <c r="I13" s="328"/>
      <c r="J13" s="328"/>
      <c r="K13" s="328"/>
      <c r="L13" s="328"/>
      <c r="M13" s="330"/>
    </row>
    <row r="14" spans="1:13" x14ac:dyDescent="0.2">
      <c r="A14" s="159"/>
      <c r="B14" s="150"/>
      <c r="C14" s="328"/>
      <c r="D14" s="328"/>
      <c r="E14" s="328"/>
      <c r="F14" s="328"/>
      <c r="G14" s="328"/>
      <c r="H14" s="328"/>
      <c r="I14" s="328"/>
      <c r="J14" s="328"/>
      <c r="K14" s="328"/>
      <c r="L14" s="328"/>
      <c r="M14" s="330"/>
    </row>
    <row r="15" spans="1:13" x14ac:dyDescent="0.2">
      <c r="A15" s="159"/>
      <c r="B15" s="150"/>
      <c r="C15" s="328"/>
      <c r="D15" s="328"/>
      <c r="E15" s="328"/>
      <c r="F15" s="328"/>
      <c r="G15" s="328"/>
      <c r="H15" s="328"/>
      <c r="I15" s="328"/>
      <c r="J15" s="328"/>
      <c r="K15" s="328"/>
      <c r="L15" s="328"/>
      <c r="M15" s="330"/>
    </row>
    <row r="16" spans="1:13" x14ac:dyDescent="0.2">
      <c r="A16" s="159"/>
      <c r="B16" s="150"/>
      <c r="C16" s="328"/>
      <c r="D16" s="328"/>
      <c r="E16" s="328"/>
      <c r="F16" s="328"/>
      <c r="G16" s="328"/>
      <c r="H16" s="328"/>
      <c r="I16" s="328"/>
      <c r="J16" s="328"/>
      <c r="K16" s="328"/>
      <c r="L16" s="328"/>
      <c r="M16" s="330"/>
    </row>
    <row r="17" spans="1:256" x14ac:dyDescent="0.2">
      <c r="A17" s="159"/>
      <c r="B17" s="150"/>
      <c r="C17" s="328"/>
      <c r="D17" s="328"/>
      <c r="E17" s="328"/>
      <c r="F17" s="328"/>
      <c r="G17" s="328"/>
      <c r="H17" s="328"/>
      <c r="I17" s="328"/>
      <c r="J17" s="328"/>
      <c r="K17" s="328"/>
      <c r="L17" s="328"/>
      <c r="M17" s="330"/>
    </row>
    <row r="18" spans="1:256" x14ac:dyDescent="0.2">
      <c r="A18" s="159"/>
      <c r="B18" s="150"/>
      <c r="C18" s="328"/>
      <c r="D18" s="328"/>
      <c r="E18" s="328"/>
      <c r="F18" s="328"/>
      <c r="G18" s="328"/>
      <c r="H18" s="328"/>
      <c r="I18" s="328"/>
      <c r="J18" s="328"/>
      <c r="K18" s="328"/>
      <c r="L18" s="328"/>
      <c r="M18" s="330"/>
    </row>
    <row r="19" spans="1:256" x14ac:dyDescent="0.2">
      <c r="A19" s="159"/>
      <c r="B19" s="150"/>
      <c r="C19" s="328"/>
      <c r="D19" s="328"/>
      <c r="E19" s="328"/>
      <c r="F19" s="328"/>
      <c r="G19" s="328"/>
      <c r="H19" s="328"/>
      <c r="I19" s="328"/>
      <c r="J19" s="328"/>
      <c r="K19" s="328"/>
      <c r="L19" s="328"/>
      <c r="M19" s="330"/>
    </row>
    <row r="20" spans="1:256" x14ac:dyDescent="0.2">
      <c r="A20" s="159"/>
      <c r="B20" s="150"/>
      <c r="C20" s="328"/>
      <c r="D20" s="328"/>
      <c r="E20" s="328"/>
      <c r="F20" s="328"/>
      <c r="G20" s="328"/>
      <c r="H20" s="328"/>
      <c r="I20" s="328"/>
      <c r="J20" s="328"/>
      <c r="K20" s="328"/>
      <c r="L20" s="328"/>
      <c r="M20" s="330"/>
    </row>
    <row r="21" spans="1:256" x14ac:dyDescent="0.2">
      <c r="A21" s="159"/>
      <c r="B21" s="150"/>
      <c r="C21" s="328"/>
      <c r="D21" s="328"/>
      <c r="E21" s="328"/>
      <c r="F21" s="328"/>
      <c r="G21" s="328"/>
      <c r="H21" s="328"/>
      <c r="I21" s="328"/>
      <c r="J21" s="328"/>
      <c r="K21" s="328"/>
      <c r="L21" s="328"/>
      <c r="M21" s="330"/>
    </row>
    <row r="22" spans="1:256" x14ac:dyDescent="0.2">
      <c r="A22" s="159"/>
      <c r="B22" s="150"/>
      <c r="C22" s="328"/>
      <c r="D22" s="328"/>
      <c r="E22" s="328"/>
      <c r="F22" s="328"/>
      <c r="G22" s="328"/>
      <c r="H22" s="328"/>
      <c r="I22" s="328"/>
      <c r="J22" s="328"/>
      <c r="K22" s="328"/>
      <c r="L22" s="328"/>
      <c r="M22" s="330"/>
    </row>
    <row r="23" spans="1:256" x14ac:dyDescent="0.2">
      <c r="A23" s="159"/>
      <c r="B23" s="150"/>
      <c r="C23" s="328"/>
      <c r="D23" s="328"/>
      <c r="E23" s="328"/>
      <c r="F23" s="328"/>
      <c r="G23" s="328"/>
      <c r="H23" s="328"/>
      <c r="I23" s="328"/>
      <c r="J23" s="328"/>
      <c r="K23" s="328"/>
      <c r="L23" s="328"/>
      <c r="M23" s="330"/>
    </row>
    <row r="24" spans="1:256" x14ac:dyDescent="0.2">
      <c r="A24" s="159"/>
      <c r="B24" s="150"/>
      <c r="C24" s="328"/>
      <c r="D24" s="328"/>
      <c r="E24" s="328"/>
      <c r="F24" s="328"/>
      <c r="G24" s="328"/>
      <c r="H24" s="328"/>
      <c r="I24" s="328"/>
      <c r="J24" s="328"/>
      <c r="K24" s="328"/>
      <c r="L24" s="328"/>
      <c r="M24" s="330"/>
    </row>
    <row r="25" spans="1:256" x14ac:dyDescent="0.2">
      <c r="A25" s="159"/>
      <c r="B25" s="150"/>
      <c r="C25" s="328"/>
      <c r="D25" s="328"/>
      <c r="E25" s="328"/>
      <c r="F25" s="328"/>
      <c r="G25" s="328"/>
      <c r="H25" s="328"/>
      <c r="I25" s="328"/>
      <c r="J25" s="328"/>
      <c r="K25" s="328"/>
      <c r="L25" s="328"/>
      <c r="M25" s="330"/>
    </row>
    <row r="26" spans="1:256" x14ac:dyDescent="0.2">
      <c r="A26" s="159"/>
      <c r="B26" s="150"/>
      <c r="C26" s="328"/>
      <c r="D26" s="328"/>
      <c r="E26" s="328"/>
      <c r="F26" s="328"/>
      <c r="G26" s="328"/>
      <c r="H26" s="328"/>
      <c r="I26" s="328"/>
      <c r="J26" s="328"/>
      <c r="K26" s="328"/>
      <c r="L26" s="328"/>
      <c r="M26" s="330"/>
    </row>
    <row r="27" spans="1:256" x14ac:dyDescent="0.2">
      <c r="A27" s="159"/>
      <c r="B27" s="150"/>
      <c r="C27" s="328"/>
      <c r="D27" s="328"/>
      <c r="E27" s="328"/>
      <c r="F27" s="328"/>
      <c r="G27" s="328"/>
      <c r="H27" s="328"/>
      <c r="I27" s="328"/>
      <c r="J27" s="328"/>
      <c r="K27" s="328"/>
      <c r="L27" s="328"/>
      <c r="M27" s="330"/>
    </row>
    <row r="28" spans="1:256" x14ac:dyDescent="0.2">
      <c r="A28" s="159"/>
      <c r="B28" s="150"/>
      <c r="C28" s="328"/>
      <c r="D28" s="328"/>
      <c r="E28" s="328"/>
      <c r="F28" s="328"/>
      <c r="G28" s="328"/>
      <c r="H28" s="328"/>
      <c r="I28" s="328"/>
      <c r="J28" s="328"/>
      <c r="K28" s="328"/>
      <c r="L28" s="328"/>
      <c r="M28" s="330"/>
    </row>
    <row r="29" spans="1:256" x14ac:dyDescent="0.2">
      <c r="A29" s="159"/>
      <c r="B29" s="150"/>
      <c r="C29" s="328"/>
      <c r="D29" s="328"/>
      <c r="E29" s="328"/>
      <c r="F29" s="328"/>
      <c r="G29" s="328"/>
      <c r="H29" s="328"/>
      <c r="I29" s="328"/>
      <c r="J29" s="328"/>
      <c r="K29" s="328"/>
      <c r="L29" s="328"/>
      <c r="M29" s="330"/>
      <c r="N29" s="153"/>
      <c r="O29" s="153"/>
      <c r="P29" s="329"/>
      <c r="Q29" s="329"/>
      <c r="R29" s="329"/>
      <c r="S29" s="329"/>
      <c r="T29" s="329"/>
      <c r="U29" s="329"/>
      <c r="V29" s="329"/>
      <c r="W29" s="329"/>
      <c r="X29" s="329"/>
      <c r="Y29" s="329"/>
      <c r="Z29" s="329"/>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30"/>
      <c r="N30" s="153"/>
      <c r="O30" s="153"/>
      <c r="P30" s="329"/>
      <c r="Q30" s="329"/>
      <c r="R30" s="329"/>
      <c r="S30" s="329"/>
      <c r="T30" s="329"/>
      <c r="U30" s="329"/>
      <c r="V30" s="329"/>
      <c r="W30" s="329"/>
      <c r="X30" s="329"/>
      <c r="Y30" s="329"/>
      <c r="Z30" s="329"/>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30"/>
      <c r="N31" s="153"/>
      <c r="O31" s="153"/>
      <c r="P31" s="329"/>
      <c r="Q31" s="329"/>
      <c r="R31" s="329"/>
      <c r="S31" s="329"/>
      <c r="T31" s="329"/>
      <c r="U31" s="329"/>
      <c r="V31" s="329"/>
      <c r="W31" s="329"/>
      <c r="X31" s="329"/>
      <c r="Y31" s="329"/>
      <c r="Z31" s="329"/>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30"/>
      <c r="N32" s="153"/>
      <c r="O32" s="153"/>
      <c r="P32" s="329"/>
      <c r="Q32" s="329"/>
      <c r="R32" s="329"/>
      <c r="S32" s="329"/>
      <c r="T32" s="329"/>
      <c r="U32" s="329"/>
      <c r="V32" s="329"/>
      <c r="W32" s="329"/>
      <c r="X32" s="329"/>
      <c r="Y32" s="329"/>
      <c r="Z32" s="338"/>
      <c r="AA32" s="159"/>
      <c r="AB32" s="150"/>
      <c r="AC32" s="328"/>
      <c r="AD32" s="328"/>
      <c r="AE32" s="328"/>
      <c r="AF32" s="328"/>
      <c r="AG32" s="328"/>
      <c r="AH32" s="328"/>
      <c r="AI32" s="328"/>
      <c r="AJ32" s="328"/>
      <c r="AK32" s="328"/>
      <c r="AL32" s="328"/>
      <c r="AM32" s="330"/>
      <c r="AN32" s="159"/>
      <c r="AO32" s="150"/>
      <c r="AP32" s="328"/>
      <c r="AQ32" s="328"/>
      <c r="AR32" s="328"/>
      <c r="AS32" s="328"/>
      <c r="AT32" s="328"/>
      <c r="AU32" s="328"/>
      <c r="AV32" s="328"/>
      <c r="AW32" s="328"/>
      <c r="AX32" s="328"/>
      <c r="AY32" s="328"/>
      <c r="AZ32" s="330"/>
      <c r="BA32" s="159"/>
      <c r="BB32" s="150"/>
      <c r="BC32" s="328"/>
      <c r="BD32" s="328"/>
      <c r="BE32" s="328"/>
      <c r="BF32" s="328"/>
      <c r="BG32" s="328"/>
      <c r="BH32" s="328"/>
      <c r="BI32" s="328"/>
      <c r="BJ32" s="328"/>
      <c r="BK32" s="328"/>
      <c r="BL32" s="328"/>
      <c r="BM32" s="330"/>
      <c r="BN32" s="159"/>
      <c r="BO32" s="150"/>
      <c r="BP32" s="328"/>
      <c r="BQ32" s="328"/>
      <c r="BR32" s="328"/>
      <c r="BS32" s="328"/>
      <c r="BT32" s="328"/>
      <c r="BU32" s="328"/>
      <c r="BV32" s="328"/>
      <c r="BW32" s="328"/>
      <c r="BX32" s="328"/>
      <c r="BY32" s="328"/>
      <c r="BZ32" s="330"/>
      <c r="CA32" s="159"/>
      <c r="CB32" s="150"/>
      <c r="CC32" s="328"/>
      <c r="CD32" s="328"/>
      <c r="CE32" s="328"/>
      <c r="CF32" s="328"/>
      <c r="CG32" s="328"/>
      <c r="CH32" s="328"/>
      <c r="CI32" s="328"/>
      <c r="CJ32" s="328"/>
      <c r="CK32" s="328"/>
      <c r="CL32" s="328"/>
      <c r="CM32" s="330"/>
      <c r="CN32" s="159"/>
      <c r="CO32" s="150"/>
      <c r="CP32" s="328"/>
      <c r="CQ32" s="328"/>
      <c r="CR32" s="328"/>
      <c r="CS32" s="328"/>
      <c r="CT32" s="328"/>
      <c r="CU32" s="328"/>
      <c r="CV32" s="328"/>
      <c r="CW32" s="328"/>
      <c r="CX32" s="328"/>
      <c r="CY32" s="328"/>
      <c r="CZ32" s="330"/>
      <c r="DA32" s="159"/>
      <c r="DB32" s="150"/>
      <c r="DC32" s="328"/>
      <c r="DD32" s="328"/>
      <c r="DE32" s="328"/>
      <c r="DF32" s="328"/>
      <c r="DG32" s="328"/>
      <c r="DH32" s="328"/>
      <c r="DI32" s="328"/>
      <c r="DJ32" s="328"/>
      <c r="DK32" s="328"/>
      <c r="DL32" s="328"/>
      <c r="DM32" s="330"/>
      <c r="DN32" s="159"/>
      <c r="DO32" s="150"/>
      <c r="DP32" s="328"/>
      <c r="DQ32" s="328"/>
      <c r="DR32" s="328"/>
      <c r="DS32" s="328"/>
      <c r="DT32" s="328"/>
      <c r="DU32" s="328"/>
      <c r="DV32" s="328"/>
      <c r="DW32" s="328"/>
      <c r="DX32" s="328"/>
      <c r="DY32" s="328"/>
      <c r="DZ32" s="330"/>
      <c r="EA32" s="159"/>
      <c r="EB32" s="150"/>
      <c r="EC32" s="328"/>
      <c r="ED32" s="328"/>
      <c r="EE32" s="328"/>
      <c r="EF32" s="328"/>
      <c r="EG32" s="328"/>
      <c r="EH32" s="328"/>
      <c r="EI32" s="328"/>
      <c r="EJ32" s="328"/>
      <c r="EK32" s="328"/>
      <c r="EL32" s="328"/>
      <c r="EM32" s="330"/>
      <c r="EN32" s="159"/>
      <c r="EO32" s="150"/>
      <c r="EP32" s="328"/>
      <c r="EQ32" s="328"/>
      <c r="ER32" s="328"/>
      <c r="ES32" s="328"/>
      <c r="ET32" s="328"/>
      <c r="EU32" s="328"/>
      <c r="EV32" s="328"/>
      <c r="EW32" s="328"/>
      <c r="EX32" s="328"/>
      <c r="EY32" s="328"/>
      <c r="EZ32" s="330"/>
      <c r="FA32" s="159"/>
      <c r="FB32" s="150"/>
      <c r="FC32" s="328"/>
      <c r="FD32" s="328"/>
      <c r="FE32" s="328"/>
      <c r="FF32" s="328"/>
      <c r="FG32" s="328"/>
      <c r="FH32" s="328"/>
      <c r="FI32" s="328"/>
      <c r="FJ32" s="328"/>
      <c r="FK32" s="328"/>
      <c r="FL32" s="328"/>
      <c r="FM32" s="330"/>
      <c r="FN32" s="159"/>
      <c r="FO32" s="150"/>
      <c r="FP32" s="328"/>
      <c r="FQ32" s="328"/>
      <c r="FR32" s="328"/>
      <c r="FS32" s="328"/>
      <c r="FT32" s="328"/>
      <c r="FU32" s="328"/>
      <c r="FV32" s="328"/>
      <c r="FW32" s="328"/>
      <c r="FX32" s="328"/>
      <c r="FY32" s="328"/>
      <c r="FZ32" s="330"/>
      <c r="GA32" s="159"/>
      <c r="GB32" s="150"/>
      <c r="GC32" s="328"/>
      <c r="GD32" s="328"/>
      <c r="GE32" s="328"/>
      <c r="GF32" s="328"/>
      <c r="GG32" s="328"/>
      <c r="GH32" s="328"/>
      <c r="GI32" s="328"/>
      <c r="GJ32" s="328"/>
      <c r="GK32" s="328"/>
      <c r="GL32" s="328"/>
      <c r="GM32" s="330"/>
      <c r="GN32" s="159"/>
      <c r="GO32" s="150"/>
      <c r="GP32" s="328"/>
      <c r="GQ32" s="328"/>
      <c r="GR32" s="328"/>
      <c r="GS32" s="328"/>
      <c r="GT32" s="328"/>
      <c r="GU32" s="328"/>
      <c r="GV32" s="328"/>
      <c r="GW32" s="328"/>
      <c r="GX32" s="328"/>
      <c r="GY32" s="328"/>
      <c r="GZ32" s="330"/>
      <c r="HA32" s="159"/>
      <c r="HB32" s="150"/>
      <c r="HC32" s="328"/>
      <c r="HD32" s="328"/>
      <c r="HE32" s="328"/>
      <c r="HF32" s="328"/>
      <c r="HG32" s="328"/>
      <c r="HH32" s="328"/>
      <c r="HI32" s="328"/>
      <c r="HJ32" s="328"/>
      <c r="HK32" s="328"/>
      <c r="HL32" s="328"/>
      <c r="HM32" s="330"/>
      <c r="HN32" s="159"/>
      <c r="HO32" s="150"/>
      <c r="HP32" s="328"/>
      <c r="HQ32" s="328"/>
      <c r="HR32" s="328"/>
      <c r="HS32" s="328"/>
      <c r="HT32" s="328"/>
      <c r="HU32" s="328"/>
      <c r="HV32" s="328"/>
      <c r="HW32" s="328"/>
      <c r="HX32" s="328"/>
      <c r="HY32" s="328"/>
      <c r="HZ32" s="330"/>
      <c r="IA32" s="159"/>
      <c r="IB32" s="150"/>
      <c r="IC32" s="328"/>
      <c r="ID32" s="328"/>
      <c r="IE32" s="328"/>
      <c r="IF32" s="328"/>
      <c r="IG32" s="328"/>
      <c r="IH32" s="328"/>
      <c r="II32" s="328"/>
      <c r="IJ32" s="328"/>
      <c r="IK32" s="328"/>
      <c r="IL32" s="328"/>
      <c r="IM32" s="330"/>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30"/>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30"/>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30"/>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30"/>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30"/>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30"/>
      <c r="N38" s="153"/>
      <c r="O38" s="153"/>
      <c r="P38" s="329"/>
      <c r="Q38" s="329"/>
      <c r="R38" s="329"/>
      <c r="S38" s="329"/>
      <c r="T38" s="329"/>
      <c r="U38" s="329"/>
      <c r="V38" s="329"/>
      <c r="W38" s="329"/>
      <c r="X38" s="329"/>
      <c r="Y38" s="329"/>
      <c r="Z38" s="329"/>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30"/>
      <c r="N39" s="153"/>
      <c r="O39" s="153"/>
      <c r="P39" s="329"/>
      <c r="Q39" s="329"/>
      <c r="R39" s="329"/>
      <c r="S39" s="329"/>
      <c r="T39" s="329"/>
      <c r="U39" s="329"/>
      <c r="V39" s="329"/>
      <c r="W39" s="329"/>
      <c r="X39" s="329"/>
      <c r="Y39" s="329"/>
      <c r="Z39" s="329"/>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30"/>
      <c r="N40" s="153"/>
      <c r="O40" s="153"/>
      <c r="P40" s="329"/>
      <c r="Q40" s="329"/>
      <c r="R40" s="329"/>
      <c r="S40" s="329"/>
      <c r="T40" s="329"/>
      <c r="U40" s="329"/>
      <c r="V40" s="329"/>
      <c r="W40" s="329"/>
      <c r="X40" s="329"/>
      <c r="Y40" s="329"/>
      <c r="Z40" s="329"/>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30"/>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30"/>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30"/>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30"/>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30"/>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30"/>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30"/>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30"/>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30"/>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30"/>
    </row>
    <row r="51" spans="1:256" x14ac:dyDescent="0.2">
      <c r="A51" s="159"/>
      <c r="B51" s="150"/>
      <c r="C51" s="328"/>
      <c r="D51" s="328"/>
      <c r="E51" s="328"/>
      <c r="F51" s="328"/>
      <c r="G51" s="328"/>
      <c r="H51" s="328"/>
      <c r="I51" s="328"/>
      <c r="J51" s="328"/>
      <c r="K51" s="328"/>
      <c r="L51" s="328"/>
      <c r="M51" s="330"/>
    </row>
    <row r="52" spans="1:256" x14ac:dyDescent="0.2">
      <c r="A52" s="159"/>
      <c r="B52" s="150"/>
      <c r="C52" s="328"/>
      <c r="D52" s="328"/>
      <c r="E52" s="328"/>
      <c r="F52" s="328"/>
      <c r="G52" s="328"/>
      <c r="H52" s="328"/>
      <c r="I52" s="328"/>
      <c r="J52" s="328"/>
      <c r="K52" s="328"/>
      <c r="L52" s="328"/>
      <c r="M52" s="330"/>
    </row>
    <row r="53" spans="1:256" x14ac:dyDescent="0.2">
      <c r="A53" s="159"/>
      <c r="B53" s="150"/>
      <c r="C53" s="328"/>
      <c r="D53" s="328"/>
      <c r="E53" s="328"/>
      <c r="F53" s="328"/>
      <c r="G53" s="328"/>
      <c r="H53" s="328"/>
      <c r="I53" s="328"/>
      <c r="J53" s="328"/>
      <c r="K53" s="328"/>
      <c r="L53" s="328"/>
      <c r="M53" s="330"/>
    </row>
    <row r="54" spans="1:256" x14ac:dyDescent="0.2">
      <c r="A54" s="159"/>
      <c r="B54" s="150"/>
      <c r="C54" s="328"/>
      <c r="D54" s="328"/>
      <c r="E54" s="328"/>
      <c r="F54" s="328"/>
      <c r="G54" s="328"/>
      <c r="H54" s="328"/>
      <c r="I54" s="328"/>
      <c r="J54" s="328"/>
      <c r="K54" s="328"/>
      <c r="L54" s="328"/>
      <c r="M54" s="330"/>
    </row>
    <row r="55" spans="1:256" x14ac:dyDescent="0.2">
      <c r="A55" s="159"/>
      <c r="B55" s="150"/>
      <c r="C55" s="328"/>
      <c r="D55" s="328"/>
      <c r="E55" s="328"/>
      <c r="F55" s="328"/>
      <c r="G55" s="328"/>
      <c r="H55" s="328"/>
      <c r="I55" s="328"/>
      <c r="J55" s="328"/>
      <c r="K55" s="328"/>
      <c r="L55" s="328"/>
      <c r="M55" s="330"/>
    </row>
    <row r="56" spans="1:256" x14ac:dyDescent="0.2">
      <c r="A56" s="159"/>
      <c r="B56" s="150"/>
      <c r="C56" s="328"/>
      <c r="D56" s="328"/>
      <c r="E56" s="328"/>
      <c r="F56" s="328"/>
      <c r="G56" s="328"/>
      <c r="H56" s="328"/>
      <c r="I56" s="328"/>
      <c r="J56" s="328"/>
      <c r="K56" s="328"/>
      <c r="L56" s="328"/>
      <c r="M56" s="330"/>
    </row>
    <row r="57" spans="1:256" x14ac:dyDescent="0.2">
      <c r="A57" s="159"/>
      <c r="B57" s="150"/>
      <c r="C57" s="328"/>
      <c r="D57" s="328"/>
      <c r="E57" s="328"/>
      <c r="F57" s="328"/>
      <c r="G57" s="328"/>
      <c r="H57" s="328"/>
      <c r="I57" s="328"/>
      <c r="J57" s="328"/>
      <c r="K57" s="328"/>
      <c r="L57" s="328"/>
      <c r="M57" s="330"/>
    </row>
    <row r="58" spans="1:256" x14ac:dyDescent="0.2">
      <c r="A58" s="159"/>
      <c r="B58" s="150"/>
      <c r="C58" s="328"/>
      <c r="D58" s="328"/>
      <c r="E58" s="328"/>
      <c r="F58" s="328"/>
      <c r="G58" s="328"/>
      <c r="H58" s="328"/>
      <c r="I58" s="328"/>
      <c r="J58" s="328"/>
      <c r="K58" s="328"/>
      <c r="L58" s="328"/>
      <c r="M58" s="330"/>
    </row>
    <row r="59" spans="1:256" x14ac:dyDescent="0.2">
      <c r="A59" s="159"/>
      <c r="B59" s="150"/>
      <c r="C59" s="328"/>
      <c r="D59" s="328"/>
      <c r="E59" s="328"/>
      <c r="F59" s="328"/>
      <c r="G59" s="328"/>
      <c r="H59" s="328"/>
      <c r="I59" s="328"/>
      <c r="J59" s="328"/>
      <c r="K59" s="328"/>
      <c r="L59" s="328"/>
      <c r="M59" s="330"/>
    </row>
    <row r="60" spans="1:256" x14ac:dyDescent="0.2">
      <c r="A60" s="159"/>
      <c r="B60" s="150"/>
      <c r="C60" s="328"/>
      <c r="D60" s="328"/>
      <c r="E60" s="328"/>
      <c r="F60" s="328"/>
      <c r="G60" s="328"/>
      <c r="H60" s="328"/>
      <c r="I60" s="328"/>
      <c r="J60" s="328"/>
      <c r="K60" s="328"/>
      <c r="L60" s="328"/>
      <c r="M60" s="330"/>
    </row>
    <row r="61" spans="1:256" x14ac:dyDescent="0.2">
      <c r="A61" s="159"/>
      <c r="B61" s="150"/>
      <c r="C61" s="328"/>
      <c r="D61" s="328"/>
      <c r="E61" s="328"/>
      <c r="F61" s="328"/>
      <c r="G61" s="328"/>
      <c r="H61" s="328"/>
      <c r="I61" s="328"/>
      <c r="J61" s="328"/>
      <c r="K61" s="328"/>
      <c r="L61" s="328"/>
      <c r="M61" s="330"/>
    </row>
    <row r="62" spans="1:256" x14ac:dyDescent="0.2">
      <c r="A62" s="159"/>
      <c r="B62" s="150"/>
      <c r="C62" s="328"/>
      <c r="D62" s="328"/>
      <c r="E62" s="328"/>
      <c r="F62" s="328"/>
      <c r="G62" s="328"/>
      <c r="H62" s="328"/>
      <c r="I62" s="328"/>
      <c r="J62" s="328"/>
      <c r="K62" s="328"/>
      <c r="L62" s="328"/>
      <c r="M62" s="330"/>
    </row>
    <row r="63" spans="1:256" x14ac:dyDescent="0.2">
      <c r="A63" s="159"/>
      <c r="B63" s="150"/>
      <c r="C63" s="328"/>
      <c r="D63" s="328"/>
      <c r="E63" s="328"/>
      <c r="F63" s="328"/>
      <c r="G63" s="328"/>
      <c r="H63" s="328"/>
      <c r="I63" s="328"/>
      <c r="J63" s="328"/>
      <c r="K63" s="328"/>
      <c r="L63" s="328"/>
      <c r="M63" s="330"/>
    </row>
    <row r="64" spans="1:256" x14ac:dyDescent="0.2">
      <c r="A64" s="159"/>
      <c r="B64" s="150"/>
      <c r="C64" s="328"/>
      <c r="D64" s="328"/>
      <c r="E64" s="328"/>
      <c r="F64" s="328"/>
      <c r="G64" s="328"/>
      <c r="H64" s="328"/>
      <c r="I64" s="328"/>
      <c r="J64" s="328"/>
      <c r="K64" s="328"/>
      <c r="L64" s="328"/>
      <c r="M64" s="330"/>
    </row>
    <row r="65" spans="1:13" x14ac:dyDescent="0.2">
      <c r="A65" s="159"/>
      <c r="B65" s="150"/>
      <c r="C65" s="328"/>
      <c r="D65" s="328"/>
      <c r="E65" s="328"/>
      <c r="F65" s="328"/>
      <c r="G65" s="328"/>
      <c r="H65" s="328"/>
      <c r="I65" s="328"/>
      <c r="J65" s="328"/>
      <c r="K65" s="328"/>
      <c r="L65" s="328"/>
      <c r="M65" s="330"/>
    </row>
    <row r="66" spans="1:13" x14ac:dyDescent="0.2">
      <c r="A66" s="159"/>
      <c r="B66" s="150"/>
      <c r="C66" s="328"/>
      <c r="D66" s="328"/>
      <c r="E66" s="328"/>
      <c r="F66" s="328"/>
      <c r="G66" s="328"/>
      <c r="H66" s="328"/>
      <c r="I66" s="328"/>
      <c r="J66" s="328"/>
      <c r="K66" s="328"/>
      <c r="L66" s="328"/>
      <c r="M66" s="330"/>
    </row>
    <row r="67" spans="1:13" x14ac:dyDescent="0.2">
      <c r="A67" s="159"/>
      <c r="B67" s="150"/>
      <c r="C67" s="328"/>
      <c r="D67" s="328"/>
      <c r="E67" s="328"/>
      <c r="F67" s="328"/>
      <c r="G67" s="328"/>
      <c r="H67" s="328"/>
      <c r="I67" s="328"/>
      <c r="J67" s="328"/>
      <c r="K67" s="328"/>
      <c r="L67" s="328"/>
      <c r="M67" s="330"/>
    </row>
    <row r="68" spans="1:13" x14ac:dyDescent="0.2">
      <c r="A68" s="159"/>
      <c r="B68" s="150"/>
      <c r="C68" s="328"/>
      <c r="D68" s="328"/>
      <c r="E68" s="328"/>
      <c r="F68" s="328"/>
      <c r="G68" s="328"/>
      <c r="H68" s="328"/>
      <c r="I68" s="328"/>
      <c r="J68" s="328"/>
      <c r="K68" s="328"/>
      <c r="L68" s="328"/>
      <c r="M68" s="330"/>
    </row>
    <row r="69" spans="1:13" x14ac:dyDescent="0.2">
      <c r="A69" s="159"/>
      <c r="B69" s="150"/>
      <c r="C69" s="328"/>
      <c r="D69" s="328"/>
      <c r="E69" s="328"/>
      <c r="F69" s="328"/>
      <c r="G69" s="328"/>
      <c r="H69" s="328"/>
      <c r="I69" s="328"/>
      <c r="J69" s="328"/>
      <c r="K69" s="328"/>
      <c r="L69" s="328"/>
      <c r="M69" s="330"/>
    </row>
    <row r="70" spans="1:13" ht="12" thickBot="1" x14ac:dyDescent="0.25">
      <c r="A70" s="160"/>
      <c r="B70" s="161"/>
      <c r="C70" s="339"/>
      <c r="D70" s="339"/>
      <c r="E70" s="339"/>
      <c r="F70" s="339"/>
      <c r="G70" s="339"/>
      <c r="H70" s="339"/>
      <c r="I70" s="339"/>
      <c r="J70" s="339"/>
      <c r="K70" s="339"/>
      <c r="L70" s="339"/>
      <c r="M70" s="340"/>
    </row>
    <row r="71" spans="1:13" ht="12" thickTop="1" x14ac:dyDescent="0.2">
      <c r="A71" s="151"/>
      <c r="B71" s="151"/>
      <c r="C71" s="152"/>
      <c r="D71" s="152"/>
      <c r="E71" s="152"/>
      <c r="F71" s="152"/>
      <c r="G71" s="152"/>
      <c r="H71" s="152"/>
      <c r="I71" s="152"/>
      <c r="J71" s="152"/>
      <c r="K71" s="152"/>
      <c r="L71" s="152"/>
    </row>
    <row r="72" spans="1:13" ht="12.75" x14ac:dyDescent="0.2">
      <c r="A72" s="341" t="s">
        <v>831</v>
      </c>
      <c r="B72" s="341"/>
      <c r="C72" s="341"/>
      <c r="D72" s="341"/>
      <c r="E72" s="341"/>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T91" workbookViewId="0">
      <selection activeCell="AF4" sqref="AF4:AF101"/>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79</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IFERROR(SMALL($T$4:$T$76,ROWS($T$4:T4)),"")</f>
        <v>73</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IFERROR(SMALL(AE4:$AE$101,ROWS($AE$4:AE4)),"")</f>
        <v>98</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IFERROR(SMALL($T$4:$T$76,ROWS($T$4:T5)),"")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IFERROR(SMALL(AE5:$AE$101,ROWS($AE$4:AE5)),"")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IFERROR(SMALL($T$4:$T$76,ROWS($T$4:T6)),"")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IFERROR(SMALL(AE6:$AE$101,ROWS($AE$4:AE6)),"")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IFERROR(SMALL($T$4:$T$76,ROWS($T$4:T7)),"")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IFERROR(SMALL(AE7:$AE$101,ROWS($AE$4:AE7)),"")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IFERROR(SMALL($T$4:$T$76,ROWS($T$4:T8)),"")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IFERROR(SMALL(AE8:$AE$101,ROWS($AE$4:AE8)),"")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IFERROR(SMALL($T$4:$T$76,ROWS($T$4:T9)),"")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IFERROR(SMALL(AE9:$AE$101,ROWS($AE$4:AE9)),"")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IFERROR(SMALL($T$4:$T$76,ROWS($T$4:T10)),"")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IFERROR(SMALL(AE10:$AE$101,ROWS($AE$4:AE10)),"")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IFERROR(SMALL($T$4:$T$76,ROWS($T$4:T11)),"")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IFERROR(SMALL(AE11:$AE$101,ROWS($AE$4:AE11)),"")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IFERROR(SMALL($T$4:$T$76,ROWS($T$4:T12)),"")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IFERROR(SMALL(AE12:$AE$101,ROWS($AE$4:AE12)),"")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IFERROR(SMALL($T$4:$T$76,ROWS($T$4:T13)),"")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IFERROR(SMALL(AE13:$AE$101,ROWS($AE$4:AE13)),"")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IFERROR(SMALL($T$4:$T$76,ROWS($T$4:T14)),"")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IFERROR(SMALL(AE14:$AE$101,ROWS($AE$4:AE14)),"")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IFERROR(SMALL($T$4:$T$76,ROWS($T$4:T15)),"")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IFERROR(SMALL(AE15:$AE$101,ROWS($AE$4:AE15)),"")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IFERROR(SMALL($T$4:$T$76,ROWS($T$4:T16)),"")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IFERROR(SMALL(AE16:$AE$101,ROWS($AE$4:AE16)),"")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IFERROR(SMALL($T$4:$T$76,ROWS($T$4:T17)),"")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IFERROR(SMALL(AE17:$AE$101,ROWS($AE$4:AE17)),"")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IFERROR(SMALL($T$4:$T$76,ROWS($T$4:T18)),"")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IFERROR(SMALL(AE18:$AE$101,ROWS($AE$4:AE18)),"")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IFERROR(SMALL($T$4:$T$76,ROWS($T$4:T19)),"")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IFERROR(SMALL(AE19:$AE$101,ROWS($AE$4:AE19)),"")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IFERROR(SMALL($T$4:$T$76,ROWS($T$4:T20)),"")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IFERROR(SMALL(AE20:$AE$101,ROWS($AE$4:AE20)),"")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IFERROR(SMALL($T$4:$T$76,ROWS($T$4:T21)),"")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IFERROR(SMALL(AE21:$AE$101,ROWS($AE$4:AE21)),"")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IFERROR(SMALL($T$4:$T$76,ROWS($T$4:T22)),"")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IFERROR(SMALL(AE22:$AE$101,ROWS($AE$4:AE22)),"")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IFERROR(SMALL($T$4:$T$76,ROWS($T$4:T23)),"")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IFERROR(SMALL(AE23:$AE$101,ROWS($AE$4:AE23)),"")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IFERROR(SMALL($T$4:$T$76,ROWS($T$4:T24)),"")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IFERROR(SMALL(AE24:$AE$101,ROWS($AE$4:AE24)),"")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IFERROR(SMALL($T$4:$T$76,ROWS($T$4:T25)),"")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IFERROR(SMALL(AE25:$AE$101,ROWS($AE$4:AE25)),"")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IFERROR(SMALL($T$4:$T$76,ROWS($T$4:T26)),"")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IFERROR(SMALL(AE26:$AE$101,ROWS($AE$4:AE26)),"")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IFERROR(SMALL($T$4:$T$76,ROWS($T$4:T27)),"")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IFERROR(SMALL(AE27:$AE$101,ROWS($AE$4:AE27)),"")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IFERROR(SMALL($T$4:$T$76,ROWS($T$4:T28)),"")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IFERROR(SMALL(AE28:$AE$101,ROWS($AE$4:AE28)),"")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IFERROR(SMALL($T$4:$T$76,ROWS($T$4:T29)),"")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IFERROR(SMALL(AE29:$AE$101,ROWS($AE$4:AE29)),"")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IFERROR(SMALL($T$4:$T$76,ROWS($T$4:T30)),"")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IFERROR(SMALL(AE30:$AE$101,ROWS($AE$4:AE30)),"")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IFERROR(SMALL($T$4:$T$76,ROWS($T$4:T31)),"")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IFERROR(SMALL(AE31:$AE$101,ROWS($AE$4:AE31)),"")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IFERROR(SMALL($T$4:$T$76,ROWS($T$4:T32)),"")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IFERROR(SMALL(AE32:$AE$101,ROWS($AE$4:AE32)),"")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IFERROR(SMALL($T$4:$T$76,ROWS($T$4:T33)),"")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IFERROR(SMALL(AE33:$AE$101,ROWS($AE$4:AE33)),"")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IFERROR(SMALL($T$4:$T$76,ROWS($T$4:T34)),"")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IFERROR(SMALL(AE34:$AE$101,ROWS($AE$4:AE34)),"")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IFERROR(SMALL($T$4:$T$76,ROWS($T$4:T35)),"")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IFERROR(SMALL(AE35:$AE$101,ROWS($AE$4:AE35)),"")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IFERROR(SMALL($T$4:$T$76,ROWS($T$4:T36)),"")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IFERROR(SMALL(AE36:$AE$101,ROWS($AE$4:AE36)),"")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IFERROR(SMALL($T$4:$T$76,ROWS($T$4:T37)),"")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IFERROR(SMALL(AE37:$AE$101,ROWS($AE$4:AE37)),"")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IFERROR(SMALL($T$4:$T$76,ROWS($T$4:T38)),"")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IFERROR(SMALL(AE38:$AE$101,ROWS($AE$4:AE38)),"")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IFERROR(SMALL($T$4:$T$76,ROWS($T$4:T39)),"")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IFERROR(SMALL(AE39:$AE$101,ROWS($AE$4:AE39)),"")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IFERROR(SMALL($T$4:$T$76,ROWS($T$4:T40)),"")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IFERROR(SMALL(AE40:$AE$101,ROWS($AE$4:AE40)),"")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IFERROR(SMALL($T$4:$T$76,ROWS($T$4:T41)),"")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IFERROR(SMALL(AE41:$AE$101,ROWS($AE$4:AE41)),"")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IFERROR(SMALL($T$4:$T$76,ROWS($T$4:T42)),"")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IFERROR(SMALL(AE42:$AE$101,ROWS($AE$4:AE42)),"")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IFERROR(SMALL($T$4:$T$76,ROWS($T$4:T43)),"")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IFERROR(SMALL(AE43:$AE$101,ROWS($AE$4:AE43)),"")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IFERROR(SMALL($T$4:$T$76,ROWS($T$4:T44)),"")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IFERROR(SMALL(AE44:$AE$101,ROWS($AE$4:AE44)),"")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IFERROR(SMALL($T$4:$T$76,ROWS($T$4:T45)),"")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IFERROR(SMALL(AE45:$AE$101,ROWS($AE$4:AE45)),"")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IFERROR(SMALL($T$4:$T$76,ROWS($T$4:T46)),"")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IFERROR(SMALL(AE46:$AE$101,ROWS($AE$4:AE46)),"")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IFERROR(SMALL($T$4:$T$76,ROWS($T$4:T47)),"")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IFERROR(SMALL(AE47:$AE$101,ROWS($AE$4:AE47)),"")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IFERROR(SMALL($T$4:$T$76,ROWS($T$4:T48)),"")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IFERROR(SMALL(AE48:$AE$101,ROWS($AE$4:AE48)),"")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IFERROR(SMALL($T$4:$T$76,ROWS($T$4:T49)),"")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IFERROR(SMALL(AE49:$AE$101,ROWS($AE$4:AE49)),"")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IFERROR(SMALL($T$4:$T$76,ROWS($T$4:T50)),"")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IFERROR(SMALL(AE50:$AE$101,ROWS($AE$4:AE50)),"")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IFERROR(SMALL($T$4:$T$76,ROWS($T$4:T51)),"")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IFERROR(SMALL(AE51:$AE$101,ROWS($AE$4:AE51)),"")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IFERROR(SMALL($T$4:$T$76,ROWS($T$4:T52)),"")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IFERROR(SMALL(AE52:$AE$101,ROWS($AE$4:AE52)),"")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IFERROR(SMALL($T$4:$T$76,ROWS($T$4:T53)),"")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IFERROR(SMALL(AE53:$AE$101,ROWS($AE$4:AE53)),"")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IFERROR(SMALL($T$4:$T$76,ROWS($T$4:T54)),"")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IFERROR(SMALL(AE54:$AE$101,ROWS($AE$4:AE54)),"")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IFERROR(SMALL($T$4:$T$76,ROWS($T$4:T55)),"")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IFERROR(SMALL(AE55:$AE$101,ROWS($AE$4:AE55)),"")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IFERROR(SMALL($T$4:$T$76,ROWS($T$4:T56)),"")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IFERROR(SMALL(AE56:$AE$101,ROWS($AE$4:AE56)),"")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IFERROR(SMALL($T$4:$T$76,ROWS($T$4:T57)),"")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IFERROR(SMALL(AE57:$AE$101,ROWS($AE$4:AE57)),"")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IFERROR(SMALL($T$4:$T$76,ROWS($T$4:T58)),"")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IFERROR(SMALL(AE58:$AE$101,ROWS($AE$4:AE58)),"")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IFERROR(SMALL($T$4:$T$76,ROWS($T$4:T59)),"")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IFERROR(SMALL(AE59:$AE$101,ROWS($AE$4:AE59)),"")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IFERROR(SMALL($T$4:$T$76,ROWS($T$4:T60)),"")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IFERROR(SMALL(AE60:$AE$101,ROWS($AE$4:AE60)),"")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IFERROR(SMALL($T$4:$T$76,ROWS($T$4:T61)),"")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IFERROR(SMALL(AE61:$AE$101,ROWS($AE$4:AE61)),"")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IFERROR(SMALL($T$4:$T$76,ROWS($T$4:T62)),"")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IFERROR(SMALL(AE62:$AE$101,ROWS($AE$4:AE62)),"")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IFERROR(SMALL($T$4:$T$76,ROWS($T$4:T63)),"")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IFERROR(SMALL(AE63:$AE$101,ROWS($AE$4:AE63)),"")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IFERROR(SMALL($T$4:$T$76,ROWS($T$4:T64)),"")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IFERROR(SMALL(AE64:$AE$101,ROWS($AE$4:AE64)),"")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IFERROR(SMALL($T$4:$T$76,ROWS($T$4:T65)),"")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IFERROR(SMALL(AE65:$AE$101,ROWS($AE$4:AE65)),"")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IFERROR(SMALL($T$4:$T$76,ROWS($T$4:T66)),"")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IFERROR(SMALL(AE66:$AE$101,ROWS($AE$4:AE66)),"")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IFERROR(SMALL($T$4:$T$76,ROWS($T$4:T67)),"")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IFERROR(SMALL(AE67:$AE$101,ROWS($AE$4:AE67)),"")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IFERROR(SMALL($T$4:$T$76,ROWS($T$4:T68)),"")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IFERROR(SMALL(AE68:$AE$101,ROWS($AE$4:AE68)),"")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IFERROR(SMALL($T$4:$T$76,ROWS($T$4:T69)),"")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IFERROR(SMALL(AE69:$AE$101,ROWS($AE$4:AE69)),"")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IFERROR(SMALL($T$4:$T$76,ROWS($T$4:T70)),"")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IFERROR(SMALL(AE70:$AE$101,ROWS($AE$4:AE70)),"")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IFERROR(SMALL($T$4:$T$76,ROWS($T$4:T71)),"")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IFERROR(SMALL(AE71:$AE$101,ROWS($AE$4:AE71)),"")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IFERROR(SMALL($T$4:$T$76,ROWS($T$4:T72)),"")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IFERROR(SMALL(AE72:$AE$101,ROWS($AE$4:AE72)),"")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IFERROR(SMALL($T$4:$T$76,ROWS($T$4:T73)),"")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IFERROR(SMALL(AE73:$AE$101,ROWS($AE$4:AE73)),"")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IFERROR(SMALL($T$4:$T$76,ROWS($T$4:T74)),"")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IFERROR(SMALL(AE74:$AE$101,ROWS($AE$4:AE74)),"")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IFERROR(SMALL($T$4:$T$76,ROWS($T$4:T75)),"")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IFERROR(SMALL(AE75:$AE$101,ROWS($AE$4:AE75)),"")</f>
        <v/>
      </c>
      <c r="AG75" s="257" t="b">
        <f t="shared" si="4"/>
        <v>0</v>
      </c>
      <c r="AH75">
        <v>227</v>
      </c>
      <c r="AI75">
        <v>227</v>
      </c>
      <c r="AJ75" t="s">
        <v>1083</v>
      </c>
      <c r="AK75">
        <v>21</v>
      </c>
      <c r="AL75" t="s">
        <v>1720</v>
      </c>
    </row>
    <row r="76" spans="1:38" ht="38.2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314">
        <v>165</v>
      </c>
      <c r="M76" s="314" t="s">
        <v>1013</v>
      </c>
      <c r="N76" s="314" t="s">
        <v>1816</v>
      </c>
      <c r="O76" s="314">
        <v>26505</v>
      </c>
      <c r="P76" s="280" t="s">
        <v>1525</v>
      </c>
      <c r="Q76" s="280">
        <v>14</v>
      </c>
      <c r="R76" s="314" t="s">
        <v>1689</v>
      </c>
      <c r="S76" s="282">
        <f>ROWS($Q$4:Q76)</f>
        <v>73</v>
      </c>
      <c r="T76" s="282">
        <f>IF('School Level Expenditures'!$B$2='School Tables'!L76,'School Tables'!S76,"")</f>
        <v>73</v>
      </c>
      <c r="U76" s="282" t="str">
        <f>IFERROR(SMALL($T$4:$T$76,ROWS($T$4:T76)),"")</f>
        <v/>
      </c>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IFERROR(SMALL(AE76:$AE$101,ROWS($AE$4:AE76)),"")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IFERROR(SMALL(AE77:$AE$101,ROWS($AE$4:AE77)),"")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IFERROR(SMALL(AE78:$AE$101,ROWS($AE$4:AE78)),"")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IFERROR(SMALL(AE79:$AE$101,ROWS($AE$4:AE79)),"")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IFERROR(SMALL(AE80:$AE$101,ROWS($AE$4:AE80)),"")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IFERROR(SMALL(AE81:$AE$101,ROWS($AE$4:AE81)),"")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f>IF('School Level Expenditures'!$B$2=A82,'School Tables'!H82,"")</f>
        <v>79</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IFERROR(SMALL(AE82:$AE$101,ROWS($AE$4:AE82)),"")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IFERROR(SMALL(AE83:$AE$101,ROWS($AE$4:AE83)),"")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IFERROR(SMALL(AE84:$AE$101,ROWS($AE$4:AE84)),"")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IFERROR(SMALL(AE85:$AE$101,ROWS($AE$4:AE85)),"")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IFERROR(SMALL(AE86:$AE$101,ROWS($AE$4:AE86)),"")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IFERROR(SMALL(AE87:$AE$101,ROWS($AE$4:AE87)),"")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IFERROR(SMALL(AE88:$AE$101,ROWS($AE$4:AE88)),"")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IFERROR(SMALL(AE89:$AE$101,ROWS($AE$4:AE89)),"")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IFERROR(SMALL(AE90:$AE$101,ROWS($AE$4:AE90)),"")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IFERROR(SMALL(AE91:$AE$101,ROWS($AE$4:AE91)),"")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IFERROR(SMALL(AE92:$AE$101,ROWS($AE$4:AE92)),"")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IFERROR(SMALL(AE93:$AE$101,ROWS($AE$4:AE93)),"")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IFERROR(SMALL(AE94:$AE$101,ROWS($AE$4:AE94)),"")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IFERROR(SMALL(AE95:$AE$101,ROWS($AE$4:AE95)),"")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IFERROR(SMALL(AE96:$AE$101,ROWS($AE$4:AE96)),"")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IFERROR(SMALL(AE97:$AE$101,ROWS($AE$4:AE97)),"")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IFERROR(SMALL(AE98:$AE$101,ROWS($AE$4:AE98)),"")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IFERROR(SMALL(AE99:$AE$101,ROWS($AE$4:AE99)),"")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IFERROR(SMALL(AE100:$AE$101,ROWS($AE$4:AE100)),"")</f>
        <v/>
      </c>
      <c r="AG100" s="257" t="b">
        <f t="shared" ref="AG100:AG101" si="7">Y101=Y102</f>
        <v>0</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314">
        <v>165</v>
      </c>
      <c r="X101" s="314" t="s">
        <v>1013</v>
      </c>
      <c r="Y101" s="314" t="s">
        <v>1817</v>
      </c>
      <c r="Z101" s="314">
        <v>20515</v>
      </c>
      <c r="AA101" s="280" t="s">
        <v>1526</v>
      </c>
      <c r="AB101" s="314">
        <v>14</v>
      </c>
      <c r="AC101" s="314" t="s">
        <v>1689</v>
      </c>
      <c r="AD101" s="282">
        <f>ROWS($AC$4:AC101)</f>
        <v>98</v>
      </c>
      <c r="AE101" s="282">
        <f>IF('School Level Expenditures'!$B$2='School Tables'!W101,'School Tables'!AD101,"")</f>
        <v>98</v>
      </c>
      <c r="AF101" s="282" t="str">
        <f>IFERROR(SMALL(AE101:$AE$101,ROWS($AE$4:AE101)),"")</f>
        <v/>
      </c>
      <c r="AG101" s="257" t="b">
        <f t="shared" si="7"/>
        <v>1</v>
      </c>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8">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8"/>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8"/>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8"/>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8"/>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8"/>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8"/>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8"/>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8"/>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8"/>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8"/>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8"/>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8"/>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8"/>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8"/>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8"/>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8"/>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8"/>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8"/>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8"/>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8"/>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8"/>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8"/>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8"/>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8"/>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8"/>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8"/>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8"/>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8"/>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8"/>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8"/>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8"/>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8"/>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8"/>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8"/>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8"/>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8"/>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8"/>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8"/>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8"/>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8"/>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8"/>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8"/>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8"/>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8"/>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8"/>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8"/>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8"/>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8"/>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8"/>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8"/>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8"/>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8"/>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8"/>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8"/>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8"/>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8"/>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8"/>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8"/>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8"/>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8"/>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8"/>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8"/>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8"/>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9">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9"/>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9"/>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9"/>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9"/>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9"/>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9"/>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9"/>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9"/>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9"/>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9"/>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9"/>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9"/>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9"/>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9"/>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9"/>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9"/>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9"/>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9"/>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9"/>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9"/>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9"/>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9"/>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9"/>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9"/>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9"/>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9"/>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9"/>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9"/>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9"/>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9"/>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9"/>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9"/>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9"/>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9"/>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9"/>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9"/>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9"/>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9"/>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9"/>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9"/>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9"/>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9"/>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9"/>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9"/>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9"/>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9"/>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9"/>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9"/>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9"/>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9"/>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9"/>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9"/>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9"/>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9"/>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9"/>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9"/>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9"/>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9"/>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9"/>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9"/>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9"/>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9"/>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9"/>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10">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10"/>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10"/>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10"/>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10"/>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10"/>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10"/>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10"/>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10"/>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10"/>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10"/>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10"/>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10"/>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10"/>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10"/>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10"/>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10"/>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10"/>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10"/>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10"/>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10"/>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10"/>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10"/>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10"/>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10"/>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10"/>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10"/>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10"/>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10"/>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10"/>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10"/>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10"/>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10"/>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10"/>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10"/>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10"/>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10"/>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10"/>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10"/>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10"/>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10"/>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10"/>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10"/>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10"/>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10"/>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10"/>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10"/>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10"/>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10"/>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10"/>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10"/>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10"/>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10"/>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10"/>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10"/>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10"/>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10"/>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10"/>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10"/>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10"/>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10"/>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10"/>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10"/>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10"/>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1">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101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2023-08-29T19:03:51Z</cp:lastPrinted>
  <dcterms:created xsi:type="dcterms:W3CDTF">1997-12-04T19:04:30Z</dcterms:created>
  <dcterms:modified xsi:type="dcterms:W3CDTF">2024-01-05T12:17:18Z</dcterms:modified>
</cp:coreProperties>
</file>