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F28F9D5D-3025-47A5-9D69-5BD804E1864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6" i="1" l="1"/>
  <c r="E9" i="17" l="1"/>
  <c r="I277" i="1" l="1"/>
  <c r="H277" i="1"/>
  <c r="B36" i="16" l="1"/>
  <c r="F23" i="1" l="1"/>
  <c r="H401" i="1" l="1"/>
  <c r="F36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I170" i="1"/>
  <c r="H79" i="2" l="1"/>
  <c r="H125" i="2"/>
  <c r="H43" i="2"/>
  <c r="E112" i="2"/>
  <c r="J652" i="1"/>
  <c r="H30" i="2"/>
  <c r="E111" i="2"/>
  <c r="G663" i="1"/>
  <c r="C112" i="2"/>
  <c r="C12" i="10"/>
  <c r="C120" i="2"/>
  <c r="H100" i="2"/>
  <c r="H132" i="2"/>
  <c r="G662" i="1"/>
  <c r="H48" i="2"/>
  <c r="I409" i="1"/>
  <c r="H143" i="2"/>
  <c r="H477" i="1"/>
  <c r="H625" i="1" s="1"/>
  <c r="J625" i="1" s="1"/>
  <c r="G62" i="2"/>
  <c r="G477" i="1"/>
  <c r="H36" i="2"/>
  <c r="M2" i="14"/>
  <c r="M3" i="14" s="1"/>
  <c r="C13" i="10"/>
  <c r="G409" i="1"/>
  <c r="H646" i="1" s="1"/>
  <c r="J646" i="1" s="1"/>
  <c r="C110" i="2"/>
  <c r="E121" i="2"/>
  <c r="L2" i="14"/>
  <c r="L3" i="14" s="1"/>
  <c r="D29" i="13"/>
  <c r="C29" i="13" s="1"/>
  <c r="I112" i="1"/>
  <c r="H15" i="2"/>
  <c r="H94" i="2"/>
  <c r="H69" i="2"/>
  <c r="H29" i="2"/>
  <c r="D15" i="13"/>
  <c r="C15" i="13" s="1"/>
  <c r="H113" i="2"/>
  <c r="H93" i="2"/>
  <c r="H80" i="2"/>
  <c r="H102" i="2"/>
  <c r="H25" i="2"/>
  <c r="D144" i="2"/>
  <c r="H34" i="2"/>
  <c r="H13" i="2"/>
  <c r="H58" i="2"/>
  <c r="H44" i="2"/>
  <c r="H112" i="2"/>
  <c r="H28" i="2"/>
  <c r="H24" i="2"/>
  <c r="D18" i="13"/>
  <c r="C18" i="13" s="1"/>
  <c r="H87" i="2"/>
  <c r="H77" i="2"/>
  <c r="H35" i="2"/>
  <c r="H120" i="2"/>
  <c r="H76" i="2"/>
  <c r="H47" i="2"/>
  <c r="H85" i="2"/>
  <c r="H17" i="2"/>
  <c r="H101" i="2"/>
  <c r="H97" i="2"/>
  <c r="H61" i="2"/>
  <c r="H99" i="2"/>
  <c r="H23" i="2"/>
  <c r="H96" i="2"/>
  <c r="H26" i="2"/>
  <c r="H59" i="2"/>
  <c r="H8" i="2"/>
  <c r="H98" i="2"/>
  <c r="H89" i="2"/>
  <c r="H72" i="2"/>
  <c r="H9" i="2"/>
  <c r="E13" i="13"/>
  <c r="C13" i="13" s="1"/>
  <c r="C121" i="2"/>
  <c r="H121" i="2" s="1"/>
  <c r="N2" i="14"/>
  <c r="N3" i="14" s="1"/>
  <c r="D6" i="13"/>
  <c r="C6" i="13" s="1"/>
  <c r="K2" i="14"/>
  <c r="K3" i="14" s="1"/>
  <c r="H22" i="2"/>
  <c r="H12" i="2"/>
  <c r="H11"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F194" i="1"/>
  <c r="G628" i="1" s="1"/>
  <c r="J628" i="1" s="1"/>
  <c r="I662" i="1"/>
  <c r="H110" i="2"/>
  <c r="L572" i="1"/>
  <c r="H57" i="2"/>
  <c r="H122" i="2"/>
  <c r="G24" i="14"/>
  <c r="H24" i="14" s="1"/>
  <c r="I24" i="14" s="1"/>
  <c r="I663" i="1"/>
  <c r="D51" i="2"/>
  <c r="H21" i="2"/>
  <c r="H118" i="2"/>
  <c r="H62" i="2"/>
  <c r="H42" i="2"/>
  <c r="H16" i="2"/>
  <c r="H78" i="2"/>
  <c r="E128" i="2"/>
  <c r="D128" i="2"/>
  <c r="D145" i="2" s="1"/>
  <c r="H127" i="2"/>
  <c r="H50" i="2"/>
  <c r="E51" i="2"/>
  <c r="H134" i="2"/>
  <c r="H31" i="2"/>
  <c r="H18" i="2"/>
  <c r="H103" i="2"/>
  <c r="H91" i="2"/>
  <c r="C81" i="2"/>
  <c r="H81" i="2"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C144" i="2"/>
  <c r="H144" i="2" s="1"/>
  <c r="H141" i="2"/>
  <c r="H5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<sst xmlns="http://schemas.openxmlformats.org/spreadsheetml/2006/main" count="6558" uniqueCount="1813">
  <si>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</si>
  <si>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</si>
  <si>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</si>
  <si>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</si>
  <si>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</si>
  <si>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</si>
  <si>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</si>
  <si>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</si>
  <si>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</si>
  <si>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</si>
  <si>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</si>
  <si>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</si>
  <si>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</si>
  <si>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</si>
  <si>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</si>
  <si>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</si>
  <si>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</si>
  <si>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</si>
  <si>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</si>
  <si>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</si>
  <si>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</si>
  <si>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</si>
  <si>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</si>
  <si>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</si>
  <si>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</si>
  <si>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</si>
  <si>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</si>
  <si>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</si>
  <si>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</si>
  <si>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</si>
  <si>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</si>
  <si>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</si>
  <si>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</si>
  <si>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</si>
  <si>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</si>
  <si>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</si>
  <si>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</si>
  <si>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</si>
  <si>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</si>
  <si>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</si>
  <si>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</si>
  <si>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</si>
  <si>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</si>
  <si>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</si>
  <si>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</si>
  <si>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</si>
  <si>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</si>
  <si>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</si>
  <si>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</si>
  <si>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</si>
  <si>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</si>
  <si>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</si>
  <si>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</si>
  <si>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</si>
  <si>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</si>
  <si>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</si>
  <si>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</si>
  <si>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</si>
  <si>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</si>
  <si>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</si>
  <si>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</si>
  <si>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</si>
  <si>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</si>
  <si>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</si>
  <si>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</si>
  <si>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</si>
  <si>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</si>
  <si>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</si>
  <si>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</si>
  <si>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</si>
  <si>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</si>
  <si>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</si>
  <si>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</si>
  <si>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</si>
  <si>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</si>
  <si>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</si>
  <si>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</si>
  <si>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</si>
  <si>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</si>
  <si>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</si>
  <si>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</si>
  <si>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</si>
  <si>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</si>
  <si>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</si>
  <si>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</si>
  <si>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</si>
  <si>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</si>
  <si>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</si>
  <si>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</si>
  <si>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</si>
  <si>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</si>
  <si>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</si>
  <si>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</si>
  <si>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</si>
  <si>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</si>
  <si>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</si>
  <si>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</si>
  <si>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</si>
  <si>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</si>
  <si>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</si>
  <si>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</si>
  <si>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</si>
  <si>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</si>
  <si>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</si>
  <si>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</si>
  <si>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</si>
  <si>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</si>
  <si>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</si>
  <si>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</si>
  <si>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</si>
  <si>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</si>
  <si>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</si>
  <si>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</si>
  <si>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</si>
  <si>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</si>
  <si>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</si>
  <si>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</si>
  <si>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</si>
  <si>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</si>
  <si>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</si>
  <si>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</si>
  <si>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</si>
  <si>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</si>
  <si>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</si>
  <si>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</si>
  <si>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</si>
  <si>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</si>
  <si>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</si>
  <si>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</si>
  <si>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</si>
  <si>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</si>
  <si>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</si>
  <si>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</si>
  <si>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</si>
  <si>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</si>
  <si>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</si>
  <si>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</si>
  <si>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</si>
  <si>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</si>
  <si>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</si>
  <si>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</si>
  <si>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</si>
  <si>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</si>
  <si>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</si>
  <si>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</si>
  <si>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</si>
  <si>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</si>
  <si>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</si>
  <si>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</si>
  <si>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</si>
  <si>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</si>
  <si>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</si>
  <si>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</si>
  <si>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</si>
  <si>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</si>
  <si>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</si>
  <si>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</si>
  <si>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</si>
  <si>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</si>
  <si>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</si>
  <si>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</si>
  <si>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</si>
  <si>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</si>
  <si>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</si>
  <si>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</si>
  <si>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</si>
  <si>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</si>
  <si>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</si>
  <si>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</si>
  <si>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</si>
  <si>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</si>
  <si>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</si>
  <si>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</si>
  <si>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</si>
  <si>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</si>
  <si>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</si>
  <si>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</si>
  <si>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</si>
  <si>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</si>
  <si>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</si>
  <si>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</si>
  <si>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</si>
  <si>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</si>
  <si>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</si>
  <si>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</si>
  <si>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</si>
  <si>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</si>
  <si>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</si>
  <si>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</si>
  <si>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</si>
  <si>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</si>
  <si>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</si>
  <si>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</si>
  <si>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</si>
  <si>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</si>
  <si>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</si>
  <si>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</si>
  <si>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</si>
  <si>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</si>
  <si>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</si>
  <si>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</si>
  <si>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</si>
  <si>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</si>
  <si>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</si>
  <si>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</si>
  <si>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</si>
  <si>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</si>
  <si>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</si>
  <si>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</si>
  <si>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</si>
  <si>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</si>
  <si>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</si>
  <si>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</si>
  <si>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</si>
  <si>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</si>
  <si>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</si>
  <si>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</si>
  <si>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</si>
  <si>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</si>
  <si>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</si>
  <si>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</si>
  <si>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</si>
  <si>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</si>
  <si>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</si>
  <si>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</si>
  <si>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</si>
  <si>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</si>
  <si>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</si>
  <si>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</si>
  <si>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</si>
  <si>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</si>
  <si>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</si>
  <si>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</si>
  <si>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</si>
  <si>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</si>
  <si>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</si>
  <si>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</si>
  <si>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</si>
  <si>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</si>
  <si>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</si>
  <si>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</si>
  <si>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</si>
  <si>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</si>
  <si>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</si>
  <si>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</si>
  <si>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</si>
  <si>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</si>
  <si>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</si>
  <si>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</si>
  <si>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</si>
  <si>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</si>
  <si>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</si>
  <si>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</si>
  <si>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</si>
  <si>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</si>
  <si>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</si>
  <si>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</si>
  <si>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</si>
  <si>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</si>
  <si>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</si>
  <si>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</si>
  <si>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</si>
  <si>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</si>
  <si>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</si>
  <si>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</si>
  <si>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</si>
  <si>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</si>
  <si>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</si>
  <si>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</si>
  <si>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</si>
  <si>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</si>
  <si>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</si>
  <si>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</si>
  <si>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</si>
  <si>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</si>
  <si>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</si>
  <si>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</si>
  <si>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</si>
  <si>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</si>
  <si>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</si>
  <si>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</si>
  <si>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</si>
  <si>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</si>
  <si>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</si>
  <si>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</si>
  <si>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</si>
  <si>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</si>
  <si>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</si>
  <si>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</si>
  <si>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</si>
  <si>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</si>
  <si>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</si>
  <si>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</si>
  <si>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</si>
  <si>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</si>
  <si>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</si>
  <si>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</si>
  <si>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</si>
  <si>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</si>
  <si>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</si>
  <si>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</si>
  <si>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</si>
  <si>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</si>
  <si>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</si>
  <si>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</si>
  <si>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</si>
  <si>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</si>
  <si>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</si>
  <si>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</si>
  <si>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</si>
  <si>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</si>
  <si>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</si>
  <si>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</si>
  <si>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</si>
  <si>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</si>
  <si>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</si>
  <si>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</si>
  <si>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</si>
  <si>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</si>
  <si>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</si>
  <si>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</si>
  <si>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</si>
  <si>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</si>
  <si>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</si>
  <si>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</si>
  <si>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</si>
  <si>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</si>
  <si>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</si>
  <si>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</si>
  <si>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</si>
  <si>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</si>
  <si>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</si>
  <si>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</si>
  <si>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</si>
  <si>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</si>
  <si>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</si>
  <si>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</si>
  <si>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</si>
  <si>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</si>
  <si>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</si>
  <si>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</si>
  <si>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</si>
  <si>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</si>
  <si>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</si>
  <si>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</si>
  <si>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</si>
  <si>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</si>
  <si>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</si>
  <si>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</si>
  <si>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</si>
  <si>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</si>
  <si>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</si>
  <si>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</si>
  <si>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</si>
  <si>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</si>
  <si>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</si>
  <si>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</si>
  <si>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</si>
  <si>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</si>
  <si>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</si>
  <si>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</si>
  <si>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</si>
  <si>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</si>
  <si>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</si>
  <si>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</si>
  <si>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</si>
  <si>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</si>
  <si>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</si>
  <si>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</si>
  <si>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</si>
  <si>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</si>
  <si>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</si>
  <si>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</si>
  <si>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</si>
  <si>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</si>
  <si>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</si>
  <si>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</si>
  <si>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</si>
  <si>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</si>
  <si>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</si>
  <si>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</si>
  <si>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</si>
  <si>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</si>
  <si>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</si>
  <si>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</si>
  <si>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</si>
  <si>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</si>
  <si>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</si>
  <si>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</si>
  <si>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</si>
  <si>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</si>
  <si>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</si>
  <si>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</si>
  <si>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</si>
  <si>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</si>
  <si>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</si>
  <si>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</si>
  <si>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</si>
  <si>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</si>
  <si>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</si>
  <si>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</si>
  <si>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</si>
  <si>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</si>
  <si>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</si>
  <si>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</si>
  <si>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</si>
  <si>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</si>
  <si>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</si>
  <si>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</si>
  <si>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</si>
  <si>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</si>
  <si>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</si>
  <si>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</si>
  <si>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</si>
  <si>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</si>
  <si>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</si>
  <si>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</si>
  <si>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</si>
  <si>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</si>
  <si>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</si>
  <si>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</si>
  <si>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</si>
  <si>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</si>
  <si>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</si>
  <si>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</si>
  <si>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</si>
  <si>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</si>
  <si>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</si>
  <si>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</si>
  <si>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</si>
  <si>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</si>
  <si>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</si>
  <si>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</si>
  <si>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</si>
  <si>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</si>
  <si>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</si>
  <si>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</si>
  <si>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</si>
  <si>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</si>
  <si>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</si>
  <si>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</si>
  <si>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</si>
  <si>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</si>
  <si>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</si>
  <si>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</si>
  <si>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</si>
  <si>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</si>
  <si>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</si>
  <si>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</si>
  <si>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</si>
  <si>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</si>
  <si>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</si>
  <si>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</si>
  <si>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</si>
  <si>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</si>
  <si>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</si>
  <si>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</si>
  <si>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</si>
  <si>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</si>
  <si>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</si>
  <si>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</si>
  <si>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</si>
  <si>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</si>
  <si>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</si>
  <si>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</si>
  <si>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</si>
  <si>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</si>
  <si>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</si>
  <si>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</si>
  <si>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</si>
  <si>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</si>
  <si>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</si>
  <si>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</si>
  <si>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</si>
  <si>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</si>
  <si>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</si>
  <si>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</si>
  <si>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</si>
  <si>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</si>
  <si>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</si>
  <si>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</si>
  <si>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</si>
  <si>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</si>
  <si>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</si>
  <si>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</si>
  <si>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</si>
  <si>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</si>
  <si>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</si>
  <si>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</si>
  <si>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</si>
  <si>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</si>
  <si>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</si>
  <si>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</si>
  <si>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</si>
  <si>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</si>
  <si>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</si>
  <si>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</si>
  <si>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</si>
  <si>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</si>
  <si>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</si>
  <si>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</si>
  <si>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</si>
  <si>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</si>
  <si>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</si>
  <si>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</si>
  <si>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</si>
  <si>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</si>
  <si>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</si>
  <si>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</si>
  <si>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</si>
  <si>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</si>
  <si>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</si>
  <si>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</si>
  <si>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</si>
  <si>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</si>
  <si>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</si>
  <si>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</si>
  <si>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</si>
  <si>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</si>
  <si>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</si>
  <si>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</si>
  <si>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</si>
  <si>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</si>
  <si>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</si>
  <si>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</si>
  <si>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</si>
  <si>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</si>
  <si>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</si>
  <si>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</si>
  <si>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</si>
  <si>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</si>
  <si>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</si>
  <si>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</si>
  <si>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</si>
  <si>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</si>
  <si>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</si>
  <si>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</si>
  <si>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</si>
  <si>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</si>
  <si>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</si>
  <si>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</si>
  <si>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</si>
  <si>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</si>
  <si>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</si>
  <si>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</si>
  <si>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</si>
  <si>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</si>
  <si>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</si>
  <si>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</si>
  <si>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</si>
  <si>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</si>
  <si>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</si>
  <si>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</si>
  <si>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</si>
  <si>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</si>
  <si>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</si>
  <si>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</si>
  <si>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</si>
  <si>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</si>
  <si>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</si>
  <si>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</si>
  <si>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</si>
  <si>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</si>
  <si>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</si>
  <si>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</si>
  <si>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</si>
  <si>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</si>
  <si>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</si>
  <si>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</si>
  <si>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</si>
  <si>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</si>
  <si>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</si>
  <si>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</si>
  <si>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</si>
  <si>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</si>
  <si>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</si>
  <si>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</si>
  <si>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</si>
  <si>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</si>
  <si>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</si>
  <si>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</si>
  <si>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</si>
  <si>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</si>
  <si>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</si>
  <si>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</si>
  <si>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</si>
  <si>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</si>
  <si>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</si>
  <si>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</si>
  <si>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</si>
  <si>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</si>
  <si>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</si>
  <si>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</si>
  <si>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</si>
  <si>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</si>
  <si>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</si>
  <si>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</si>
  <si>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</si>
  <si>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</si>
  <si>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</si>
  <si>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</si>
  <si>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</si>
  <si>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</si>
  <si>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</si>
  <si>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</si>
  <si>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</si>
  <si>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</si>
  <si>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</si>
  <si>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</si>
  <si>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</si>
  <si>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</si>
  <si>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</si>
  <si>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</si>
  <si>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</si>
  <si>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</si>
  <si>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</si>
  <si>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</si>
  <si>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</si>
  <si>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</si>
  <si>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</si>
  <si>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</si>
  <si>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</si>
  <si>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</si>
  <si>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</si>
  <si>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</si>
  <si>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</si>
  <si>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</si>
  <si>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</si>
  <si>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</si>
  <si>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</si>
  <si>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</si>
  <si>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</si>
  <si>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</si>
  <si>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</si>
  <si>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</si>
  <si>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</si>
  <si>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</si>
  <si>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</si>
  <si>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</si>
  <si>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</si>
  <si>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</si>
  <si>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</si>
  <si>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</si>
  <si>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</si>
  <si>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</si>
  <si>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</si>
  <si>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</si>
  <si>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</si>
  <si>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</si>
  <si>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</si>
  <si>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</si>
  <si>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</si>
  <si>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</si>
  <si>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</si>
  <si>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</si>
  <si>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</si>
  <si>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</si>
  <si>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</si>
  <si>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</si>
  <si>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</si>
  <si>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</si>
  <si>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</si>
  <si>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</si>
  <si>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</si>
  <si>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</si>
  <si>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</si>
  <si>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</si>
  <si>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</si>
  <si>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</si>
  <si>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</si>
  <si>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</si>
  <si>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</si>
  <si>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</si>
  <si>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</si>
  <si>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</si>
  <si>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</si>
  <si>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</si>
  <si>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</si>
  <si>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</si>
  <si>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</si>
  <si>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</si>
  <si>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</si>
  <si>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</si>
  <si>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</si>
  <si>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</si>
  <si>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</si>
  <si>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</si>
  <si>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</si>
  <si>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</si>
  <si>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</si>
  <si>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</si>
  <si>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</si>
  <si>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</si>
  <si>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</si>
  <si>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</si>
  <si>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</si>
  <si>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</si>
  <si>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</si>
  <si>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</si>
  <si>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</si>
  <si>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</si>
  <si>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</si>
  <si>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</si>
  <si>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</si>
  <si>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</si>
  <si>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</si>
  <si>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</si>
  <si>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</si>
  <si>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</si>
  <si>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</si>
  <si>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</si>
  <si>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</si>
  <si>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</si>
  <si>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</si>
  <si>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</si>
  <si>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</si>
  <si>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</si>
  <si>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</si>
  <si>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</si>
  <si>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</si>
  <si>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</si>
  <si>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</si>
  <si>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</si>
  <si>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</si>
  <si>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</si>
  <si>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</si>
  <si>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</si>
  <si>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</si>
  <si>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</si>
  <si>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</si>
  <si>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</si>
  <si>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</si>
  <si>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</si>
  <si>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</si>
  <si>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</si>
  <si>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</si>
  <si>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</si>
  <si>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</si>
  <si>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</si>
  <si>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</si>
  <si>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</si>
  <si>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</si>
  <si>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</si>
  <si>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</si>
  <si>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</si>
  <si>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</si>
  <si>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</si>
  <si>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</si>
  <si>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</si>
  <si>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</si>
  <si>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</si>
  <si>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</si>
  <si>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</si>
  <si>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</si>
  <si>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</si>
  <si>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</si>
  <si>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</si>
  <si>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</si>
  <si>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</si>
  <si>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</si>
  <si>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</si>
  <si>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</si>
  <si>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</si>
  <si>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</si>
  <si>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</si>
  <si>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</si>
  <si>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</si>
  <si>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</si>
  <si>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</si>
  <si>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</si>
  <si>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</si>
  <si>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</si>
  <si>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</si>
  <si>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</si>
  <si>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</si>
  <si>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</si>
  <si>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</si>
  <si>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</si>
  <si>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</si>
  <si>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</si>
  <si>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</si>
  <si>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</si>
  <si>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</si>
  <si>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</si>
  <si>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</si>
  <si>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</si>
  <si>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</si>
  <si>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</si>
  <si>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</si>
  <si>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</si>
  <si>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</si>
  <si>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</si>
  <si>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</si>
  <si>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</si>
  <si>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</si>
  <si>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</si>
  <si>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</si>
  <si>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</si>
  <si>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</si>
  <si>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</si>
  <si>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</si>
  <si>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</si>
  <si>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</si>
  <si>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</si>
  <si>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</si>
  <si>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</si>
  <si>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</si>
  <si>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</si>
  <si>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</si>
  <si>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</si>
  <si>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</si>
  <si>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</si>
  <si>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</si>
  <si>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</si>
  <si>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</si>
  <si>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</si>
  <si>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</si>
  <si>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</si>
  <si>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</si>
  <si>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</si>
  <si>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</si>
  <si>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</si>
  <si>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</si>
  <si>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</si>
  <si>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</si>
  <si>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</si>
  <si>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</si>
  <si>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</si>
  <si>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</si>
  <si>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</si>
  <si>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</si>
  <si>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</si>
  <si>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</si>
  <si>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</si>
  <si>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</si>
  <si>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</si>
  <si>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</si>
  <si>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</si>
  <si>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</si>
  <si>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</si>
  <si>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</si>
  <si>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</si>
  <si>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</si>
  <si>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</si>
  <si>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</si>
  <si>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</si>
  <si>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</si>
  <si>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</si>
  <si>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</si>
  <si>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</si>
  <si>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</si>
  <si>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</si>
  <si>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</si>
  <si>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</si>
  <si>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</si>
  <si>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</si>
  <si>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</si>
  <si>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</si>
  <si>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</si>
  <si>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</si>
  <si>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</si>
  <si>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</si>
  <si>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</si>
  <si>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</si>
  <si>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</si>
  <si>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</si>
  <si>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</si>
  <si>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</si>
  <si>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</si>
  <si>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</si>
  <si>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</si>
  <si>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</si>
  <si>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</si>
  <si>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</si>
  <si>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</si>
  <si>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</si>
  <si>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</si>
  <si>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</si>
  <si>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</si>
  <si>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</si>
  <si>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</si>
  <si>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</si>
  <si>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</si>
  <si>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</si>
  <si>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</si>
  <si>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</si>
  <si>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</si>
  <si>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</si>
  <si>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</si>
  <si>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</si>
  <si>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</si>
  <si>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</si>
  <si>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</si>
  <si>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</si>
  <si>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</si>
  <si>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</si>
  <si>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</si>
  <si>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</si>
  <si>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</si>
  <si>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</si>
  <si>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</si>
  <si>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</si>
  <si>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</si>
  <si>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</si>
  <si>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</si>
  <si>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</si>
  <si>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</si>
  <si>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</si>
  <si>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</si>
  <si>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</si>
  <si>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</si>
  <si>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</si>
  <si>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</si>
  <si>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</si>
  <si>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</si>
  <si>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</si>
  <si>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</si>
  <si>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</si>
  <si>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</si>
  <si>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</si>
  <si>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</si>
  <si>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</si>
  <si>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</si>
  <si>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</si>
  <si>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</si>
  <si>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</si>
  <si>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</si>
  <si>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</si>
  <si>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</si>
  <si>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</si>
  <si>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</si>
  <si>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</si>
  <si>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</si>
  <si>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</si>
  <si>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</si>
  <si>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</si>
  <si>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</si>
  <si>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</si>
  <si>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</si>
  <si>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</si>
  <si>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</si>
  <si>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</si>
  <si>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</si>
  <si>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</si>
  <si>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</si>
  <si>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</si>
  <si>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</si>
  <si>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</si>
  <si>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</si>
  <si>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</si>
  <si>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</si>
  <si>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</si>
  <si>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</si>
  <si>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</si>
  <si>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</si>
  <si>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</si>
  <si>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</si>
  <si>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</si>
  <si>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</si>
  <si>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</si>
  <si>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</si>
  <si>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</si>
  <si>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</si>
  <si>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</si>
  <si>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</si>
  <si>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</si>
  <si>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</si>
  <si>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</si>
  <si>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</si>
  <si>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</si>
  <si>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</si>
  <si>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</si>
  <si>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</si>
  <si>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</si>
  <si>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</si>
  <si>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</si>
  <si>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</si>
  <si>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</si>
  <si>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</si>
  <si>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</si>
  <si>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</si>
  <si>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</si>
  <si>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</si>
  <si>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</si>
  <si>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</si>
  <si>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</si>
  <si>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</si>
  <si>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</si>
  <si>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</si>
  <si>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</si>
  <si>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</si>
  <si>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</si>
  <si>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</si>
  <si>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</si>
  <si>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</si>
  <si>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</si>
  <si>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</si>
  <si>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</si>
  <si>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</si>
  <si>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</si>
  <si>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</si>
  <si>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</si>
  <si>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</si>
  <si>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</si>
  <si>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</si>
  <si>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</si>
  <si>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</si>
  <si>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</si>
  <si>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</si>
  <si>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</si>
  <si>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</si>
  <si>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</si>
  <si>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</si>
  <si>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</si>
  <si>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</si>
  <si>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</si>
  <si>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</si>
  <si>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</si>
  <si>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</si>
  <si>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</si>
  <si>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</si>
  <si>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</si>
  <si>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</si>
  <si>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</si>
  <si>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</si>
  <si>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</si>
  <si>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</si>
  <si>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</si>
  <si>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</si>
  <si>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</si>
  <si>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</si>
  <si>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</si>
  <si>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</si>
  <si>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</si>
  <si>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</si>
  <si>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</si>
  <si>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</si>
  <si>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</si>
  <si>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</si>
  <si>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</si>
  <si>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</si>
  <si>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</si>
  <si>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</si>
  <si>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</si>
  <si>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</si>
  <si>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</si>
  <si>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</si>
  <si>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</si>
  <si>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</si>
  <si>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</si>
  <si>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</si>
  <si>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</si>
  <si>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</si>
  <si>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</si>
  <si>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</si>
  <si>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</si>
  <si>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</si>
  <si>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</si>
  <si>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</si>
  <si>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</si>
  <si>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</si>
  <si>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</si>
  <si>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</si>
  <si>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</si>
  <si>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</si>
  <si>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</si>
  <si>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</si>
  <si>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</si>
  <si>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</si>
  <si>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</si>
  <si>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</si>
  <si>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</si>
  <si>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</si>
  <si>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</si>
  <si>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</si>
  <si>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</si>
  <si>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</si>
  <si>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</si>
  <si>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</si>
  <si>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</si>
  <si>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</si>
  <si>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</si>
  <si>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</si>
  <si>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</si>
  <si>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</si>
  <si>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</si>
  <si>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</si>
  <si>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</si>
  <si>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</si>
  <si>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</si>
  <si>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</si>
  <si>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</si>
  <si>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</si>
  <si>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</si>
  <si>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</si>
  <si>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</si>
  <si>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</si>
  <si>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</si>
  <si>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</si>
  <si>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</si>
  <si>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</si>
  <si>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</si>
  <si>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</si>
  <si>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</si>
  <si>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</si>
  <si>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</si>
  <si>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</si>
  <si>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</si>
  <si>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</si>
  <si>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</si>
  <si>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</si>
  <si>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</si>
  <si>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</si>
  <si>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</si>
  <si>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</si>
  <si>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</si>
  <si>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</si>
  <si>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</si>
  <si>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</si>
  <si>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</si>
  <si>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</si>
  <si>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</si>
  <si>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</si>
  <si>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</si>
  <si>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</si>
  <si>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</si>
  <si>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</si>
  <si>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</si>
  <si>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</si>
  <si>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</si>
  <si>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</si>
  <si>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</si>
  <si>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</si>
  <si>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</si>
  <si>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</si>
  <si>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</si>
  <si>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</si>
  <si>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</si>
  <si>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</si>
  <si>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</si>
  <si>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</si>
  <si>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</si>
  <si>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</si>
  <si>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</si>
  <si>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</si>
  <si>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</si>
  <si>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</si>
  <si>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</si>
  <si>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</si>
  <si>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</si>
  <si>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</si>
  <si>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</si>
  <si>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</si>
  <si>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</si>
  <si>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</si>
  <si>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</si>
  <si>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</si>
  <si>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</si>
  <si>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</si>
  <si>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</si>
  <si>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</si>
  <si>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</si>
  <si>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</si>
  <si>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</si>
  <si>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</si>
  <si>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</si>
  <si>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</si>
  <si>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</si>
  <si>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</si>
  <si>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</si>
  <si>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</si>
  <si>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</si>
  <si>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</si>
  <si>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</si>
  <si>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</si>
  <si>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</si>
  <si>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</si>
  <si>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</si>
  <si>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</si>
  <si>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</si>
  <si>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</si>
  <si>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</si>
  <si>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</si>
  <si>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</si>
  <si>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</si>
  <si>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</si>
  <si>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</si>
  <si>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</si>
  <si>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</si>
  <si>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</si>
  <si>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</si>
  <si>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</si>
  <si>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</si>
  <si>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</si>
  <si>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</si>
  <si>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</si>
  <si>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</si>
  <si>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</si>
  <si>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</si>
  <si>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</si>
  <si>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</si>
  <si>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</si>
  <si>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</si>
  <si>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</si>
  <si>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</si>
  <si>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</si>
  <si>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</si>
  <si>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</si>
  <si>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</si>
  <si>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</si>
  <si>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</si>
  <si>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</si>
  <si>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</si>
  <si>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</si>
  <si>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</si>
  <si>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</si>
  <si>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</si>
  <si>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</si>
  <si>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</si>
  <si>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</si>
  <si>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</si>
  <si>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</si>
  <si>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</si>
  <si>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</si>
  <si>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</si>
  <si>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</si>
  <si>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</si>
  <si>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</si>
  <si>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</si>
  <si>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</si>
  <si>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</si>
  <si>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</si>
  <si>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</si>
  <si>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</si>
  <si>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</si>
  <si>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</si>
  <si>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</si>
  <si>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</si>
  <si>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</si>
  <si>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</si>
  <si>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</si>
  <si>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</si>
  <si>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</si>
  <si>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</si>
  <si>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</si>
  <si>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</si>
  <si>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</si>
  <si>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</si>
  <si>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</si>
  <si>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</si>
  <si>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</si>
  <si>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</si>
  <si>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</si>
  <si>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</si>
  <si>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</si>
  <si>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</si>
  <si>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</si>
  <si>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</si>
  <si>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</si>
  <si>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</si>
  <si>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</si>
  <si>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</si>
  <si>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</si>
  <si>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</si>
  <si>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</si>
  <si>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</si>
  <si>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</si>
  <si>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</si>
  <si>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</si>
  <si>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</si>
  <si>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</si>
  <si>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</si>
  <si>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</si>
  <si>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</si>
  <si>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</si>
  <si>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</si>
  <si>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</si>
  <si>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</si>
  <si>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</si>
  <si>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</si>
  <si>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</si>
  <si>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</si>
  <si>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</si>
  <si>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</si>
  <si>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</si>
  <si>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</si>
  <si>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</si>
  <si>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</si>
  <si>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</si>
  <si>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</si>
  <si>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</si>
  <si>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</si>
  <si>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</si>
  <si>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</si>
  <si>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</si>
  <si>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</si>
  <si>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</si>
  <si>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</si>
  <si>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</si>
  <si>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</si>
  <si>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</si>
  <si>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</si>
  <si>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</si>
  <si>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</si>
  <si>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</si>
  <si>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</si>
  <si>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</si>
  <si>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</si>
  <si>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</si>
  <si>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</si>
  <si>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</si>
  <si>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</si>
  <si>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</si>
  <si>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</si>
  <si>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</si>
  <si>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</si>
  <si>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</si>
  <si>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</si>
  <si>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</si>
  <si>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</si>
  <si>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</si>
  <si>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</si>
  <si>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</si>
  <si>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</si>
  <si>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</si>
  <si>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</si>
  <si>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</si>
  <si>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</si>
  <si>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</si>
  <si>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</si>
  <si>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</si>
  <si>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</si>
  <si>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</si>
  <si>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</si>
  <si>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</si>
  <si>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</si>
  <si>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</si>
  <si>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</si>
  <si>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</si>
  <si>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</si>
  <si>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</si>
  <si>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</si>
  <si>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</si>
  <si>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</si>
  <si>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</si>
  <si>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</si>
  <si>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</si>
  <si>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</si>
  <si>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</si>
  <si>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</si>
  <si>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</si>
  <si>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</si>
  <si>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</si>
  <si>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</si>
  <si>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</si>
  <si>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</si>
  <si>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</si>
  <si>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</si>
  <si>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</si>
  <si>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</si>
  <si>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</si>
  <si>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</si>
  <si>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</si>
  <si>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</si>
  <si>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</si>
  <si>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</si>
  <si>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</si>
  <si>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</si>
  <si>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</si>
  <si>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</si>
  <si>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</si>
  <si>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</si>
  <si>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</si>
  <si>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</si>
  <si>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</si>
  <si>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</si>
  <si>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</si>
  <si>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</si>
  <si>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</si>
  <si>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</si>
  <si>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</si>
  <si>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</si>
  <si>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</si>
  <si>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</si>
  <si>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</si>
  <si>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</si>
  <si>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</si>
  <si>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</si>
  <si>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</si>
  <si>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</si>
  <si>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</si>
  <si>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</si>
  <si>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</si>
  <si>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</si>
  <si>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</si>
  <si>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</si>
  <si>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</si>
  <si>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</si>
  <si>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</si>
  <si>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</si>
  <si>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</si>
  <si>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</si>
  <si>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</si>
  <si>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</si>
  <si>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</si>
  <si>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</si>
  <si>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</si>
  <si>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</si>
  <si>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</si>
  <si>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</si>
  <si>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</si>
  <si>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</si>
  <si>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</si>
  <si>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</si>
  <si>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</si>
  <si>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</si>
  <si>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</si>
  <si>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</si>
  <si>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</si>
  <si>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</si>
  <si>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</si>
  <si>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</si>
  <si>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</si>
  <si>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</si>
  <si>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</si>
  <si>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</si>
  <si>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</si>
  <si>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</si>
  <si>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</si>
  <si>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</si>
  <si>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</si>
  <si>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</si>
  <si>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</si>
  <si>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</si>
  <si>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</si>
  <si>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</si>
  <si>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</si>
  <si>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</si>
  <si>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</si>
  <si>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</si>
  <si>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</si>
  <si>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</si>
  <si>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</si>
  <si>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</si>
  <si>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</si>
  <si>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</si>
  <si>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</si>
  <si>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</si>
  <si>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</si>
  <si>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</si>
  <si>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</si>
  <si>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</si>
  <si>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</si>
  <si>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</si>
  <si>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</si>
  <si>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</si>
  <si>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</si>
  <si>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</si>
  <si>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</si>
  <si>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</si>
  <si>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</si>
  <si>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</si>
  <si>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</si>
  <si>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</si>
  <si>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</si>
  <si>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</si>
  <si>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</si>
  <si>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</si>
  <si>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</si>
  <si>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</si>
  <si>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</si>
  <si>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</si>
  <si>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</si>
  <si>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</si>
  <si>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</si>
  <si>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</si>
  <si>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</si>
  <si>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</si>
  <si>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</si>
  <si>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</si>
  <si>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</si>
  <si>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</si>
  <si>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</si>
  <si>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</si>
  <si>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</si>
  <si>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</si>
  <si>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</si>
  <si>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</si>
  <si>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</si>
  <si>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</si>
  <si>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</si>
  <si>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</si>
  <si>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</si>
  <si>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</si>
  <si>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</si>
  <si>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</si>
  <si>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</si>
  <si>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</si>
  <si>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</si>
  <si>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</si>
  <si>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</si>
  <si>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</si>
  <si>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</si>
  <si>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</si>
  <si>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</si>
  <si>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</si>
  <si>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</si>
  <si>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</si>
  <si>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</si>
  <si>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</si>
  <si>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</si>
  <si>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</si>
  <si>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</si>
  <si>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</si>
  <si>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</si>
  <si>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</si>
  <si>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</si>
  <si>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</si>
  <si>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</si>
  <si>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</si>
  <si>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</si>
  <si>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</si>
  <si>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</si>
  <si>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</si>
  <si>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</si>
  <si>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</si>
  <si>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</si>
  <si>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</si>
  <si>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</si>
  <si>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</si>
  <si>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</si>
  <si>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</si>
  <si>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</si>
  <si>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</si>
  <si>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</si>
  <si>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</si>
  <si>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</si>
  <si>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</si>
  <si>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</si>
  <si>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</si>
  <si>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</si>
  <si>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</si>
  <si>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</si>
  <si>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</si>
  <si>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</si>
  <si>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</si>
  <si>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</si>
  <si>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</si>
  <si>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</si>
  <si>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</si>
  <si>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</si>
  <si>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</si>
  <si>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</si>
  <si>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</si>
  <si>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</si>
  <si>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</si>
  <si>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</si>
  <si>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</si>
  <si>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</si>
  <si>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</si>
  <si>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</si>
  <si>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</si>
  <si>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</si>
  <si>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</si>
  <si>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</si>
  <si>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</si>
  <si>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</si>
  <si>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</si>
  <si>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</si>
  <si>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</si>
  <si>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</si>
  <si>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</si>
  <si>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</si>
  <si>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</si>
  <si>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</si>
  <si>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</si>
  <si>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</si>
  <si>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</si>
  <si>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</si>
  <si>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</si>
  <si>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</si>
  <si>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</si>
  <si>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</si>
  <si>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</si>
  <si>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</si>
  <si>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</si>
  <si>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</si>
  <si>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</si>
  <si>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</si>
  <si>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</si>
  <si>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</si>
  <si>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</si>
  <si>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</si>
  <si>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</si>
  <si>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</si>
  <si>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</si>
  <si>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</si>
  <si>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</si>
  <si>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</si>
  <si>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</si>
  <si>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</si>
  <si>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</si>
  <si>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</si>
  <si>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</si>
  <si>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</si>
  <si>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</si>
  <si>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</si>
  <si>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</si>
  <si>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</si>
  <si>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</si>
  <si>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</si>
  <si>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</si>
  <si>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</si>
  <si>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</si>
  <si>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</si>
  <si>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</si>
  <si>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</si>
  <si>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</si>
  <si>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</si>
  <si>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</si>
  <si>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</si>
  <si>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</si>
  <si>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</si>
  <si>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</si>
  <si>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</si>
  <si>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</si>
  <si>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</si>
  <si>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</si>
  <si>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</si>
  <si>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</si>
  <si>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</si>
  <si>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</si>
  <si>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</si>
  <si>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</si>
  <si>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</si>
  <si>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</si>
  <si>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</si>
  <si>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</si>
  <si>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</si>
  <si>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</si>
  <si>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</si>
  <si>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</si>
  <si>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</si>
  <si>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</si>
  <si>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</si>
  <si>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</si>
  <si>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</si>
  <si>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</si>
  <si>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</si>
  <si>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</si>
  <si>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</si>
  <si>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</si>
  <si>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</si>
  <si>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</si>
  <si>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</si>
  <si>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</si>
  <si>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</si>
  <si>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</si>
  <si>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</si>
  <si>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</si>
  <si>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</si>
  <si>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</si>
  <si>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</si>
  <si>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</si>
  <si>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</si>
  <si>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</si>
  <si>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</si>
  <si>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</si>
  <si>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</si>
  <si>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</si>
  <si>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</si>
  <si>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</si>
  <si>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</si>
  <si>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</si>
  <si>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</si>
  <si>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</si>
  <si>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</si>
  <si>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</si>
  <si>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</si>
  <si>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</si>
  <si>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</si>
  <si>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</si>
  <si>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</si>
  <si>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</si>
  <si>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</si>
  <si>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</si>
  <si>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</si>
  <si>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</si>
  <si>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</si>
  <si>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</si>
  <si>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</si>
  <si>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</si>
  <si>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</si>
  <si>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</si>
  <si>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</si>
  <si>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</si>
  <si>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</si>
  <si>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</si>
  <si>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</si>
  <si>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</si>
  <si>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</si>
  <si>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</si>
  <si>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</si>
  <si>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</si>
  <si>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</si>
  <si>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</si>
  <si>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</si>
  <si>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</si>
  <si>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</si>
  <si>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</si>
  <si>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</si>
  <si>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</si>
  <si>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</si>
  <si>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</si>
  <si>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</si>
  <si>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</si>
  <si>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</si>
  <si>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</si>
  <si>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</si>
  <si>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</si>
  <si>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</si>
  <si>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</si>
  <si>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</si>
  <si>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</si>
  <si>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</si>
  <si>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</si>
  <si>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</si>
  <si>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</si>
  <si>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</si>
  <si>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</si>
  <si>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</si>
  <si>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</si>
  <si>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</si>
  <si>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</si>
  <si>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</si>
  <si>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</si>
  <si>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</si>
  <si>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</si>
  <si>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</si>
  <si>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</si>
  <si>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</si>
  <si>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</si>
  <si>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</si>
  <si>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</si>
  <si>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</si>
  <si>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</si>
  <si>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</si>
  <si>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</si>
  <si>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</si>
  <si>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</si>
  <si>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</si>
  <si>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</si>
  <si>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</si>
  <si>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</si>
  <si>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</si>
  <si>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</si>
  <si>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</si>
  <si>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</si>
  <si>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</si>
  <si>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</si>
  <si>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</si>
  <si>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</si>
  <si>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</si>
  <si>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</si>
  <si>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</si>
  <si>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</si>
  <si>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</si>
  <si>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</si>
  <si>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</si>
  <si>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</si>
  <si>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</si>
  <si>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</si>
  <si>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</si>
  <si>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</si>
  <si>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</si>
  <si>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</si>
  <si>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</si>
  <si>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</si>
  <si>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</si>
  <si>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</si>
  <si>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</si>
  <si>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</si>
  <si>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</si>
  <si>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</si>
  <si>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</si>
  <si>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</si>
  <si>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</si>
  <si>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</si>
  <si>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</si>
  <si>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</si>
  <si>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</si>
  <si>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</si>
  <si>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</si>
  <si>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</si>
  <si>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</si>
  <si>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</si>
  <si>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</si>
  <si>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</si>
  <si>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</si>
  <si>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</si>
  <si>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</si>
  <si>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</si>
  <si>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</si>
  <si>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</si>
  <si>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</si>
  <si>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</si>
  <si>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</si>
  <si>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</si>
  <si>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</si>
  <si>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</si>
  <si>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</si>
  <si>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</si>
  <si>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$34,829.90 was listed under tuition per the letter that was sent out. However, after speaking with Matthew I have moved that money to the Federal Forest Rev.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</si>
</sst>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1017</v>
      </c>
      <c r="B2">
        <f>INDEX('School Tables'!$AH$3:$AH$209,MATCH('DOE25'!A2,'School Tables'!$AJ$3:$AJ$209,0))</f>
        <v>171</v>
      </c>
      <c r="C2">
        <f>INDEX('School Tables'!$AI$3:$AI$209,MATCH('DOE25'!A2,'School Tables'!$AJ$3:$AJ$209,0))</f>
        <v>171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47026.94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39971.17</v>
      </c>
      <c r="G10" s="18"/>
      <c r="H10" s="18"/>
      <c r="I10" s="18"/>
      <c r="J10" s="13">
        <f>SUM(I441)</f>
        <v>272836.09999999998</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20882.34</v>
      </c>
      <c r="G12" s="18"/>
      <c r="H12" s="18"/>
      <c r="I12" s="18"/>
      <c r="J12" s="13">
        <f>SUM(I442)</f>
        <v>340</v>
      </c>
      <c r="K12" s="23" t="s">
        <v>288</v>
      </c>
      <c r="L12" s="23" t="s">
        <v>288</v>
      </c>
      <c r="M12" s="8"/>
      <c r="N12" s="165"/>
    </row>
    <row r="13" spans="1:14" s="3" customFormat="1" ht="12.2" customHeight="1" x14ac:dyDescent="0.15">
      <c r="A13" s="1" t="s">
        <v>604</v>
      </c>
      <c r="B13" s="2" t="s">
        <v>289</v>
      </c>
      <c r="C13" s="6">
        <v>5</v>
      </c>
      <c r="D13" s="2" t="s">
        <v>428</v>
      </c>
      <c r="E13" s="6">
        <v>140</v>
      </c>
      <c r="F13" s="18"/>
      <c r="G13" s="18">
        <v>2305.9699999999998</v>
      </c>
      <c r="H13" s="18">
        <v>25976.080000000002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107880.45</v>
      </c>
      <c r="G19" s="38">
        <f>SUM(G9:G18)</f>
        <v>2305.9699999999998</v>
      </c>
      <c r="H19" s="38">
        <f>SUM(H9:H18)</f>
        <v>25976.080000000002</v>
      </c>
      <c r="I19" s="38">
        <f>SUM(I9:I18)</f>
        <v>0</v>
      </c>
      <c r="J19" s="38">
        <f>SUM(J9:J18)</f>
        <v>273176.09999999998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2305.9699999999998</v>
      </c>
      <c r="H22" s="18">
        <v>21222.34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f>203.3+36.92+12.31</f>
        <v>252.53000000000003</v>
      </c>
      <c r="G23" s="18"/>
      <c r="H23" s="18">
        <v>2889.93</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5081.3599999999997</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200.62</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7282.41</v>
      </c>
      <c r="G30" s="18"/>
      <c r="H30" s="18">
        <v>1863.81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12816.919999999998</v>
      </c>
      <c r="G32" s="38">
        <f>SUM(G22:G31)</f>
        <v>2305.9699999999998</v>
      </c>
      <c r="H32" s="38">
        <f>SUM(H22:H31)</f>
        <v>25976.080000000002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19389.47</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19389.3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253786.63</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75674.23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95063.53</v>
      </c>
      <c r="G51" s="38">
        <f>SUM(G35:G50)</f>
        <v>0</v>
      </c>
      <c r="H51" s="38">
        <f>SUM(H35:H50)</f>
        <v>0</v>
      </c>
      <c r="I51" s="38">
        <f>SUM(I35:I50)</f>
        <v>0</v>
      </c>
      <c r="J51" s="38">
        <f>SUM(J35:J50)</f>
        <v>273176.09999999998</v>
      </c>
      <c r="K51" s="42" t="s">
        <v>288</v>
      </c>
      <c r="L51" s="42" t="s">
        <v>288</v>
      </c>
      <c r="N51" s="131"/>
    </row>
    <row r="52" spans="1:14" s="3" customFormat="1" ht="12.2" customHeight="1" thickTop="1" x14ac:dyDescent="0.15">
      <c r="A52" s="35" t="s">
        <v>455</v>
      </c>
      <c r="B52" s="36" t="s">
        <v>289</v>
      </c>
      <c r="C52" s="6">
        <v>37</v>
      </c>
      <c r="D52" s="36" t="s">
        <v>653</v>
      </c>
      <c r="E52" s="36"/>
      <c r="F52" s="38">
        <f>F51+F32</f>
        <v>107880.45</v>
      </c>
      <c r="G52" s="38">
        <f>G51+G32</f>
        <v>2305.9699999999998</v>
      </c>
      <c r="H52" s="38">
        <f>H51+H32</f>
        <v>25976.080000000002</v>
      </c>
      <c r="I52" s="38">
        <f>I51+I32</f>
        <v>0</v>
      </c>
      <c r="J52" s="38">
        <f>J51+J32</f>
        <v>273176.09999999998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278344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278344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6333.22</v>
      </c>
      <c r="G96" s="18"/>
      <c r="H96" s="18"/>
      <c r="I96" s="18"/>
      <c r="J96" s="18">
        <v>261.83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8893.1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1443.98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1682.24</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8015.46</v>
      </c>
      <c r="G111" s="38">
        <f>SUM(G96:G110)</f>
        <v>8893.1</v>
      </c>
      <c r="H111" s="38">
        <f>SUM(H96:H110)</f>
        <v>1443.98</v>
      </c>
      <c r="I111" s="38">
        <f>SUM(I96:I110)</f>
        <v>0</v>
      </c>
      <c r="J111" s="38">
        <f>SUM(J96:J110)</f>
        <v>261.83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286359.46000000002</v>
      </c>
      <c r="G112" s="38">
        <f>G60+G111</f>
        <v>8893.1</v>
      </c>
      <c r="H112" s="38">
        <f>H60+H79+H94+H111</f>
        <v>1443.98</v>
      </c>
      <c r="I112" s="38">
        <f>I60+I111</f>
        <v>0</v>
      </c>
      <c r="J112" s="38">
        <f>J60+J111</f>
        <v>261.83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41819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109442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151261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151261</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8522.94</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11092.23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906.14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1880.26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20364.150000000001</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906.14</v>
      </c>
      <c r="H163" s="38">
        <f>SUM(H150:H162)</f>
        <v>41859.58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f>3067.36+34829.9</f>
        <v>37897.26</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37897.26</v>
      </c>
      <c r="G170" s="38">
        <f>G147+G163+SUM(G164:G169)</f>
        <v>906.14</v>
      </c>
      <c r="H170" s="38">
        <f>H147+H163+SUM(H164:H169)</f>
        <v>41859.58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19431.740000000002</v>
      </c>
      <c r="H180" s="18"/>
      <c r="I180" s="18"/>
      <c r="J180" s="18">
        <v>11000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19431.740000000002</v>
      </c>
      <c r="H184" s="38">
        <f>SUM(H180:H183)</f>
        <v>0</v>
      </c>
      <c r="I184" s="38">
        <f>SUM(I180:I183)</f>
        <v>0</v>
      </c>
      <c r="J184" s="38">
        <f>SUM(J180:J183)</f>
        <v>11000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19431.740000000002</v>
      </c>
      <c r="H193" s="38">
        <f>+H184+SUM(H189:H192)</f>
        <v>0</v>
      </c>
      <c r="I193" s="38">
        <f>I178+I184+SUM(I189:I192)</f>
        <v>0</v>
      </c>
      <c r="J193" s="38">
        <f>J184</f>
        <v>11000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475517.72000000003</v>
      </c>
      <c r="G194" s="38">
        <f>G112+G140+G170+G193</f>
        <v>29230.980000000003</v>
      </c>
      <c r="H194" s="38">
        <f>H112+H140+H170+H193</f>
        <v>43303.560000000005</v>
      </c>
      <c r="I194" s="38">
        <f>I112+I140+I170+I193</f>
        <v>0</v>
      </c>
      <c r="J194" s="38">
        <f>J112+J140+J193</f>
        <v>11261.83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105323.81</v>
      </c>
      <c r="G198" s="18">
        <v>31733.66</v>
      </c>
      <c r="H198" s="18">
        <v>193.89</v>
      </c>
      <c r="I198" s="18">
        <v>3513.85</v>
      </c>
      <c r="J198" s="18">
        <v>1233.33</v>
      </c>
      <c r="K198" s="18"/>
      <c r="L198" s="13">
        <f>SUM(F198:K198)</f>
        <v>141998.54</v>
      </c>
      <c r="M198" s="8"/>
      <c r="N198" s="165"/>
    </row>
    <row r="199" spans="1:14" s="3" customFormat="1" ht="12.2" customHeight="1" x14ac:dyDescent="0.15">
      <c r="A199" s="1" t="s">
        <v>439</v>
      </c>
      <c r="B199" s="2" t="s">
        <v>341</v>
      </c>
      <c r="C199" s="2" t="s">
        <v>291</v>
      </c>
      <c r="D199" s="2" t="s">
        <v>431</v>
      </c>
      <c r="E199" s="6">
        <v>1200</v>
      </c>
      <c r="F199" s="18"/>
      <c r="G199" s="18"/>
      <c r="H199" s="18"/>
      <c r="I199" s="18">
        <v>18.38</v>
      </c>
      <c r="J199" s="18"/>
      <c r="K199" s="18"/>
      <c r="L199" s="13">
        <f>SUM(F199:K199)</f>
        <v>18.38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3400.02</v>
      </c>
      <c r="G203" s="18">
        <v>1026.72</v>
      </c>
      <c r="H203" s="18">
        <v>9732.3700000000008</v>
      </c>
      <c r="I203" s="18">
        <v>57.18</v>
      </c>
      <c r="J203" s="18"/>
      <c r="K203" s="18"/>
      <c r="L203" s="13">
        <f t="shared" ref="L203:L209" si="0">SUM(F203:K203)</f>
        <v>14216.29</v>
      </c>
      <c r="M203" s="8"/>
      <c r="N203" s="165"/>
    </row>
    <row r="204" spans="1:14" s="3" customFormat="1" ht="12.2" customHeight="1" x14ac:dyDescent="0.15">
      <c r="A204" s="1" t="s">
        <v>443</v>
      </c>
      <c r="B204" s="2" t="s">
        <v>341</v>
      </c>
      <c r="C204" s="2" t="s">
        <v>295</v>
      </c>
      <c r="D204" s="2" t="s">
        <v>431</v>
      </c>
      <c r="E204" s="6">
        <v>2200</v>
      </c>
      <c r="F204" s="18"/>
      <c r="G204" s="18"/>
      <c r="H204" s="18"/>
      <c r="I204" s="18">
        <v>456.78</v>
      </c>
      <c r="J204" s="18"/>
      <c r="K204" s="18"/>
      <c r="L204" s="13">
        <f t="shared" si="0"/>
        <v>456.78</v>
      </c>
      <c r="M204" s="8"/>
      <c r="N204" s="165"/>
    </row>
    <row r="205" spans="1:14" s="3" customFormat="1" ht="12.2" customHeight="1" x14ac:dyDescent="0.15">
      <c r="A205" s="1" t="s">
        <v>444</v>
      </c>
      <c r="B205" s="2" t="s">
        <v>341</v>
      </c>
      <c r="C205" s="2" t="s">
        <v>296</v>
      </c>
      <c r="D205" s="2" t="s">
        <v>431</v>
      </c>
      <c r="E205" s="6">
        <v>2300</v>
      </c>
      <c r="F205" s="18">
        <v>1505</v>
      </c>
      <c r="G205" s="18">
        <v>107.08</v>
      </c>
      <c r="H205" s="18">
        <v>67604</v>
      </c>
      <c r="I205" s="18">
        <v>358.5</v>
      </c>
      <c r="J205" s="18"/>
      <c r="K205" s="18">
        <v>1666.47</v>
      </c>
      <c r="L205" s="13">
        <f t="shared" si="0"/>
        <v>71241.05</v>
      </c>
      <c r="M205" s="8"/>
      <c r="N205" s="165"/>
    </row>
    <row r="206" spans="1:14" s="3" customFormat="1" ht="12.2" customHeight="1" x14ac:dyDescent="0.15">
      <c r="A206" s="1" t="s">
        <v>445</v>
      </c>
      <c r="B206" s="2" t="s">
        <v>341</v>
      </c>
      <c r="C206" s="2" t="s">
        <v>297</v>
      </c>
      <c r="D206" s="2" t="s">
        <v>431</v>
      </c>
      <c r="E206" s="6">
        <v>2400</v>
      </c>
      <c r="F206" s="18">
        <v>19154.810000000001</v>
      </c>
      <c r="G206" s="18">
        <v>4587.53</v>
      </c>
      <c r="H206" s="18">
        <v>4584.0600000000004</v>
      </c>
      <c r="I206" s="18"/>
      <c r="J206" s="18"/>
      <c r="K206" s="18">
        <v>917</v>
      </c>
      <c r="L206" s="13">
        <f t="shared" si="0"/>
        <v>29243.4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11870.93</v>
      </c>
      <c r="G208" s="18">
        <v>1304.05</v>
      </c>
      <c r="H208" s="18">
        <v>11430.02</v>
      </c>
      <c r="I208" s="18">
        <v>9058.31</v>
      </c>
      <c r="J208" s="18"/>
      <c r="K208" s="18">
        <v>15</v>
      </c>
      <c r="L208" s="13">
        <f t="shared" si="0"/>
        <v>33678.31</v>
      </c>
      <c r="M208" s="8"/>
      <c r="N208" s="165"/>
    </row>
    <row r="209" spans="1:14" s="3" customFormat="1" ht="12.2" customHeight="1" x14ac:dyDescent="0.15">
      <c r="A209" s="1" t="s">
        <v>448</v>
      </c>
      <c r="B209" s="2" t="s">
        <v>341</v>
      </c>
      <c r="C209" s="2" t="s">
        <v>300</v>
      </c>
      <c r="D209" s="2" t="s">
        <v>431</v>
      </c>
      <c r="E209" s="6">
        <v>2700</v>
      </c>
      <c r="F209" s="18"/>
      <c r="G209" s="18">
        <v>175</v>
      </c>
      <c r="H209" s="18">
        <v>20000</v>
      </c>
      <c r="I209" s="18"/>
      <c r="J209" s="18"/>
      <c r="K209" s="18"/>
      <c r="L209" s="13">
        <f t="shared" si="0"/>
        <v>20175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141254.57</v>
      </c>
      <c r="G212" s="38">
        <f t="shared" si="1"/>
        <v>38934.04</v>
      </c>
      <c r="H212" s="38">
        <f t="shared" si="1"/>
        <v>113544.34</v>
      </c>
      <c r="I212" s="38">
        <f t="shared" si="1"/>
        <v>13463</v>
      </c>
      <c r="J212" s="38">
        <f t="shared" si="1"/>
        <v>1233.33</v>
      </c>
      <c r="K212" s="38">
        <f t="shared" si="1"/>
        <v>2598.4700000000003</v>
      </c>
      <c r="L212" s="38">
        <f t="shared" si="1"/>
        <v>311027.75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165525</v>
      </c>
      <c r="I234" s="18"/>
      <c r="J234" s="18"/>
      <c r="K234" s="18"/>
      <c r="L234" s="13">
        <f>SUM(F234:K234)</f>
        <v>165525</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SUM(F243:K243)</f>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SUM(F244:K244)</f>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165525</v>
      </c>
      <c r="I248" s="38">
        <f t="shared" si="5"/>
        <v>0</v>
      </c>
      <c r="J248" s="38">
        <f t="shared" si="5"/>
        <v>0</v>
      </c>
      <c r="K248" s="38">
        <f t="shared" si="5"/>
        <v>0</v>
      </c>
      <c r="L248" s="38">
        <f t="shared" si="5"/>
        <v>165525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141254.57</v>
      </c>
      <c r="G258" s="38">
        <f t="shared" si="8"/>
        <v>38934.04</v>
      </c>
      <c r="H258" s="38">
        <f t="shared" si="8"/>
        <v>279069.33999999997</v>
      </c>
      <c r="I258" s="38">
        <f t="shared" si="8"/>
        <v>13463</v>
      </c>
      <c r="J258" s="38">
        <f t="shared" si="8"/>
        <v>1233.33</v>
      </c>
      <c r="K258" s="38">
        <f t="shared" si="8"/>
        <v>2598.4700000000003</v>
      </c>
      <c r="L258" s="38">
        <f t="shared" si="8"/>
        <v>476552.75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19431.740000000002</v>
      </c>
      <c r="L264" s="13">
        <f>SUM(F264:K264)</f>
        <v>19431.740000000002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11000</v>
      </c>
      <c r="L267" s="13">
        <f t="shared" si="9"/>
        <v>11000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30431.74</v>
      </c>
      <c r="L271" s="38">
        <f t="shared" si="9"/>
        <v>30431.74</v>
      </c>
      <c r="M271" s="8"/>
      <c r="N271" s="165"/>
    </row>
    <row r="272" spans="1:14" s="33" customFormat="1" ht="12.2" customHeight="1" thickTop="1" x14ac:dyDescent="0.2">
      <c r="A272" s="40" t="s">
        <v>464</v>
      </c>
      <c r="B272" s="37">
        <v>10</v>
      </c>
      <c r="C272" s="37">
        <v>18</v>
      </c>
      <c r="D272" s="36" t="s">
        <v>431</v>
      </c>
      <c r="E272" s="37"/>
      <c r="F272" s="39">
        <f t="shared" ref="F272:L272" si="11">F258+F271</f>
        <v>141254.57</v>
      </c>
      <c r="G272" s="39">
        <f t="shared" si="11"/>
        <v>38934.04</v>
      </c>
      <c r="H272" s="39">
        <f t="shared" si="11"/>
        <v>279069.33999999997</v>
      </c>
      <c r="I272" s="39">
        <f t="shared" si="11"/>
        <v>13463</v>
      </c>
      <c r="J272" s="39">
        <f t="shared" si="11"/>
        <v>1233.33</v>
      </c>
      <c r="K272" s="39">
        <f t="shared" si="11"/>
        <v>33030.21</v>
      </c>
      <c r="L272" s="39">
        <f t="shared" si="11"/>
        <v>506984.49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f>360+30+9000+1095</f>
        <v>10485</v>
      </c>
      <c r="I277" s="18">
        <f>4272.01+119.98</f>
        <v>4391.99</v>
      </c>
      <c r="J277" s="18"/>
      <c r="K277" s="18">
        <v>229</v>
      </c>
      <c r="L277" s="13">
        <f>SUM(F277:K277)</f>
        <v>15105.99</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1800</v>
      </c>
      <c r="I282" s="18"/>
      <c r="J282" s="18"/>
      <c r="K282" s="18"/>
      <c r="L282" s="13">
        <f t="shared" ref="L282:L288" si="12">SUM(F282:K282)</f>
        <v>1800</v>
      </c>
      <c r="M282" s="8"/>
      <c r="N282" s="165"/>
    </row>
    <row r="283" spans="1:14" s="3" customFormat="1" ht="12.2" customHeight="1" x14ac:dyDescent="0.15">
      <c r="A283" s="1" t="s">
        <v>443</v>
      </c>
      <c r="B283" s="2" t="s">
        <v>357</v>
      </c>
      <c r="C283" s="2" t="s">
        <v>295</v>
      </c>
      <c r="D283" s="2" t="s">
        <v>431</v>
      </c>
      <c r="E283" s="6">
        <v>2200</v>
      </c>
      <c r="F283" s="18">
        <v>300</v>
      </c>
      <c r="G283" s="18">
        <v>54.42</v>
      </c>
      <c r="H283" s="18">
        <v>1981.71</v>
      </c>
      <c r="I283" s="18"/>
      <c r="J283" s="18"/>
      <c r="K283" s="18"/>
      <c r="L283" s="13">
        <f t="shared" si="12"/>
        <v>2336.13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v>9369.15</v>
      </c>
      <c r="K287" s="18"/>
      <c r="L287" s="13">
        <f t="shared" si="12"/>
        <v>9369.15</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300</v>
      </c>
      <c r="G291" s="39">
        <f t="shared" si="13"/>
        <v>54.42</v>
      </c>
      <c r="H291" s="39">
        <f t="shared" si="13"/>
        <v>14266.71</v>
      </c>
      <c r="I291" s="39">
        <f t="shared" si="13"/>
        <v>4391.99</v>
      </c>
      <c r="J291" s="39">
        <f t="shared" si="13"/>
        <v>9369.15</v>
      </c>
      <c r="K291" s="39">
        <f t="shared" si="13"/>
        <v>229</v>
      </c>
      <c r="L291" s="38">
        <f t="shared" si="13"/>
        <v>28611.269999999997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12893</v>
      </c>
      <c r="I337" s="18"/>
      <c r="J337" s="18"/>
      <c r="K337" s="18"/>
      <c r="L337" s="13">
        <f t="shared" si="18"/>
        <v>12893</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12893</v>
      </c>
      <c r="I338" s="38">
        <f t="shared" si="19"/>
        <v>0</v>
      </c>
      <c r="J338" s="38">
        <f t="shared" si="19"/>
        <v>0</v>
      </c>
      <c r="K338" s="38">
        <f t="shared" si="19"/>
        <v>0</v>
      </c>
      <c r="L338" s="38">
        <f t="shared" si="18"/>
        <v>12893</v>
      </c>
      <c r="M338" s="8"/>
      <c r="N338" s="165"/>
    </row>
    <row r="339" spans="1:43" s="3" customFormat="1" ht="12.2" customHeight="1" thickTop="1" x14ac:dyDescent="0.15">
      <c r="A339" s="35" t="s">
        <v>468</v>
      </c>
      <c r="B339" s="37">
        <v>14</v>
      </c>
      <c r="C339" s="37">
        <v>7</v>
      </c>
      <c r="D339" s="36" t="s">
        <v>431</v>
      </c>
      <c r="E339" s="37"/>
      <c r="F339" s="38">
        <f t="shared" ref="F339:L339" si="20">F291+F310+F329+F338</f>
        <v>300</v>
      </c>
      <c r="G339" s="38">
        <f t="shared" si="20"/>
        <v>54.42</v>
      </c>
      <c r="H339" s="38">
        <f t="shared" si="20"/>
        <v>27159.71</v>
      </c>
      <c r="I339" s="38">
        <f t="shared" si="20"/>
        <v>4391.99</v>
      </c>
      <c r="J339" s="38">
        <f t="shared" si="20"/>
        <v>9369.15</v>
      </c>
      <c r="K339" s="38">
        <f t="shared" si="20"/>
        <v>229</v>
      </c>
      <c r="L339" s="38">
        <f t="shared" si="20"/>
        <v>41504.269999999997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1799.29</v>
      </c>
      <c r="L351" s="13">
        <f t="shared" si="21"/>
        <v>1799.29</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1799.29</v>
      </c>
      <c r="L352" s="38">
        <f>SUM(L342:L351)</f>
        <v>1799.29</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300</v>
      </c>
      <c r="G353" s="38">
        <f>G339</f>
        <v>54.42</v>
      </c>
      <c r="H353" s="38">
        <f>H339</f>
        <v>27159.71</v>
      </c>
      <c r="I353" s="38">
        <f>I339</f>
        <v>4391.99</v>
      </c>
      <c r="J353" s="38">
        <f>J339</f>
        <v>9369.15</v>
      </c>
      <c r="K353" s="38">
        <f>K339+K352</f>
        <v>2028.29</v>
      </c>
      <c r="L353" s="38">
        <f>L339+L352</f>
        <v>43303.56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19152.68</v>
      </c>
      <c r="G359" s="18">
        <v>1465.19</v>
      </c>
      <c r="H359" s="18"/>
      <c r="I359" s="18">
        <v>5987.53</v>
      </c>
      <c r="J359" s="18">
        <v>2625.58</v>
      </c>
      <c r="K359" s="18"/>
      <c r="L359" s="13">
        <f>SUM(F359:K359)</f>
        <v>29230.979999999996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19152.68</v>
      </c>
      <c r="G363" s="38">
        <f t="shared" si="22"/>
        <v>1465.19</v>
      </c>
      <c r="H363" s="38">
        <f t="shared" si="22"/>
        <v>0</v>
      </c>
      <c r="I363" s="38">
        <f t="shared" si="22"/>
        <v>5987.53</v>
      </c>
      <c r="J363" s="38">
        <f t="shared" si="22"/>
        <v>2625.58</v>
      </c>
      <c r="K363" s="38">
        <f t="shared" si="22"/>
        <v>0</v>
      </c>
      <c r="L363" s="38">
        <f t="shared" si="22"/>
        <v>29230.979999999996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4511.28</v>
      </c>
      <c r="G368" s="18"/>
      <c r="H368" s="18"/>
      <c r="I368" s="13">
        <f>SUM(F368:H368)</f>
        <v>4511.28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1053.82+422.43</f>
        <v>1476.25</v>
      </c>
      <c r="G369" s="53"/>
      <c r="H369" s="53"/>
      <c r="I369" s="13">
        <f>SUM(F369:H369)</f>
        <v>1476.25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5987.53</v>
      </c>
      <c r="G370" s="38">
        <f>SUM(G368:G369)</f>
        <v>0</v>
      </c>
      <c r="H370" s="38">
        <f>SUM(H368:H369)</f>
        <v>0</v>
      </c>
      <c r="I370" s="38">
        <f>SUM(I368:I369)</f>
        <v>5987.53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10000</v>
      </c>
      <c r="H389" s="18">
        <v>60.15</v>
      </c>
      <c r="I389" s="18"/>
      <c r="J389" s="23" t="s">
        <v>288</v>
      </c>
      <c r="K389" s="23" t="s">
        <v>288</v>
      </c>
      <c r="L389" s="13">
        <f t="shared" si="25"/>
        <v>10060.15</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4.46</v>
      </c>
      <c r="I393" s="18"/>
      <c r="J393" s="23" t="s">
        <v>288</v>
      </c>
      <c r="K393" s="23" t="s">
        <v>288</v>
      </c>
      <c r="L393" s="13">
        <f t="shared" si="25"/>
        <v>4.46</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64.61</v>
      </c>
      <c r="I394" s="54">
        <f>SUM(I388:I393)</f>
        <v>0</v>
      </c>
      <c r="J394" s="42" t="s">
        <v>288</v>
      </c>
      <c r="K394" s="42" t="s">
        <v>288</v>
      </c>
      <c r="L394" s="38">
        <f>SUM(L388:L393)</f>
        <v>10064.609999999999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v>138.24</v>
      </c>
      <c r="I399" s="18"/>
      <c r="J399" s="23" t="s">
        <v>288</v>
      </c>
      <c r="K399" s="23" t="s">
        <v>288</v>
      </c>
      <c r="L399" s="13">
        <f t="shared" si="26"/>
        <v>138.24</v>
      </c>
      <c r="M399" s="8"/>
      <c r="N399" s="165"/>
    </row>
    <row r="400" spans="1:14" s="3" customFormat="1" ht="12.2" customHeight="1" x14ac:dyDescent="0.15">
      <c r="A400" s="62" t="s">
        <v>559</v>
      </c>
      <c r="B400" s="2" t="s">
        <v>381</v>
      </c>
      <c r="C400" s="6">
        <v>12</v>
      </c>
      <c r="D400" s="2" t="s">
        <v>432</v>
      </c>
      <c r="E400" s="6"/>
      <c r="F400" s="18"/>
      <c r="G400" s="18"/>
      <c r="H400" s="18">
        <v>9.7200000000000006</v>
      </c>
      <c r="I400" s="18"/>
      <c r="J400" s="23" t="s">
        <v>288</v>
      </c>
      <c r="K400" s="23" t="s">
        <v>288</v>
      </c>
      <c r="L400" s="13">
        <f t="shared" si="26"/>
        <v>9.7200000000000006</v>
      </c>
      <c r="M400" s="8"/>
      <c r="N400" s="165"/>
    </row>
    <row r="401" spans="1:21" s="3" customFormat="1" ht="12.2" customHeight="1" thickBot="1" x14ac:dyDescent="0.2">
      <c r="A401" s="62" t="s">
        <v>510</v>
      </c>
      <c r="B401" s="2" t="s">
        <v>381</v>
      </c>
      <c r="C401" s="6">
        <v>13</v>
      </c>
      <c r="D401" s="2" t="s">
        <v>432</v>
      </c>
      <c r="E401" s="6"/>
      <c r="F401" s="18"/>
      <c r="G401" s="18">
        <v>1000</v>
      </c>
      <c r="H401" s="18">
        <f>47.6+1.66</f>
        <v>49.26</v>
      </c>
      <c r="I401" s="18"/>
      <c r="J401" s="23" t="s">
        <v>288</v>
      </c>
      <c r="K401" s="23" t="s">
        <v>288</v>
      </c>
      <c r="L401" s="13">
        <f t="shared" si="26"/>
        <v>1049.26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v>
      </c>
      <c r="H402" s="38">
        <f>SUM(H396:H401)</f>
        <v>197.22</v>
      </c>
      <c r="I402" s="38">
        <f>SUM(I396:I401)</f>
        <v>0</v>
      </c>
      <c r="J402" s="42" t="s">
        <v>288</v>
      </c>
      <c r="K402" s="42" t="s">
        <v>288</v>
      </c>
      <c r="L402" s="38">
        <f>SUM(L396:L401)</f>
        <v>1197.22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11000</v>
      </c>
      <c r="H409" s="38">
        <f>H394+H402+H408</f>
        <v>261.83</v>
      </c>
      <c r="I409" s="38">
        <f>I394+I402+I408</f>
        <v>0</v>
      </c>
      <c r="J409" s="23" t="s">
        <v>288</v>
      </c>
      <c r="K409" s="23" t="s">
        <v>288</v>
      </c>
      <c r="L409" s="38">
        <f>L394+L402+L408</f>
        <v>11261.829999999998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86314.11</v>
      </c>
      <c r="G441" s="18">
        <v>186521.99</v>
      </c>
      <c r="H441" s="18"/>
      <c r="I441" s="13">
        <f t="shared" si="33"/>
        <v>272836.09999999998</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340</v>
      </c>
      <c r="H442" s="18"/>
      <c r="I442" s="13">
        <f t="shared" si="33"/>
        <v>340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86314.11</v>
      </c>
      <c r="G447" s="13">
        <f>SUM(G440:G446)</f>
        <v>186861.99</v>
      </c>
      <c r="H447" s="13">
        <f>SUM(H440:H446)</f>
        <v>0</v>
      </c>
      <c r="I447" s="13">
        <f>SUM(I440:I446)</f>
        <v>273176.09999999998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v>19389.47</v>
      </c>
      <c r="H458" s="18"/>
      <c r="I458" s="13">
        <f t="shared" si="34"/>
        <v>19389.47</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86314.11</v>
      </c>
      <c r="G460" s="18">
        <v>167472.51999999999</v>
      </c>
      <c r="H460" s="18"/>
      <c r="I460" s="13">
        <f t="shared" si="34"/>
        <v>253786.63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86314.11</v>
      </c>
      <c r="G461" s="65">
        <f>SUM(G455:G460)</f>
        <v>186861.99</v>
      </c>
      <c r="H461" s="65">
        <f>SUM(H455:H460)</f>
        <v>0</v>
      </c>
      <c r="I461" s="65">
        <f>SUM(I455:I460)</f>
        <v>273176.09999999998</v>
      </c>
      <c r="J461" s="23" t="s">
        <v>288</v>
      </c>
      <c r="K461" s="23" t="s">
        <v>288</v>
      </c>
      <c r="L461" s="23" t="s">
        <v>288</v>
      </c>
      <c r="N461" s="131"/>
    </row>
    <row r="462" spans="1:86" ht="12.2" customHeight="1" thickTop="1" x14ac:dyDescent="0.2">
      <c r="A462" s="40" t="s">
        <v>424</v>
      </c>
      <c r="B462" s="41">
        <v>18</v>
      </c>
      <c r="C462" s="64">
        <v>21</v>
      </c>
      <c r="D462" s="114" t="s">
        <v>432</v>
      </c>
      <c r="E462" s="64"/>
      <c r="F462" s="39">
        <f>F453+F461</f>
        <v>86314.11</v>
      </c>
      <c r="G462" s="39">
        <f>G453+G461</f>
        <v>186861.99</v>
      </c>
      <c r="H462" s="39">
        <f>H453+H461</f>
        <v>0</v>
      </c>
      <c r="I462" s="39">
        <f>I453+I461</f>
        <v>273176.09999999998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126530.3</v>
      </c>
      <c r="G466" s="18"/>
      <c r="H466" s="18"/>
      <c r="I466" s="18"/>
      <c r="J466" s="18">
        <v>261914.27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475517.72</v>
      </c>
      <c r="G469" s="18">
        <v>29230.98</v>
      </c>
      <c r="H469" s="18">
        <v>43303.56</v>
      </c>
      <c r="I469" s="18"/>
      <c r="J469" s="18">
        <v>11261.83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475517.72</v>
      </c>
      <c r="G471" s="19">
        <f>SUM(G469:G470)</f>
        <v>29230.98</v>
      </c>
      <c r="H471" s="19">
        <f>SUM(H469:H470)</f>
        <v>43303.56</v>
      </c>
      <c r="I471" s="19">
        <f>SUM(I469:I470)</f>
        <v>0</v>
      </c>
      <c r="J471" s="19">
        <f>SUM(J469:J470)</f>
        <v>11261.83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506984.49</v>
      </c>
      <c r="G473" s="18">
        <v>29230.98</v>
      </c>
      <c r="H473" s="18">
        <v>43303.56</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506984.49</v>
      </c>
      <c r="G475" s="19">
        <f>SUM(G473:G474)</f>
        <v>29230.98</v>
      </c>
      <c r="H475" s="19">
        <f>SUM(H473:H474)</f>
        <v>43303.56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95063.530000000028</v>
      </c>
      <c r="G477" s="19">
        <f>(G466+G471)- G475</f>
        <v>0</v>
      </c>
      <c r="H477" s="19">
        <f>(H466+H471)- H475</f>
        <v>0</v>
      </c>
      <c r="I477" s="19">
        <f>(I466+I471)- I475</f>
        <v>0</v>
      </c>
      <c r="J477" s="19">
        <f>(J466+J471)- J475</f>
        <v>273176.09999999998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v>18.38</v>
      </c>
      <c r="J522" s="18"/>
      <c r="K522" s="18"/>
      <c r="L522" s="69">
        <f>SUM(F522:K522)</f>
        <v>18.38</v>
      </c>
      <c r="N522" s="131"/>
    </row>
    <row r="523" spans="1:14" ht="12.2" customHeight="1" x14ac:dyDescent="0.2">
      <c r="A523" s="21" t="s">
        <v>634</v>
      </c>
      <c r="B523" s="22">
        <v>21</v>
      </c>
      <c r="C523" s="22">
        <v>2</v>
      </c>
      <c r="D523" s="2" t="s">
        <v>432</v>
      </c>
      <c r="E523" s="22"/>
      <c r="F523" s="18"/>
      <c r="G523" s="18"/>
      <c r="H523" s="18">
        <v>10606.04</v>
      </c>
      <c r="I523" s="18"/>
      <c r="J523" s="18"/>
      <c r="K523" s="18"/>
      <c r="L523" s="69">
        <f>SUM(F523:K523)</f>
        <v>10606.04</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10606.04</v>
      </c>
      <c r="I525" s="81">
        <f t="shared" si="36"/>
        <v>18.38</v>
      </c>
      <c r="J525" s="81">
        <f t="shared" si="36"/>
        <v>0</v>
      </c>
      <c r="K525" s="81">
        <f t="shared" si="36"/>
        <v>0</v>
      </c>
      <c r="L525" s="70">
        <f t="shared" si="36"/>
        <v>10624.42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10132.64</v>
      </c>
      <c r="I532" s="18"/>
      <c r="J532" s="18"/>
      <c r="K532" s="18"/>
      <c r="L532" s="69">
        <f>SUM(F532:K532)</f>
        <v>10132.64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10132.64</v>
      </c>
      <c r="I535" s="70">
        <f t="shared" si="38"/>
        <v>0</v>
      </c>
      <c r="J535" s="70">
        <f t="shared" si="38"/>
        <v>0</v>
      </c>
      <c r="K535" s="70">
        <f t="shared" si="38"/>
        <v>0</v>
      </c>
      <c r="L535" s="70">
        <f t="shared" si="38"/>
        <v>10132.64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20738.68</v>
      </c>
      <c r="I546" s="70">
        <f t="shared" si="41"/>
        <v>18.38</v>
      </c>
      <c r="J546" s="70">
        <f t="shared" si="41"/>
        <v>0</v>
      </c>
      <c r="K546" s="70">
        <f t="shared" si="41"/>
        <v>0</v>
      </c>
      <c r="L546" s="70">
        <f t="shared" si="41"/>
        <v>20757.059999999998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18.38</v>
      </c>
      <c r="G550" s="69">
        <f>L527</f>
        <v>0</v>
      </c>
      <c r="H550" s="69">
        <f>L532</f>
        <v>10132.64</v>
      </c>
      <c r="I550" s="69">
        <f>L537</f>
        <v>0</v>
      </c>
      <c r="J550" s="69">
        <f>L542</f>
        <v>0</v>
      </c>
      <c r="K550" s="69">
        <f>SUM(F550:J550)</f>
        <v>10151.019999999999</v>
      </c>
      <c r="L550" s="23" t="s">
        <v>288</v>
      </c>
      <c r="M550" s="8"/>
      <c r="N550" s="165"/>
    </row>
    <row r="551" spans="1:14" s="3" customFormat="1" ht="12.2" customHeight="1" x14ac:dyDescent="0.15">
      <c r="A551" s="21" t="s">
        <v>634</v>
      </c>
      <c r="B551" s="22">
        <v>21</v>
      </c>
      <c r="C551" s="22">
        <v>23</v>
      </c>
      <c r="D551" s="2" t="s">
        <v>432</v>
      </c>
      <c r="E551" s="22"/>
      <c r="F551" s="69">
        <f>L523</f>
        <v>10606.04</v>
      </c>
      <c r="G551" s="69">
        <f>L528</f>
        <v>0</v>
      </c>
      <c r="H551" s="69">
        <f>L533</f>
        <v>0</v>
      </c>
      <c r="I551" s="69">
        <f>L538</f>
        <v>0</v>
      </c>
      <c r="J551" s="69">
        <f>L543</f>
        <v>0</v>
      </c>
      <c r="K551" s="69">
        <f>SUM(F551:J551)</f>
        <v>10606.04</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10624.42</v>
      </c>
      <c r="G553" s="70">
        <f t="shared" si="42"/>
        <v>0</v>
      </c>
      <c r="H553" s="70">
        <f t="shared" si="42"/>
        <v>10132.64</v>
      </c>
      <c r="I553" s="70">
        <f t="shared" si="42"/>
        <v>0</v>
      </c>
      <c r="J553" s="70">
        <f t="shared" si="42"/>
        <v>0</v>
      </c>
      <c r="K553" s="70">
        <f t="shared" si="42"/>
        <v>20757.059999999998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165525</v>
      </c>
      <c r="I576" s="69">
        <f>SUM(F576:H576)</f>
        <v>165525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20000</v>
      </c>
      <c r="I592" s="18"/>
      <c r="J592" s="18"/>
      <c r="K592" s="80">
        <f t="shared" ref="K592:K598" si="48">SUM(H592:J592)</f>
        <v>20000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175</v>
      </c>
      <c r="I598" s="18"/>
      <c r="J598" s="18"/>
      <c r="K598" s="80">
        <f t="shared" si="48"/>
        <v>175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20175</v>
      </c>
      <c r="I599" s="81">
        <f>SUM(I592:I598)</f>
        <v>0</v>
      </c>
      <c r="J599" s="81">
        <f>SUM(J592:J598)</f>
        <v>0</v>
      </c>
      <c r="K599" s="81">
        <f>SUM(K592:K598)</f>
        <v>20175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10602.48</v>
      </c>
      <c r="I605" s="18"/>
      <c r="J605" s="18"/>
      <c r="K605" s="80">
        <f>SUM(H605:J605)</f>
        <v>10602.48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10602.48</v>
      </c>
      <c r="I606" s="81">
        <f>SUM(I603:I605)</f>
        <v>0</v>
      </c>
      <c r="J606" s="81">
        <f>SUM(J603:J605)</f>
        <v>0</v>
      </c>
      <c r="K606" s="81">
        <f>SUM(K603:K605)</f>
        <v>10602.48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107880.45</v>
      </c>
      <c r="H618" s="80">
        <f>SUM(F52)</f>
        <v>107880.45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2305.9699999999998</v>
      </c>
      <c r="H619" s="80">
        <f>SUM(G52)</f>
        <v>2305.9699999999998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25976.080000000002</v>
      </c>
      <c r="H620" s="80">
        <f>SUM(H52)</f>
        <v>25976.080000000002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273176.09999999998</v>
      </c>
      <c r="H622" s="80">
        <f>SUM(J52)</f>
        <v>273176.09999999998</v>
      </c>
      <c r="I622" s="87" t="s">
        <v>878</v>
      </c>
      <c r="J622" s="80">
        <f>G622-H622</f>
        <v>0</v>
      </c>
      <c r="K622" s="80"/>
      <c r="L622" s="80"/>
      <c r="M622" s="8"/>
    </row>
    <row r="623" spans="1:14" s="3" customFormat="1" ht="12.2" customHeight="1" x14ac:dyDescent="0.15">
      <c r="A623" s="74"/>
      <c r="B623" s="22"/>
      <c r="C623" s="22"/>
      <c r="D623" s="22"/>
      <c r="E623" s="22"/>
      <c r="F623" s="87" t="s">
        <v>864</v>
      </c>
      <c r="G623" s="80">
        <f>F51</f>
        <v>95063.53</v>
      </c>
      <c r="H623" s="80">
        <f>F477</f>
        <v>95063.530000000028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273176.09999999998</v>
      </c>
      <c r="H627" s="80">
        <f>J477</f>
        <v>273176.09999999998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475517.72000000003</v>
      </c>
      <c r="H628" s="80">
        <f>SUM(F469)</f>
        <v>475517.72</v>
      </c>
      <c r="I628" s="87" t="s">
        <v>106</v>
      </c>
      <c r="J628" s="80">
        <f>G628-H628</f>
        <v>0</v>
      </c>
      <c r="K628" s="67"/>
      <c r="L628" s="69"/>
      <c r="M628" s="8"/>
    </row>
    <row r="629" spans="1:13" s="3" customFormat="1" ht="12.2" customHeight="1" x14ac:dyDescent="0.15">
      <c r="A629" s="21"/>
      <c r="B629" s="22"/>
      <c r="C629" s="22"/>
      <c r="D629" s="22"/>
      <c r="E629" s="22"/>
      <c r="F629" s="86" t="s">
        <v>659</v>
      </c>
      <c r="G629" s="80">
        <f>G194</f>
        <v>29230.980000000003</v>
      </c>
      <c r="H629" s="80">
        <f>SUM(G469)</f>
        <v>29230.98</v>
      </c>
      <c r="I629" s="87" t="s">
        <v>107</v>
      </c>
      <c r="J629" s="80">
        <f>G629-H629</f>
        <v>0</v>
      </c>
      <c r="K629" s="67"/>
      <c r="L629" s="69"/>
      <c r="M629" s="8"/>
    </row>
    <row r="630" spans="1:13" s="3" customFormat="1" ht="12.2" customHeight="1" x14ac:dyDescent="0.15">
      <c r="A630" s="21"/>
      <c r="B630" s="22"/>
      <c r="C630" s="22"/>
      <c r="D630" s="22"/>
      <c r="E630" s="22"/>
      <c r="F630" s="86" t="s">
        <v>660</v>
      </c>
      <c r="G630" s="80">
        <f>H194</f>
        <v>43303.560000000005</v>
      </c>
      <c r="H630" s="80">
        <f>SUM(H469)</f>
        <v>43303.56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11261.83</v>
      </c>
      <c r="H632" s="80">
        <f>SUM(J469)</f>
        <v>11261.83</v>
      </c>
      <c r="I632" s="87" t="s">
        <v>110</v>
      </c>
      <c r="J632" s="80">
        <f>G632-H632</f>
        <v>0</v>
      </c>
      <c r="K632" s="67"/>
      <c r="L632" s="69"/>
      <c r="M632" s="8"/>
    </row>
    <row r="633" spans="1:13" s="3" customFormat="1" ht="12.2" customHeight="1" x14ac:dyDescent="0.15">
      <c r="A633" s="21"/>
      <c r="B633" s="22"/>
      <c r="C633" s="22"/>
      <c r="D633" s="22"/>
      <c r="E633" s="22"/>
      <c r="F633" s="86" t="s">
        <v>394</v>
      </c>
      <c r="G633" s="80">
        <f>SUM(L272)</f>
        <v>506984.49</v>
      </c>
      <c r="H633" s="80">
        <f>SUM(F473)</f>
        <v>506984.49</v>
      </c>
      <c r="I633" s="87" t="s">
        <v>111</v>
      </c>
      <c r="J633" s="80">
        <f t="shared" si="50"/>
        <v>0</v>
      </c>
      <c r="K633" s="67"/>
      <c r="L633" s="69"/>
      <c r="M633" s="8"/>
    </row>
    <row r="634" spans="1:13" s="3" customFormat="1" ht="12.2" customHeight="1" x14ac:dyDescent="0.15">
      <c r="A634" s="21"/>
      <c r="B634" s="22"/>
      <c r="C634" s="22"/>
      <c r="D634" s="22"/>
      <c r="E634" s="22"/>
      <c r="F634" s="86" t="s">
        <v>395</v>
      </c>
      <c r="G634" s="80">
        <f>SUM(L353)</f>
        <v>43303.56</v>
      </c>
      <c r="H634" s="80">
        <f>SUM(H473)</f>
        <v>43303.56</v>
      </c>
      <c r="I634" s="87" t="s">
        <v>112</v>
      </c>
      <c r="J634" s="80">
        <f>G634-H634</f>
        <v>0</v>
      </c>
      <c r="K634" s="67"/>
      <c r="L634" s="69"/>
      <c r="M634" s="8"/>
    </row>
    <row r="635" spans="1:13" s="124" customFormat="1" ht="12.2" customHeight="1" x14ac:dyDescent="0.15">
      <c r="A635" s="21"/>
      <c r="B635" s="22"/>
      <c r="C635" s="22"/>
      <c r="D635" s="22"/>
      <c r="E635" s="22"/>
      <c r="F635" s="99" t="s">
        <v>247</v>
      </c>
      <c r="G635" s="80">
        <f>I363</f>
        <v>5987.53</v>
      </c>
      <c r="H635" s="80">
        <f>I370</f>
        <v>5987.53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29230.979999999996</v>
      </c>
      <c r="H636" s="80">
        <f>SUM(G473)</f>
        <v>29230.98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11261.829999999998</v>
      </c>
      <c r="H638" s="108">
        <f>SUM(J469)</f>
        <v>11261.83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86314.11</v>
      </c>
      <c r="H640" s="80">
        <f>SUM(F462)</f>
        <v>86314.11</v>
      </c>
      <c r="I640" s="87" t="s">
        <v>840</v>
      </c>
      <c r="J640" s="80">
        <f t="shared" si="50"/>
        <v>0</v>
      </c>
      <c r="K640" s="67"/>
      <c r="L640" s="69"/>
      <c r="M640" s="8"/>
    </row>
    <row r="641" spans="1:13" s="3" customFormat="1" ht="12.2" customHeight="1" x14ac:dyDescent="0.15">
      <c r="A641" s="21"/>
      <c r="B641" s="22"/>
      <c r="C641" s="22"/>
      <c r="D641" s="22"/>
      <c r="E641" s="22"/>
      <c r="F641" s="86" t="s">
        <v>119</v>
      </c>
      <c r="G641" s="80">
        <f>SUM(G447)</f>
        <v>186861.99</v>
      </c>
      <c r="H641" s="80">
        <f>SUM(G462)</f>
        <v>186861.99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273176.09999999998</v>
      </c>
      <c r="H643" s="80">
        <f>SUM(I462)</f>
        <v>273176.09999999998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261.83</v>
      </c>
      <c r="H645" s="80">
        <f>H409</f>
        <v>261.83</v>
      </c>
      <c r="I645" s="87" t="s">
        <v>480</v>
      </c>
      <c r="J645" s="80">
        <f t="shared" si="50"/>
        <v>0</v>
      </c>
      <c r="K645" s="67"/>
      <c r="L645" s="69"/>
      <c r="M645" s="8"/>
    </row>
    <row r="646" spans="1:13" s="3" customFormat="1" ht="12.2" customHeight="1" x14ac:dyDescent="0.15">
      <c r="A646" s="21"/>
      <c r="B646" s="22"/>
      <c r="C646" s="22"/>
      <c r="D646" s="22"/>
      <c r="E646" s="22"/>
      <c r="F646" s="86" t="s">
        <v>664</v>
      </c>
      <c r="G646" s="80">
        <f>J184</f>
        <v>11000</v>
      </c>
      <c r="H646" s="80">
        <f>G409</f>
        <v>11000</v>
      </c>
      <c r="I646" s="87" t="s">
        <v>481</v>
      </c>
      <c r="J646" s="80">
        <f t="shared" si="50"/>
        <v>0</v>
      </c>
      <c r="K646" s="67"/>
      <c r="L646" s="69"/>
      <c r="M646" s="8"/>
    </row>
    <row r="647" spans="1:13" s="3" customFormat="1" ht="12.2" customHeight="1" x14ac:dyDescent="0.15">
      <c r="A647" s="21"/>
      <c r="B647" s="22"/>
      <c r="C647" s="22"/>
      <c r="D647" s="22"/>
      <c r="E647" s="22"/>
      <c r="F647" s="86" t="s">
        <v>662</v>
      </c>
      <c r="G647" s="80">
        <f>J194</f>
        <v>11261.83</v>
      </c>
      <c r="H647" s="80">
        <f>L409</f>
        <v>11261.829999999998</v>
      </c>
      <c r="I647" s="87" t="s">
        <v>477</v>
      </c>
      <c r="J647" s="80">
        <f t="shared" si="50"/>
        <v>0</v>
      </c>
      <c r="K647" s="67"/>
      <c r="L647" s="69"/>
      <c r="M647" s="8"/>
    </row>
    <row r="648" spans="1:13" s="3" customFormat="1" ht="12.2" customHeight="1" x14ac:dyDescent="0.15">
      <c r="A648" s="21"/>
      <c r="B648" s="22"/>
      <c r="C648" s="22"/>
      <c r="D648" s="22"/>
      <c r="E648" s="22"/>
      <c r="F648" s="86" t="s">
        <v>51</v>
      </c>
      <c r="G648" s="80">
        <f>K599</f>
        <v>20175</v>
      </c>
      <c r="H648" s="80">
        <f>L209+L227+L245</f>
        <v>20175</v>
      </c>
      <c r="I648" s="87" t="s">
        <v>396</v>
      </c>
      <c r="J648" s="80">
        <f t="shared" si="50"/>
        <v>0</v>
      </c>
      <c r="K648" s="67"/>
      <c r="L648" s="69"/>
      <c r="M648" s="8"/>
    </row>
    <row r="649" spans="1:13" s="3" customFormat="1" ht="12.2" customHeight="1" x14ac:dyDescent="0.15">
      <c r="A649" s="21"/>
      <c r="B649" s="22"/>
      <c r="C649" s="22"/>
      <c r="D649" s="22"/>
      <c r="E649" s="22"/>
      <c r="F649" s="86" t="s">
        <v>52</v>
      </c>
      <c r="G649" s="80">
        <f>K606</f>
        <v>10602.48</v>
      </c>
      <c r="H649" s="80">
        <f>(J258+J339)-(J256+J337)</f>
        <v>10602.48</v>
      </c>
      <c r="I649" s="87" t="s">
        <v>699</v>
      </c>
      <c r="J649" s="80">
        <f t="shared" si="50"/>
        <v>0</v>
      </c>
      <c r="K649" s="67"/>
      <c r="L649" s="69"/>
      <c r="M649" s="8"/>
    </row>
    <row r="650" spans="1:13" s="3" customFormat="1" ht="12.2" customHeight="1" x14ac:dyDescent="0.15">
      <c r="A650" s="21"/>
      <c r="B650" s="22"/>
      <c r="C650" s="22"/>
      <c r="D650" s="22"/>
      <c r="E650" s="22"/>
      <c r="F650" s="86" t="s">
        <v>387</v>
      </c>
      <c r="G650" s="80">
        <f>L209</f>
        <v>20175</v>
      </c>
      <c r="H650" s="80">
        <f>H599</f>
        <v>20175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19431.740000000002</v>
      </c>
      <c r="H653" s="80">
        <f>K264+K346</f>
        <v>19431.740000000002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11000</v>
      </c>
      <c r="H656" s="80">
        <f>K267+K348</f>
        <v>11000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368870</v>
      </c>
      <c r="G661" s="13">
        <f>(L230+L310+L360)</f>
        <v>0</v>
      </c>
      <c r="H661" s="13">
        <f>(L248+L329+L361)</f>
        <v>165525</v>
      </c>
      <c r="I661" s="13">
        <f>SUM(F661:H661)</f>
        <v>534395</v>
      </c>
      <c r="J661" s="13"/>
      <c r="K661" s="13"/>
      <c r="L661" s="13"/>
      <c r="M661" s="9"/>
    </row>
    <row r="662" spans="1:13" s="3" customFormat="1" ht="12.2" customHeight="1" x14ac:dyDescent="0.2">
      <c r="A662" s="1" t="s">
        <v>127</v>
      </c>
      <c r="F662" s="13">
        <f>(L359/IF(SUM(L359:L361)=0,1,SUM(L359:L361))*(SUM(G97:G110)))</f>
        <v>8893.1</v>
      </c>
      <c r="G662" s="13">
        <f>(L360/IF(SUM(L359:L361)=0,1,SUM(L359:L361))*(SUM(G97:G110)))</f>
        <v>0</v>
      </c>
      <c r="H662" s="13">
        <f>(L361/IF(SUM(L359:L361)=0,1,SUM(L359:L361))*(SUM(G97:G110)))</f>
        <v>0</v>
      </c>
      <c r="I662" s="13">
        <f>SUM(F662:H662)</f>
        <v>8893.1</v>
      </c>
      <c r="J662"/>
      <c r="K662" s="13"/>
      <c r="L662" s="13"/>
      <c r="M662" s="8"/>
    </row>
    <row r="663" spans="1:13" s="3" customFormat="1" ht="12.2" customHeight="1" x14ac:dyDescent="0.2">
      <c r="A663" s="1" t="s">
        <v>128</v>
      </c>
      <c r="F663" s="13">
        <f>(L209+L288)-(J209+J288)</f>
        <v>20175</v>
      </c>
      <c r="G663" s="13">
        <f>(L227+L307)-(J227+J307)</f>
        <v>0</v>
      </c>
      <c r="H663" s="13">
        <f>(L245+L326)-(J245+J326)</f>
        <v>0</v>
      </c>
      <c r="I663" s="13">
        <f>SUM(F663:H663)</f>
        <v>20175</v>
      </c>
      <c r="J663"/>
      <c r="K663" s="13"/>
      <c r="L663" s="13"/>
      <c r="M663" s="9"/>
    </row>
    <row r="664" spans="1:13" s="3" customFormat="1" ht="12.2" customHeight="1" x14ac:dyDescent="0.15">
      <c r="A664" s="142" t="s">
        <v>129</v>
      </c>
      <c r="B664" s="124"/>
      <c r="C664" s="124"/>
      <c r="D664" s="124"/>
      <c r="E664" s="124"/>
      <c r="F664" s="143">
        <f>SUM(F576:F588)+SUM(H603:H605)+SUM(L612)</f>
        <v>10602.48</v>
      </c>
      <c r="G664" s="143">
        <f>SUM(G576:G588)+SUM(I603:I605)+L613</f>
        <v>0</v>
      </c>
      <c r="H664" s="143">
        <f>SUM(H576:H588)+SUM(J603:J605)+L614</f>
        <v>165525</v>
      </c>
      <c r="I664" s="13">
        <f>SUM(F664:H664)</f>
        <v>176127.48</v>
      </c>
      <c r="J664" s="13"/>
      <c r="K664" s="13"/>
      <c r="L664" s="13"/>
      <c r="M664" s="9"/>
    </row>
    <row r="665" spans="1:13" s="3" customFormat="1" ht="12.2" customHeight="1" x14ac:dyDescent="0.15">
      <c r="A665" s="1" t="s">
        <v>130</v>
      </c>
      <c r="F665" s="13">
        <f>F661-SUM(F662:F664)</f>
        <v>329199.42</v>
      </c>
      <c r="G665" s="13">
        <f>G661-SUM(G662:G664)</f>
        <v>0</v>
      </c>
      <c r="H665" s="13">
        <f>H661-SUM(H662:H664)</f>
        <v>0</v>
      </c>
      <c r="I665" s="13">
        <f>I661-SUM(I662:I664)</f>
        <v>329199.42</v>
      </c>
      <c r="J665" s="13"/>
      <c r="K665" s="13"/>
      <c r="L665" s="13"/>
      <c r="M665" s="8"/>
    </row>
    <row r="666" spans="1:13" s="3" customFormat="1" ht="12.2" customHeight="1" x14ac:dyDescent="0.2">
      <c r="A666" s="1" t="s">
        <v>131</v>
      </c>
      <c r="F666" s="183">
        <v>12.09</v>
      </c>
      <c r="G666" s="184">
        <v>0</v>
      </c>
      <c r="H666" s="184">
        <v>0</v>
      </c>
      <c r="I666" s="13">
        <f>SUM(F666:H666)</f>
        <v>12.09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27229.07</v>
      </c>
      <c r="G668" s="13" t="e">
        <f>ROUND(G665/G666,2)</f>
        <v>#DIV/0!</v>
      </c>
      <c r="H668" s="13" t="e">
        <f>ROUND(H665/H666,2)</f>
        <v>#DIV/0!</v>
      </c>
      <c r="I668" s="13">
        <f>ROUND(I665/I666,2)</f>
        <v>27229.07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27229.07</v>
      </c>
      <c r="G673" s="13" t="e">
        <f>ROUND((G665+G670)/(G666+G671),2)</f>
        <v>#DIV/0!</v>
      </c>
      <c r="H673" s="13" t="e">
        <f>ROUND((H665+H670)/(H666+H671),2)</f>
        <v>#DIV/0!</v>
      </c>
      <c r="I673" s="13">
        <f>ROUND((I665+I670)/(I666+I671),2)</f>
        <v>27229.07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1" right="1" top="1" bottom="1" header="0.5" footer="0.5"/>
  <pageSetup paperSize="5" scale="81" fitToHeight="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5" sqref="C3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11092.23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377.81+354.42+360</f>
        <v>1092.23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10000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Errol</v>
      </c>
      <c r="C5" s="317"/>
      <c r="D5" s="317"/>
      <c r="E5" s="317"/>
      <c r="F5" s="317"/>
    </row>
    <row r="8" spans="1:9" ht="18" x14ac:dyDescent="0.25">
      <c r="A8" s="240" t="s">
        <v>1560</v>
      </c>
      <c r="F8" s="247" t="s">
        <v>1578</v>
      </c>
    </row>
    <row r="9" spans="1:9" ht="15" x14ac:dyDescent="0.2">
      <c r="A9" s="238" t="s">
        <v>1561</v>
      </c>
      <c r="B9" s="241">
        <f>'DOE25'!G97</f>
        <v>8893.1</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906.14</v>
      </c>
      <c r="F12" s="238" t="s">
        <v>1577</v>
      </c>
    </row>
    <row r="13" spans="1:9" ht="15" x14ac:dyDescent="0.2">
      <c r="A13" s="238" t="s">
        <v>1565</v>
      </c>
      <c r="B13" s="241">
        <f>'DOE25'!G193-'DOE25'!G180</f>
        <v>0</v>
      </c>
      <c r="F13" s="238" t="s">
        <v>1587</v>
      </c>
    </row>
    <row r="14" spans="1:9" ht="18" x14ac:dyDescent="0.25">
      <c r="A14" s="240" t="s">
        <v>732</v>
      </c>
      <c r="B14" s="242">
        <f>SUM(B9:B13)</f>
        <v>9799.24</v>
      </c>
    </row>
    <row r="16" spans="1:9" ht="18" x14ac:dyDescent="0.25">
      <c r="A16" s="240" t="s">
        <v>786</v>
      </c>
      <c r="F16" s="247" t="s">
        <v>1579</v>
      </c>
    </row>
    <row r="17" spans="1:6" ht="15" x14ac:dyDescent="0.2">
      <c r="A17" s="238" t="s">
        <v>1566</v>
      </c>
      <c r="B17" s="241">
        <f>'DOE25'!L363-'DOE25'!L362</f>
        <v>29230.979999999996</v>
      </c>
      <c r="F17" s="238" t="s">
        <v>1580</v>
      </c>
    </row>
    <row r="18" spans="1:6" ht="15" x14ac:dyDescent="0.2">
      <c r="A18" s="238" t="s">
        <v>1567</v>
      </c>
      <c r="B18" s="251"/>
      <c r="F18" s="247" t="s">
        <v>1604</v>
      </c>
    </row>
    <row r="19" spans="1:6" ht="18" x14ac:dyDescent="0.25">
      <c r="A19" s="240" t="s">
        <v>725</v>
      </c>
      <c r="B19" s="242">
        <f>SUM(B17:B18)</f>
        <v>29230.979999999996</v>
      </c>
    </row>
    <row r="21" spans="1:6" ht="18.75" thickBot="1" x14ac:dyDescent="0.3">
      <c r="A21" s="240" t="s">
        <v>1568</v>
      </c>
    </row>
    <row r="22" spans="1:6" ht="18.75" thickTop="1" x14ac:dyDescent="0.25">
      <c r="A22" s="240" t="s">
        <v>1569</v>
      </c>
      <c r="B22" s="246">
        <f>B14-B19</f>
        <v>-19431.739999999998</v>
      </c>
      <c r="F22" s="238" t="s">
        <v>1581</v>
      </c>
    </row>
    <row r="26" spans="1:6" ht="18" x14ac:dyDescent="0.25">
      <c r="A26" s="240" t="s">
        <v>186</v>
      </c>
    </row>
    <row r="27" spans="1:6" ht="15" x14ac:dyDescent="0.2">
      <c r="A27" s="238" t="s">
        <v>1570</v>
      </c>
      <c r="B27" s="241">
        <f>'DOE25'!G180</f>
        <v>19431.740000000002</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f>11.25+15+7.5+26.25+7.5+15+22.5+18.75</f>
        <v>123.75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Errol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105323.81</v>
      </c>
      <c r="C9" s="167">
        <f>'DOE25'!G198+'DOE25'!G216+'DOE25'!G234+'DOE25'!G277+'DOE25'!G296+'DOE25'!G315</f>
        <v>31733.66</v>
      </c>
    </row>
    <row r="10" spans="1:3" x14ac:dyDescent="0.2">
      <c r="A10" t="s">
        <v>775</v>
      </c>
      <c r="B10" s="177">
        <v>105323.81</v>
      </c>
      <c r="C10" s="177">
        <v>31733.66</v>
      </c>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105323.81</v>
      </c>
      <c r="C13" s="169">
        <f>SUM(C10:C12)</f>
        <v>31733.66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E39" sqref="E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Errol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307541.92000000004</v>
      </c>
      <c r="D5" s="19">
        <f>SUM('DOE25'!L198:L201)+SUM('DOE25'!L216:L219)+SUM('DOE25'!L234:L237)-F5-G5-H5</f>
        <v>306308.59000000003</v>
      </c>
      <c r="E5" s="180"/>
      <c r="F5" s="181"/>
      <c r="G5" s="19">
        <f>SUM('DOE25'!J198:J201)+SUM('DOE25'!J216:J219)+SUM('DOE25'!J234:J237)</f>
        <v>1233.33</v>
      </c>
      <c r="H5" s="19">
        <f>SUM('DOE25'!K198:K201)+SUM('DOE25'!K216:K219)+SUM('DOE25'!K234:K237)</f>
        <v>0</v>
      </c>
      <c r="I5" s="192"/>
    </row>
    <row r="6" spans="1:9" x14ac:dyDescent="0.2">
      <c r="A6" s="31">
        <v>2100</v>
      </c>
      <c r="B6" t="s">
        <v>796</v>
      </c>
      <c r="C6" s="206">
        <f t="shared" si="0"/>
        <v>14216.29</v>
      </c>
      <c r="D6" s="19">
        <f>'DOE25'!L203+'DOE25'!L221+'DOE25'!L239-F6-G6-H6</f>
        <v>14216.29</v>
      </c>
      <c r="E6" s="180"/>
      <c r="F6" s="181"/>
      <c r="G6" s="19">
        <f>'DOE25'!J203+'DOE25'!J221+'DOE25'!J239</f>
        <v>0</v>
      </c>
      <c r="H6" s="19">
        <f>'DOE25'!K203+'DOE25'!K221+'DOE25'!K239</f>
        <v>0</v>
      </c>
      <c r="I6" s="192"/>
    </row>
    <row r="7" spans="1:9" x14ac:dyDescent="0.2">
      <c r="A7" s="31">
        <v>2200</v>
      </c>
      <c r="B7" t="s">
        <v>820</v>
      </c>
      <c r="C7" s="206">
        <f t="shared" si="0"/>
        <v>456.78</v>
      </c>
      <c r="D7" s="19">
        <f>'DOE25'!L204+'DOE25'!L222+'DOE25'!L240-F7-G7-H7</f>
        <v>456.78</v>
      </c>
      <c r="E7" s="180"/>
      <c r="F7" s="181"/>
      <c r="G7" s="19">
        <f>'DOE25'!J204+'DOE25'!J222+'DOE25'!J240</f>
        <v>0</v>
      </c>
      <c r="H7" s="19">
        <f>'DOE25'!K204+'DOE25'!K222+'DOE25'!K240</f>
        <v>0</v>
      </c>
      <c r="I7" s="192"/>
    </row>
    <row r="8" spans="1:9" x14ac:dyDescent="0.2">
      <c r="A8" s="31">
        <v>2300</v>
      </c>
      <c r="B8" t="s">
        <v>797</v>
      </c>
      <c r="C8" s="206">
        <f t="shared" si="0"/>
        <v>66519</v>
      </c>
      <c r="D8" s="180"/>
      <c r="E8" s="19">
        <f>'DOE25'!L205+'DOE25'!L223+'DOE25'!L241-F8-G8-H8-D9-D11</f>
        <v>64852.53</v>
      </c>
      <c r="F8" s="181"/>
      <c r="G8" s="19">
        <f>'DOE25'!J205+'DOE25'!J223+'DOE25'!J241</f>
        <v>0</v>
      </c>
      <c r="H8" s="19">
        <f>'DOE25'!K205+'DOE25'!K223+'DOE25'!K241</f>
        <v>1666.47</v>
      </c>
      <c r="I8" s="192"/>
    </row>
    <row r="9" spans="1:9" ht="14.25" x14ac:dyDescent="0.2">
      <c r="A9" s="31">
        <v>2310</v>
      </c>
      <c r="B9" s="71" t="s">
        <v>887</v>
      </c>
      <c r="C9" s="206">
        <f t="shared" si="0"/>
        <v>4722.05</v>
      </c>
      <c r="D9" s="181">
        <v>4722.05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29243.4</v>
      </c>
      <c r="D12" s="19">
        <f>'DOE25'!L206+'DOE25'!L224+'DOE25'!L242-F12-G12-H12</f>
        <v>28326.400000000001</v>
      </c>
      <c r="E12" s="180"/>
      <c r="F12" s="181"/>
      <c r="G12" s="19">
        <f>'DOE25'!J206+'DOE25'!J224+'DOE25'!J242</f>
        <v>0</v>
      </c>
      <c r="H12" s="19">
        <f>'DOE25'!K206+'DOE25'!K224+'DOE25'!K242</f>
        <v>917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33678.31</v>
      </c>
      <c r="D14" s="19">
        <f>'DOE25'!L208+'DOE25'!L226+'DOE25'!L244-F14-G14-H14</f>
        <v>33663.31</v>
      </c>
      <c r="E14" s="180"/>
      <c r="F14" s="181"/>
      <c r="G14" s="19">
        <f>'DOE25'!J208+'DOE25'!J226+'DOE25'!J244</f>
        <v>0</v>
      </c>
      <c r="H14" s="19">
        <f>'DOE25'!K208+'DOE25'!K226+'DOE25'!K244</f>
        <v>15</v>
      </c>
      <c r="I14" s="192"/>
    </row>
    <row r="15" spans="1:9" x14ac:dyDescent="0.2">
      <c r="A15" s="31">
        <v>2700</v>
      </c>
      <c r="B15" t="s">
        <v>799</v>
      </c>
      <c r="C15" s="206">
        <f t="shared" si="0"/>
        <v>20175</v>
      </c>
      <c r="D15" s="19">
        <f>'DOE25'!L209+'DOE25'!L227+'DOE25'!L245-F15-G15-H15</f>
        <v>20175</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12893</v>
      </c>
      <c r="D22" s="180"/>
      <c r="E22" s="180"/>
      <c r="F22" s="180"/>
      <c r="G22" s="19">
        <f>'DOE25'!L256+'DOE25'!L337</f>
        <v>12893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24719.699999999997</v>
      </c>
      <c r="D29" s="212">
        <f>'DOE25'!L359+'DOE25'!L360+'DOE25'!L361-'DOE25'!I368-F29-G29-H29-F39</f>
        <v>22094.119999999995</v>
      </c>
      <c r="E29" s="180"/>
      <c r="F29" s="180"/>
      <c r="G29" s="19">
        <f>'DOE25'!J359+'DOE25'!J360+'DOE25'!J361</f>
        <v>2625.58</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28611.269999999997</v>
      </c>
      <c r="D31" s="19">
        <f>'DOE25'!L291+'DOE25'!L310+'DOE25'!L329+'DOE25'!L334+'DOE25'!L335+'DOE25'!L336-F31-G31-H31</f>
        <v>19013.119999999995</v>
      </c>
      <c r="E31" s="180"/>
      <c r="F31" s="181"/>
      <c r="G31" s="19">
        <f>'DOE25'!J291+'DOE25'!J310+'DOE25'!J329+'DOE25'!J334+'DOE25'!J335+'DOE25'!J336</f>
        <v>9369.15</v>
      </c>
      <c r="H31" s="19">
        <f>'DOE25'!K291+'DOE25'!K310+'DOE25'!K329+'DOE25'!K334+'DOE25'!K335+'DOE25'!K336</f>
        <v>229</v>
      </c>
      <c r="I31" s="192"/>
    </row>
    <row r="32" spans="1:9" ht="12" thickBot="1" x14ac:dyDescent="0.25">
      <c r="C32" s="207"/>
      <c r="G32" s="188"/>
      <c r="H32" s="188"/>
      <c r="I32" s="194"/>
    </row>
    <row r="33" spans="1:9" ht="12" thickTop="1" x14ac:dyDescent="0.2">
      <c r="B33" t="s">
        <v>809</v>
      </c>
      <c r="D33" s="182">
        <f t="shared" ref="D33:I33" si="1">SUM(D5:D31)</f>
        <v>448975.66000000003</v>
      </c>
      <c r="E33" s="182">
        <f t="shared" si="1"/>
        <v>64852.53</v>
      </c>
      <c r="F33" s="182">
        <f t="shared" si="1"/>
        <v>0</v>
      </c>
      <c r="G33" s="182">
        <f t="shared" si="1"/>
        <v>26121.059999999998</v>
      </c>
      <c r="H33" s="182">
        <f t="shared" si="1"/>
        <v>2827.4700000000003</v>
      </c>
      <c r="I33" s="182">
        <f t="shared" si="1"/>
        <v>0</v>
      </c>
    </row>
    <row r="34" spans="1:9" ht="12" thickBot="1" x14ac:dyDescent="0.25"/>
    <row r="35" spans="1:9" ht="12" thickBot="1" x14ac:dyDescent="0.25">
      <c r="B35" s="188" t="s">
        <v>830</v>
      </c>
      <c r="D35" s="189">
        <f>E33</f>
        <v>64852.53</v>
      </c>
      <c r="E35" s="185"/>
      <c r="F35" s="295" t="s">
        <v>1608</v>
      </c>
      <c r="G35" s="296"/>
      <c r="H35" s="296"/>
      <c r="I35" s="297"/>
    </row>
    <row r="36" spans="1:9" ht="12" thickTop="1" x14ac:dyDescent="0.2">
      <c r="B36" t="s">
        <v>810</v>
      </c>
      <c r="D36" s="19">
        <f>D33</f>
        <v>448975.66000000003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Errol</v>
      </c>
      <c r="B2">
        <f>'DOE25'!B2</f>
        <v>171</v>
      </c>
      <c r="J2" s="224" t="s">
        <v>1808</v>
      </c>
      <c r="K2" s="309">
        <f>SUM('DOE25'!L198:L201)+SUM('DOE25'!L216:L219)+SUM('DOE25'!L234:L237)+SUM('DOE25'!L277:L280)+SUM('DOE25'!L296:L299)+SUM('DOE25'!L315:L318)</f>
        <v>322647.91000000003</v>
      </c>
      <c r="L2" s="309">
        <f>'DOE25'!L203+'DOE25'!L221+'DOE25'!L239+'DOE25'!L282+'DOE25'!L301+'DOE25'!L320</f>
        <v>16016.29</v>
      </c>
      <c r="M2" s="309">
        <f>'DOE25'!L204+'DOE25'!L222+'DOE25'!L240+'DOE25'!L283+'DOE25'!L302+'DOE25'!L321</f>
        <v>2792.91</v>
      </c>
      <c r="N2" s="309">
        <f>'DOE25'!L206+'DOE25'!L224+'DOE25'!L242+'DOE25'!L285+'DOE25'!L304+'DOE25'!L323</f>
        <v>29243.4</v>
      </c>
      <c r="O2" s="309">
        <f>'Salaries-Benefits'!B10+'Salaries-Benefits'!B12+'Salaries-Benefits'!B19+'Salaries-Benefits'!B21+'Salaries-Benefits'!B28+'Salaries-Benefits'!B30+'Salaries-Benefits'!B37+'Salaries-Benefits'!B39</f>
        <v>105323.81</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-322647.91000000003</v>
      </c>
      <c r="L3" s="311">
        <f t="shared" ref="L3:P3" si="0">L21+L33+L43-L2</f>
        <v>-16016.29</v>
      </c>
      <c r="M3" s="311">
        <f t="shared" si="0"/>
        <v>-2792.91</v>
      </c>
      <c r="N3" s="311">
        <f t="shared" si="0"/>
        <v>-29243.4</v>
      </c>
      <c r="O3" s="311">
        <f t="shared" si="0"/>
        <v>-105323.81</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339639.02</v>
      </c>
      <c r="G4" s="229">
        <f>'DOE25'!L212+'DOE25'!L291</f>
        <v>339639.02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Errol Consolidated Elementary School</v>
      </c>
      <c r="B6" s="230">
        <f>IFERROR(VLOOKUP(A6,'School Tables'!$C$3:$D$365,2,FALSE),"")</f>
        <v>20735</v>
      </c>
      <c r="C6" s="223" t="str">
        <f>IFERROR(INDEX('School Tables'!$B$3:$B$365,MATCH('School Level Expenditures'!B6,'School Tables'!$D$3:$D$365,0)),"")</f>
        <v>Errol</v>
      </c>
      <c r="D6" s="220">
        <v>296335.46000000002</v>
      </c>
      <c r="E6" s="220">
        <v>43303.56</v>
      </c>
      <c r="F6" s="232">
        <f>D6+E6</f>
        <v>339639.02</v>
      </c>
      <c r="G6" s="223"/>
      <c r="H6" s="223"/>
      <c r="J6" t="str">
        <f>A6</f>
        <v>Errol Consolidated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ref="F7:F20" si="1">D7+E7</f>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296335.46000000002</v>
      </c>
      <c r="E21" s="262">
        <f>SUM(E5:E20)</f>
        <v>43303.56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165525</v>
      </c>
      <c r="G36" s="229">
        <f>'DOE25'!L248+'DOE25'!L329</f>
        <v>165525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165525</v>
      </c>
      <c r="E37" s="220"/>
      <c r="F37" s="232">
        <f t="shared" ref="F37:F42" si="7">D37+E37</f>
        <v>165525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165525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Errol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47026.94</v>
      </c>
      <c r="D8" s="73">
        <f>'DOE25'!G9</f>
        <v>0</v>
      </c>
      <c r="E8" s="73">
        <f>'DOE25'!H9</f>
        <v>0</v>
      </c>
      <c r="F8" s="73">
        <f>'DOE25'!I9</f>
        <v>0</v>
      </c>
      <c r="G8" s="73">
        <f>'DOE25'!J9</f>
        <v>0</v>
      </c>
      <c r="H8" s="13">
        <f>SUM(C8:G8)</f>
        <v>47026.94</v>
      </c>
      <c r="I8" s="90"/>
    </row>
    <row r="9" spans="1:9" x14ac:dyDescent="0.2">
      <c r="A9" s="1" t="s">
        <v>140</v>
      </c>
      <c r="B9" s="6">
        <v>110</v>
      </c>
      <c r="C9" s="73">
        <f>'DOE25'!F10</f>
        <v>39971.17</v>
      </c>
      <c r="D9" s="73">
        <f>'DOE25'!G10</f>
        <v>0</v>
      </c>
      <c r="E9" s="73">
        <f>'DOE25'!H10</f>
        <v>0</v>
      </c>
      <c r="F9" s="73">
        <f>'DOE25'!I10</f>
        <v>0</v>
      </c>
      <c r="G9" s="73">
        <f>'DOE25'!J10</f>
        <v>272836.09999999998</v>
      </c>
      <c r="H9" s="13">
        <f t="shared" ref="H9:H18" si="0">SUM(C9:G9)</f>
        <v>312807.26999999996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20882.34</v>
      </c>
      <c r="D11" s="73">
        <f>'DOE25'!G12</f>
        <v>0</v>
      </c>
      <c r="E11" s="73">
        <f>'DOE25'!H12</f>
        <v>0</v>
      </c>
      <c r="F11" s="73">
        <f>'DOE25'!I12</f>
        <v>0</v>
      </c>
      <c r="G11" s="73">
        <f>'DOE25'!J12</f>
        <v>340</v>
      </c>
      <c r="H11" s="13">
        <f t="shared" si="0"/>
        <v>21222.34</v>
      </c>
      <c r="I11" s="90"/>
    </row>
    <row r="12" spans="1:9" x14ac:dyDescent="0.2">
      <c r="A12" s="1" t="s">
        <v>143</v>
      </c>
      <c r="B12" s="6">
        <v>140</v>
      </c>
      <c r="C12" s="73">
        <f>'DOE25'!F13</f>
        <v>0</v>
      </c>
      <c r="D12" s="73">
        <f>'DOE25'!G13</f>
        <v>2305.9699999999998</v>
      </c>
      <c r="E12" s="73">
        <f>'DOE25'!H13</f>
        <v>25976.080000000002</v>
      </c>
      <c r="F12" s="73">
        <f>'DOE25'!I13</f>
        <v>0</v>
      </c>
      <c r="G12" s="73">
        <f>'DOE25'!J13</f>
        <v>0</v>
      </c>
      <c r="H12" s="13">
        <f t="shared" si="0"/>
        <v>28282.050000000003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107880.45</v>
      </c>
      <c r="D18" s="38">
        <f>SUM(D8:D17)</f>
        <v>2305.9699999999998</v>
      </c>
      <c r="E18" s="38">
        <f>SUM(E8:E17)</f>
        <v>25976.080000000002</v>
      </c>
      <c r="F18" s="38">
        <f>SUM(F8:F17)</f>
        <v>0</v>
      </c>
      <c r="G18" s="38">
        <f>SUM(G8:G17)</f>
        <v>273176.09999999998</v>
      </c>
      <c r="H18" s="38">
        <f t="shared" si="0"/>
        <v>409338.6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2305.9699999999998</v>
      </c>
      <c r="E21" s="73">
        <f>'DOE25'!H22</f>
        <v>21222.34</v>
      </c>
      <c r="F21" s="73">
        <f>'DOE25'!I22</f>
        <v>0</v>
      </c>
      <c r="G21" s="73">
        <f>'DOE25'!J22</f>
        <v>0</v>
      </c>
      <c r="H21" s="13">
        <f t="shared" ref="H21:H31" si="1">SUM(C21:G21)</f>
        <v>23528.31</v>
      </c>
      <c r="I21" s="90"/>
    </row>
    <row r="22" spans="1:9" x14ac:dyDescent="0.2">
      <c r="A22" s="1" t="s">
        <v>151</v>
      </c>
      <c r="B22" s="6">
        <v>410</v>
      </c>
      <c r="C22" s="73">
        <f>'DOE25'!F23</f>
        <v>252.53000000000003</v>
      </c>
      <c r="D22" s="73">
        <f>'DOE25'!G23</f>
        <v>0</v>
      </c>
      <c r="E22" s="73">
        <f>'DOE25'!H23</f>
        <v>2889.93</v>
      </c>
      <c r="F22" s="73">
        <f>'DOE25'!I23</f>
        <v>0</v>
      </c>
      <c r="G22" s="73">
        <f>'DOE25'!J23</f>
        <v>0</v>
      </c>
      <c r="H22" s="13">
        <f t="shared" si="1"/>
        <v>3142.46</v>
      </c>
      <c r="I22" s="90"/>
    </row>
    <row r="23" spans="1:9" x14ac:dyDescent="0.2">
      <c r="A23" s="1" t="s">
        <v>152</v>
      </c>
      <c r="B23" s="6">
        <v>420</v>
      </c>
      <c r="C23" s="73">
        <f>'DOE25'!F24</f>
        <v>5081.3599999999997</v>
      </c>
      <c r="D23" s="73">
        <f>'DOE25'!G24</f>
        <v>0</v>
      </c>
      <c r="E23" s="73">
        <f>'DOE25'!H24</f>
        <v>0</v>
      </c>
      <c r="F23" s="73">
        <f>'DOE25'!I24</f>
        <v>0</v>
      </c>
      <c r="G23" s="73">
        <f>'DOE25'!J24</f>
        <v>0</v>
      </c>
      <c r="H23" s="13">
        <f t="shared" si="1"/>
        <v>5081.3599999999997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200.62</v>
      </c>
      <c r="D28" s="73">
        <f>'DOE25'!G29</f>
        <v>0</v>
      </c>
      <c r="E28" s="73">
        <f>'DOE25'!H29</f>
        <v>0</v>
      </c>
      <c r="F28" s="73">
        <f>'DOE25'!I29</f>
        <v>0</v>
      </c>
      <c r="G28" s="23" t="s">
        <v>288</v>
      </c>
      <c r="H28" s="13">
        <f t="shared" si="1"/>
        <v>200.62</v>
      </c>
      <c r="I28" s="90"/>
    </row>
    <row r="29" spans="1:9" x14ac:dyDescent="0.2">
      <c r="A29" s="1" t="s">
        <v>158</v>
      </c>
      <c r="B29" s="6">
        <v>480</v>
      </c>
      <c r="C29" s="73">
        <f>'DOE25'!F30</f>
        <v>7282.41</v>
      </c>
      <c r="D29" s="73">
        <f>'DOE25'!G30</f>
        <v>0</v>
      </c>
      <c r="E29" s="73">
        <f>'DOE25'!H30</f>
        <v>1863.81</v>
      </c>
      <c r="F29" s="73">
        <f>'DOE25'!I30</f>
        <v>0</v>
      </c>
      <c r="G29" s="23" t="s">
        <v>288</v>
      </c>
      <c r="H29" s="13">
        <f t="shared" si="1"/>
        <v>9146.2199999999993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12816.919999999998</v>
      </c>
      <c r="D31" s="38">
        <f>SUM(D21:D30)</f>
        <v>2305.9699999999998</v>
      </c>
      <c r="E31" s="38">
        <f>SUM(E21:E30)</f>
        <v>25976.080000000002</v>
      </c>
      <c r="F31" s="38">
        <f>SUM(F21:F30)</f>
        <v>0</v>
      </c>
      <c r="G31" s="38">
        <f>SUM(G21:G30)</f>
        <v>0</v>
      </c>
      <c r="H31" s="38">
        <f t="shared" si="1"/>
        <v>41098.97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19389.47</v>
      </c>
      <c r="H36" s="13">
        <f t="shared" si="2"/>
        <v>19389.47</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19389.3</v>
      </c>
      <c r="D45" s="23" t="s">
        <v>288</v>
      </c>
      <c r="E45" s="23" t="s">
        <v>288</v>
      </c>
      <c r="F45" s="23" t="s">
        <v>288</v>
      </c>
      <c r="G45" s="23" t="s">
        <v>288</v>
      </c>
      <c r="H45" s="13">
        <f t="shared" si="2"/>
        <v>19389.3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253786.63</v>
      </c>
      <c r="H47" s="13">
        <f t="shared" si="2"/>
        <v>253786.63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75674.23</v>
      </c>
      <c r="D49" s="23" t="s">
        <v>288</v>
      </c>
      <c r="E49" s="23" t="s">
        <v>288</v>
      </c>
      <c r="F49" s="23" t="s">
        <v>288</v>
      </c>
      <c r="G49" s="23" t="s">
        <v>288</v>
      </c>
      <c r="H49" s="13">
        <f t="shared" si="2"/>
        <v>75674.23</v>
      </c>
      <c r="I49" s="90"/>
    </row>
    <row r="50" spans="1:9" ht="12.75" thickTop="1" thickBot="1" x14ac:dyDescent="0.25">
      <c r="A50" s="35" t="s">
        <v>883</v>
      </c>
      <c r="B50" s="44"/>
      <c r="C50" s="38">
        <f>SUM(C34:C49)</f>
        <v>95063.53</v>
      </c>
      <c r="D50" s="38">
        <f>SUM(D34:D49)</f>
        <v>0</v>
      </c>
      <c r="E50" s="38">
        <f>SUM(E34:E49)</f>
        <v>0</v>
      </c>
      <c r="F50" s="38">
        <f>SUM(F34:F49)</f>
        <v>0</v>
      </c>
      <c r="G50" s="38">
        <f>SUM(G34:G49)</f>
        <v>273176.09999999998</v>
      </c>
      <c r="H50" s="38">
        <f t="shared" si="2"/>
        <v>368239.63</v>
      </c>
      <c r="I50" s="90"/>
    </row>
    <row r="51" spans="1:9" ht="12" thickTop="1" x14ac:dyDescent="0.2">
      <c r="A51" s="35" t="s">
        <v>884</v>
      </c>
      <c r="B51" s="2"/>
      <c r="C51" s="38">
        <f>C50+C31</f>
        <v>107880.45</v>
      </c>
      <c r="D51" s="38">
        <f>D50+D31</f>
        <v>2305.9699999999998</v>
      </c>
      <c r="E51" s="38">
        <f>E50+E31</f>
        <v>25976.080000000002</v>
      </c>
      <c r="F51" s="38">
        <f>F50+F31</f>
        <v>0</v>
      </c>
      <c r="G51" s="38">
        <f>G50+G31</f>
        <v>273176.09999999998</v>
      </c>
      <c r="H51" s="38">
        <f t="shared" si="2"/>
        <v>409338.6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278344</v>
      </c>
      <c r="D56" s="73">
        <f>'DOE25'!G60</f>
        <v>0</v>
      </c>
      <c r="E56" s="73">
        <f>'DOE25'!H60</f>
        <v>0</v>
      </c>
      <c r="F56" s="73">
        <f>'DOE25'!I60</f>
        <v>0</v>
      </c>
      <c r="G56" s="73">
        <f>'DOE25'!J60</f>
        <v>0</v>
      </c>
      <c r="H56" s="13">
        <f t="shared" ref="H56:H63" si="3">SUM(C56:G56)</f>
        <v>278344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6333.22</v>
      </c>
      <c r="D59" s="73">
        <f>'DOE25'!G96</f>
        <v>0</v>
      </c>
      <c r="E59" s="73">
        <f>'DOE25'!H96</f>
        <v>0</v>
      </c>
      <c r="F59" s="73">
        <f>'DOE25'!I96</f>
        <v>0</v>
      </c>
      <c r="G59" s="73">
        <f>'DOE25'!J96</f>
        <v>261.83</v>
      </c>
      <c r="H59" s="13">
        <f t="shared" si="3"/>
        <v>6595.05</v>
      </c>
      <c r="I59"/>
    </row>
    <row r="60" spans="1:9" x14ac:dyDescent="0.2">
      <c r="A60" s="1" t="s">
        <v>170</v>
      </c>
      <c r="B60" s="22" t="s">
        <v>171</v>
      </c>
      <c r="C60" s="23" t="s">
        <v>288</v>
      </c>
      <c r="D60" s="73">
        <f>'DOE25'!G97</f>
        <v>8893.1</v>
      </c>
      <c r="E60" s="23" t="s">
        <v>288</v>
      </c>
      <c r="F60" s="23" t="s">
        <v>288</v>
      </c>
      <c r="G60" s="23" t="s">
        <v>288</v>
      </c>
      <c r="H60" s="13">
        <f t="shared" si="3"/>
        <v>8893.1</v>
      </c>
      <c r="I60"/>
    </row>
    <row r="61" spans="1:9" ht="12" thickBot="1" x14ac:dyDescent="0.25">
      <c r="A61" s="1" t="s">
        <v>172</v>
      </c>
      <c r="B61" s="22" t="s">
        <v>173</v>
      </c>
      <c r="C61" s="73">
        <f>SUM('DOE25'!F98:F110)</f>
        <v>1682.24</v>
      </c>
      <c r="D61" s="73">
        <f>SUM('DOE25'!G98:G110)</f>
        <v>0</v>
      </c>
      <c r="E61" s="73">
        <f>SUM('DOE25'!H98:H110)</f>
        <v>1443.98</v>
      </c>
      <c r="F61" s="73">
        <f>SUM('DOE25'!I98:I110)</f>
        <v>0</v>
      </c>
      <c r="G61" s="73">
        <f>SUM('DOE25'!J98:J110)</f>
        <v>0</v>
      </c>
      <c r="H61" s="13">
        <f t="shared" si="3"/>
        <v>3126.2200000000003</v>
      </c>
      <c r="I61"/>
    </row>
    <row r="62" spans="1:9" ht="12.75" thickTop="1" thickBot="1" x14ac:dyDescent="0.25">
      <c r="A62" s="28" t="s">
        <v>174</v>
      </c>
      <c r="B62" s="6"/>
      <c r="C62" s="93">
        <f>SUM(C57:C61)</f>
        <v>8015.46</v>
      </c>
      <c r="D62" s="93">
        <f>SUM(D57:D61)</f>
        <v>8893.1</v>
      </c>
      <c r="E62" s="93">
        <f>SUM(E57:E61)</f>
        <v>1443.98</v>
      </c>
      <c r="F62" s="93">
        <f>SUM(F57:F61)</f>
        <v>0</v>
      </c>
      <c r="G62" s="93">
        <f>SUM(G57:G61)</f>
        <v>261.83</v>
      </c>
      <c r="H62" s="13">
        <f t="shared" si="3"/>
        <v>18614.370000000003</v>
      </c>
      <c r="I62"/>
    </row>
    <row r="63" spans="1:9" ht="12" thickTop="1" x14ac:dyDescent="0.2">
      <c r="A63" s="28" t="s">
        <v>175</v>
      </c>
      <c r="B63" s="6"/>
      <c r="C63" s="21">
        <f>C56+C62</f>
        <v>286359.46000000002</v>
      </c>
      <c r="D63" s="21">
        <f>D56+D62</f>
        <v>8893.1</v>
      </c>
      <c r="E63" s="21">
        <f>E56+E62</f>
        <v>1443.98</v>
      </c>
      <c r="F63" s="21">
        <f>F56+F62</f>
        <v>0</v>
      </c>
      <c r="G63" s="21">
        <f>G56+G62</f>
        <v>261.83</v>
      </c>
      <c r="H63" s="13">
        <f t="shared" si="3"/>
        <v>296958.37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41819</v>
      </c>
      <c r="D66" s="23" t="s">
        <v>288</v>
      </c>
      <c r="E66" s="23" t="s">
        <v>288</v>
      </c>
      <c r="F66" s="23" t="s">
        <v>288</v>
      </c>
      <c r="G66" s="23" t="s">
        <v>288</v>
      </c>
      <c r="H66" s="13">
        <f t="shared" ref="H66:H81" si="4">SUM(C66:G66)</f>
        <v>41819</v>
      </c>
      <c r="I66"/>
    </row>
    <row r="67" spans="1:9" x14ac:dyDescent="0.2">
      <c r="A67" s="1" t="s">
        <v>770</v>
      </c>
      <c r="B67" s="6">
        <v>3112</v>
      </c>
      <c r="C67" s="73">
        <f>'DOE25'!F118</f>
        <v>109442</v>
      </c>
      <c r="D67" s="23"/>
      <c r="E67" s="23"/>
      <c r="F67" s="23"/>
      <c r="G67" s="23"/>
      <c r="H67" s="13">
        <f t="shared" si="4"/>
        <v>109442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151261</v>
      </c>
      <c r="D70" s="97">
        <f>D69</f>
        <v>0</v>
      </c>
      <c r="E70" s="97">
        <f>E69</f>
        <v>0</v>
      </c>
      <c r="F70" s="97">
        <f>F69</f>
        <v>0</v>
      </c>
      <c r="G70" s="97">
        <f>G69</f>
        <v>0</v>
      </c>
      <c r="H70" s="13">
        <f t="shared" si="4"/>
        <v>151261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151261</v>
      </c>
      <c r="D81" s="93">
        <f>SUM(D79:D80)+D78+D70</f>
        <v>0</v>
      </c>
      <c r="E81" s="93">
        <f>SUM(E79:E80)+E78+E70</f>
        <v>0</v>
      </c>
      <c r="F81" s="93">
        <f>SUM(F79:F80)+F78+F70</f>
        <v>0</v>
      </c>
      <c r="G81" s="93">
        <f>SUM(G79:G80)+G78+G70</f>
        <v>0</v>
      </c>
      <c r="H81" s="93">
        <f t="shared" si="4"/>
        <v>151261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8522.94</v>
      </c>
      <c r="F87" s="73">
        <f>SUM('DOE25'!I149:I152)</f>
        <v>0</v>
      </c>
      <c r="G87" s="23" t="s">
        <v>288</v>
      </c>
      <c r="H87" s="13">
        <f t="shared" si="5"/>
        <v>8522.94</v>
      </c>
    </row>
    <row r="88" spans="1:9" x14ac:dyDescent="0.2">
      <c r="A88" s="217" t="s">
        <v>747</v>
      </c>
      <c r="B88" s="231" t="s">
        <v>184</v>
      </c>
      <c r="C88" s="253">
        <f>SUM('DOE25'!F153:F162)</f>
        <v>0</v>
      </c>
      <c r="D88" s="253">
        <f>SUM('DOE25'!G153:G162)</f>
        <v>906.14</v>
      </c>
      <c r="E88" s="253">
        <f>SUM('DOE25'!H153:H162)</f>
        <v>33336.639999999999</v>
      </c>
      <c r="F88" s="253">
        <f>SUM('DOE25'!I153:I162)</f>
        <v>0</v>
      </c>
      <c r="G88" s="23" t="s">
        <v>288</v>
      </c>
      <c r="H88" s="13">
        <f t="shared" si="5"/>
        <v>34242.78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37897.26</v>
      </c>
      <c r="D90" s="23" t="s">
        <v>288</v>
      </c>
      <c r="E90" s="23" t="s">
        <v>288</v>
      </c>
      <c r="F90" s="23" t="s">
        <v>288</v>
      </c>
      <c r="G90" s="23" t="s">
        <v>288</v>
      </c>
      <c r="H90" s="13">
        <f t="shared" si="5"/>
        <v>37897.26</v>
      </c>
    </row>
    <row r="91" spans="1:9" ht="12.75" thickTop="1" thickBot="1" x14ac:dyDescent="0.25">
      <c r="A91" s="32" t="s">
        <v>750</v>
      </c>
      <c r="C91" s="94">
        <f>SUM(C85:C90)</f>
        <v>37897.26</v>
      </c>
      <c r="D91" s="94">
        <f>SUM(D85:D90)</f>
        <v>906.14</v>
      </c>
      <c r="E91" s="94">
        <f>SUM(E85:E90)</f>
        <v>41859.58</v>
      </c>
      <c r="F91" s="94">
        <f>SUM(F85:F90)</f>
        <v>0</v>
      </c>
      <c r="G91" s="23" t="s">
        <v>288</v>
      </c>
      <c r="H91" s="13">
        <f t="shared" si="5"/>
        <v>80662.98000000001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19431.740000000002</v>
      </c>
      <c r="E96" s="73">
        <f>'DOE25'!H180</f>
        <v>0</v>
      </c>
      <c r="F96" s="73">
        <f>'DOE25'!I180</f>
        <v>0</v>
      </c>
      <c r="G96" s="73">
        <f>'DOE25'!J180</f>
        <v>11000</v>
      </c>
      <c r="H96" s="13">
        <f t="shared" si="5"/>
        <v>30431.74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19431.740000000002</v>
      </c>
      <c r="E103" s="68">
        <f>SUM(E93:E102)</f>
        <v>0</v>
      </c>
      <c r="F103" s="68">
        <f>SUM(F93:F102)</f>
        <v>0</v>
      </c>
      <c r="G103" s="68">
        <f>SUM(G93:G102)</f>
        <v>11000</v>
      </c>
      <c r="H103" s="68">
        <f t="shared" si="5"/>
        <v>30431.74</v>
      </c>
    </row>
    <row r="104" spans="1:8" ht="12.75" thickTop="1" thickBot="1" x14ac:dyDescent="0.25">
      <c r="A104" s="32" t="s">
        <v>761</v>
      </c>
      <c r="C104" s="68">
        <f>C63+C81+C91+C103</f>
        <v>475517.72000000003</v>
      </c>
      <c r="D104" s="68">
        <f>D63+D81+D91+D103</f>
        <v>29230.980000000003</v>
      </c>
      <c r="E104" s="68">
        <f>E63+E81+E91+E103</f>
        <v>43303.560000000005</v>
      </c>
      <c r="F104" s="68">
        <f>F63+F81+F91+F103</f>
        <v>0</v>
      </c>
      <c r="G104" s="68">
        <f>G63+G81+G103</f>
        <v>11261.83</v>
      </c>
      <c r="H104" s="68">
        <f t="shared" si="5"/>
        <v>559314.09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307523.54000000004</v>
      </c>
      <c r="D109" s="23" t="s">
        <v>288</v>
      </c>
      <c r="E109" s="73">
        <f>('DOE25'!L277)+('DOE25'!L296)+('DOE25'!L315)</f>
        <v>15105.99</v>
      </c>
      <c r="F109" s="23" t="s">
        <v>288</v>
      </c>
      <c r="G109" s="23" t="s">
        <v>288</v>
      </c>
      <c r="H109" s="13">
        <f t="shared" ref="H109:H115" si="6">SUM(C109:G109)</f>
        <v>322629.53000000003</v>
      </c>
    </row>
    <row r="110" spans="1:8" x14ac:dyDescent="0.2">
      <c r="A110" t="s">
        <v>198</v>
      </c>
      <c r="B110" s="31" t="s">
        <v>199</v>
      </c>
      <c r="C110" s="73">
        <f>('DOE25'!L199)+('DOE25'!L217)+('DOE25'!L235)</f>
        <v>18.38</v>
      </c>
      <c r="D110" s="23" t="s">
        <v>288</v>
      </c>
      <c r="E110" s="73">
        <f>('DOE25'!L278)+('DOE25'!L297)+('DOE25'!L316)</f>
        <v>0</v>
      </c>
      <c r="F110" s="23" t="s">
        <v>288</v>
      </c>
      <c r="G110" s="23" t="s">
        <v>288</v>
      </c>
      <c r="H110" s="13">
        <f t="shared" si="6"/>
        <v>18.38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307541.92000000004</v>
      </c>
      <c r="D115" s="68">
        <f>SUM(D109:D114)</f>
        <v>0</v>
      </c>
      <c r="E115" s="68">
        <f>SUM(E109:E114)</f>
        <v>15105.99</v>
      </c>
      <c r="F115" s="68">
        <f>SUM(F109:F114)</f>
        <v>0</v>
      </c>
      <c r="G115" s="68">
        <f>SUM(G109:G114)</f>
        <v>0</v>
      </c>
      <c r="H115" s="68">
        <f t="shared" si="6"/>
        <v>322647.91000000003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14216.29</v>
      </c>
      <c r="D118" s="23" t="s">
        <v>288</v>
      </c>
      <c r="E118" s="73">
        <f>+('DOE25'!L282)+('DOE25'!L301)+('DOE25'!L320)</f>
        <v>1800</v>
      </c>
      <c r="F118" s="23" t="s">
        <v>288</v>
      </c>
      <c r="G118" s="23" t="s">
        <v>288</v>
      </c>
      <c r="H118" s="13">
        <f t="shared" ref="H118:H145" si="7">SUM(C118:G118)</f>
        <v>16016.29</v>
      </c>
    </row>
    <row r="119" spans="1:8" x14ac:dyDescent="0.2">
      <c r="A119" t="s">
        <v>208</v>
      </c>
      <c r="B119" s="31" t="s">
        <v>209</v>
      </c>
      <c r="C119" s="73">
        <f>('DOE25'!L204)+('DOE25'!L222)+('DOE25'!L240)</f>
        <v>456.78</v>
      </c>
      <c r="D119" s="23" t="s">
        <v>288</v>
      </c>
      <c r="E119" s="73">
        <f>+('DOE25'!L283)+('DOE25'!L302)+('DOE25'!L321)</f>
        <v>2336.13</v>
      </c>
      <c r="F119" s="23" t="s">
        <v>288</v>
      </c>
      <c r="G119" s="23" t="s">
        <v>288</v>
      </c>
      <c r="H119" s="13">
        <f t="shared" si="7"/>
        <v>2792.91</v>
      </c>
    </row>
    <row r="120" spans="1:8" x14ac:dyDescent="0.2">
      <c r="A120" t="s">
        <v>210</v>
      </c>
      <c r="B120" s="31" t="s">
        <v>211</v>
      </c>
      <c r="C120" s="73">
        <f>('DOE25'!L205)+('DOE25'!L223)+('DOE25'!L241)</f>
        <v>71241.05</v>
      </c>
      <c r="D120" s="23" t="s">
        <v>288</v>
      </c>
      <c r="E120" s="73">
        <f>+('DOE25'!L284)+('DOE25'!L303)+('DOE25'!L322)</f>
        <v>0</v>
      </c>
      <c r="F120" s="23" t="s">
        <v>288</v>
      </c>
      <c r="G120" s="23" t="s">
        <v>288</v>
      </c>
      <c r="H120" s="13">
        <f t="shared" si="7"/>
        <v>71241.05</v>
      </c>
    </row>
    <row r="121" spans="1:8" x14ac:dyDescent="0.2">
      <c r="A121" t="s">
        <v>212</v>
      </c>
      <c r="B121" s="31" t="s">
        <v>213</v>
      </c>
      <c r="C121" s="73">
        <f>('DOE25'!L206)+('DOE25'!L224)+('DOE25'!L242)</f>
        <v>29243.4</v>
      </c>
      <c r="D121" s="23" t="s">
        <v>288</v>
      </c>
      <c r="E121" s="73">
        <f>+('DOE25'!L285)+('DOE25'!L304)+('DOE25'!L323)</f>
        <v>0</v>
      </c>
      <c r="F121" s="23" t="s">
        <v>288</v>
      </c>
      <c r="G121" s="23" t="s">
        <v>288</v>
      </c>
      <c r="H121" s="13">
        <f t="shared" si="7"/>
        <v>29243.4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33678.31</v>
      </c>
      <c r="D123" s="23" t="s">
        <v>288</v>
      </c>
      <c r="E123" s="73">
        <f>+('DOE25'!L287)+('DOE25'!L306)+('DOE25'!L325)</f>
        <v>9369.15</v>
      </c>
      <c r="F123" s="23" t="s">
        <v>288</v>
      </c>
      <c r="G123" s="23" t="s">
        <v>288</v>
      </c>
      <c r="H123" s="13">
        <f t="shared" si="7"/>
        <v>43047.46</v>
      </c>
    </row>
    <row r="124" spans="1:8" x14ac:dyDescent="0.2">
      <c r="A124" t="s">
        <v>218</v>
      </c>
      <c r="B124" s="31" t="s">
        <v>219</v>
      </c>
      <c r="C124" s="73">
        <f>('DOE25'!L209)+('DOE25'!L227)+('DOE25'!L245+'DOE25'!L255)</f>
        <v>20175</v>
      </c>
      <c r="D124" s="23" t="s">
        <v>288</v>
      </c>
      <c r="E124" s="73">
        <f>+('DOE25'!L288)+('DOE25'!L307)+('DOE25'!L326)</f>
        <v>0</v>
      </c>
      <c r="F124" s="23" t="s">
        <v>288</v>
      </c>
      <c r="G124" s="23" t="s">
        <v>288</v>
      </c>
      <c r="H124" s="13">
        <f t="shared" si="7"/>
        <v>20175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29230.979999999996</v>
      </c>
      <c r="E127" s="23" t="s">
        <v>288</v>
      </c>
      <c r="F127" s="23" t="s">
        <v>288</v>
      </c>
      <c r="G127" s="23" t="s">
        <v>288</v>
      </c>
      <c r="H127" s="13">
        <f t="shared" si="7"/>
        <v>29230.979999999996</v>
      </c>
    </row>
    <row r="128" spans="1:8" ht="12.75" thickTop="1" thickBot="1" x14ac:dyDescent="0.25">
      <c r="A128" s="32" t="s">
        <v>226</v>
      </c>
      <c r="C128" s="68">
        <f>SUM(C118:C127)</f>
        <v>169010.83000000002</v>
      </c>
      <c r="D128" s="68">
        <f>SUM(D118:D127)</f>
        <v>29230.979999999996</v>
      </c>
      <c r="E128" s="68">
        <f>SUM(E118:E127)</f>
        <v>13505.279999999999</v>
      </c>
      <c r="F128" s="68">
        <f>SUM(F118:F127)</f>
        <v>0</v>
      </c>
      <c r="G128" s="68">
        <f>SUM(G118:G127)</f>
        <v>0</v>
      </c>
      <c r="H128" s="68">
        <f t="shared" si="7"/>
        <v>211747.09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12893</v>
      </c>
      <c r="F130" s="92">
        <f>SUM('DOE25'!L375:'DOE25'!L381)</f>
        <v>0</v>
      </c>
      <c r="G130" s="23" t="s">
        <v>288</v>
      </c>
      <c r="H130" s="13">
        <f t="shared" si="7"/>
        <v>12893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19431.740000000002</v>
      </c>
      <c r="D135" s="23" t="s">
        <v>288</v>
      </c>
      <c r="E135" s="92">
        <f>'DOE25'!L346</f>
        <v>0</v>
      </c>
      <c r="F135" s="23" t="s">
        <v>288</v>
      </c>
      <c r="G135" s="23" t="s">
        <v>288</v>
      </c>
      <c r="H135" s="13">
        <f t="shared" si="7"/>
        <v>19431.740000000002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10064.609999999999</v>
      </c>
      <c r="D138" s="23" t="s">
        <v>288</v>
      </c>
      <c r="E138" s="23" t="s">
        <v>288</v>
      </c>
      <c r="F138" s="23" t="s">
        <v>288</v>
      </c>
      <c r="G138" s="23" t="s">
        <v>288</v>
      </c>
      <c r="H138" s="13">
        <f t="shared" si="7"/>
        <v>10064.609999999999</v>
      </c>
    </row>
    <row r="139" spans="1:8" x14ac:dyDescent="0.2">
      <c r="A139" t="s">
        <v>239</v>
      </c>
      <c r="B139" s="31">
        <v>5252</v>
      </c>
      <c r="C139" s="73">
        <f>'DOE25'!L402</f>
        <v>1197.22</v>
      </c>
      <c r="D139" s="23" t="s">
        <v>288</v>
      </c>
      <c r="E139" s="23" t="s">
        <v>288</v>
      </c>
      <c r="F139" s="23" t="s">
        <v>288</v>
      </c>
      <c r="G139" s="23" t="s">
        <v>288</v>
      </c>
      <c r="H139" s="13">
        <f t="shared" si="7"/>
        <v>1197.22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-261.82999999999811</v>
      </c>
      <c r="D141" s="23" t="s">
        <v>288</v>
      </c>
      <c r="E141" s="23" t="s">
        <v>288</v>
      </c>
      <c r="F141" s="23" t="s">
        <v>288</v>
      </c>
      <c r="G141" s="23" t="s">
        <v>288</v>
      </c>
      <c r="H141" s="13">
        <f t="shared" si="7"/>
        <v>-261.82999999999811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1799.29</v>
      </c>
      <c r="F143" s="23" t="s">
        <v>288</v>
      </c>
      <c r="G143" s="23" t="s">
        <v>288</v>
      </c>
      <c r="H143" s="13">
        <f t="shared" si="7"/>
        <v>1799.29</v>
      </c>
    </row>
    <row r="144" spans="1:8" ht="12" thickBot="1" x14ac:dyDescent="0.25">
      <c r="A144" s="32" t="s">
        <v>243</v>
      </c>
      <c r="C144" s="98">
        <f>SUM(C130:C143)</f>
        <v>30431.74</v>
      </c>
      <c r="D144" s="98">
        <f>SUM(D130:D143)</f>
        <v>0</v>
      </c>
      <c r="E144" s="98">
        <f>SUM(E130:E143)</f>
        <v>14692.29</v>
      </c>
      <c r="F144" s="98">
        <f>SUM(F130:F143)</f>
        <v>0</v>
      </c>
      <c r="G144" s="98">
        <f>SUM(G130:G143)</f>
        <v>0</v>
      </c>
      <c r="H144" s="98">
        <f t="shared" si="7"/>
        <v>45124.03</v>
      </c>
    </row>
    <row r="145" spans="1:9" ht="12.75" thickTop="1" thickBot="1" x14ac:dyDescent="0.25">
      <c r="A145" s="32" t="s">
        <v>244</v>
      </c>
      <c r="C145" s="68">
        <f>(C115+C128+C144)</f>
        <v>506984.49000000005</v>
      </c>
      <c r="D145" s="68">
        <f>(D115+D128+D144)</f>
        <v>29230.979999999996</v>
      </c>
      <c r="E145" s="68">
        <f>(E115+E128+E144)</f>
        <v>43303.56</v>
      </c>
      <c r="F145" s="68">
        <f>(F115+F128+F144)</f>
        <v>0</v>
      </c>
      <c r="G145" s="68">
        <f>(G115+G128+G144)</f>
        <v>0</v>
      </c>
      <c r="H145" s="68">
        <f t="shared" si="7"/>
        <v>579519.03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P44" sqref="P4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Errol</v>
      </c>
    </row>
    <row r="3" spans="1:4" x14ac:dyDescent="0.2">
      <c r="B3" s="137" t="s">
        <v>1799</v>
      </c>
    </row>
    <row r="4" spans="1:4" x14ac:dyDescent="0.2">
      <c r="B4" t="s">
        <v>61</v>
      </c>
      <c r="C4" s="129">
        <f>IF('DOE25'!F666+'DOE25'!F671=0,0,ROUND('DOE25'!F673,0))</f>
        <v>27229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27229</v>
      </c>
    </row>
    <row r="9" spans="1:4" x14ac:dyDescent="0.2">
      <c r="A9" s="136" t="s">
        <v>94</v>
      </c>
      <c r="B9" s="137" t="s">
        <v>1800</v>
      </c>
      <c r="C9" s="131" t="s">
        <v>720</v>
      </c>
      <c r="D9" s="131" t="s">
        <v>721</v>
      </c>
    </row>
    <row r="10" spans="1:4" x14ac:dyDescent="0.2">
      <c r="A10">
        <v>1100</v>
      </c>
      <c r="B10" t="s">
        <v>702</v>
      </c>
      <c r="C10" s="129">
        <f>ROUND('DOE25'!L198+'DOE25'!L216+'DOE25'!L234+'DOE25'!L277+'DOE25'!L296+'DOE25'!L315,0)</f>
        <v>322630</v>
      </c>
      <c r="D10" s="132">
        <f>ROUND((C10/$C$28)*100,1)</f>
        <v>61.2</v>
      </c>
    </row>
    <row r="11" spans="1:4" x14ac:dyDescent="0.2">
      <c r="A11">
        <v>1200</v>
      </c>
      <c r="B11" t="s">
        <v>703</v>
      </c>
      <c r="C11" s="129">
        <f>ROUND('DOE25'!L199+'DOE25'!L217+'DOE25'!L235+'DOE25'!L278+'DOE25'!L297+'DOE25'!L316,0)</f>
        <v>18</v>
      </c>
      <c r="D11" s="132">
        <f>ROUND((C11/$C$28)*100,1)</f>
        <v>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16016</v>
      </c>
      <c r="D15" s="132">
        <f t="shared" ref="D15:D27" si="0">ROUND((C15/$C$28)*100,1)</f>
        <v>3</v>
      </c>
    </row>
    <row r="16" spans="1:4" x14ac:dyDescent="0.2">
      <c r="A16">
        <v>2200</v>
      </c>
      <c r="B16" t="s">
        <v>707</v>
      </c>
      <c r="C16" s="129">
        <f>ROUND('DOE25'!L204+'DOE25'!L222+'DOE25'!L240+'DOE25'!L283+'DOE25'!L302+'DOE25'!L321,0)</f>
        <v>2793</v>
      </c>
      <c r="D16" s="132">
        <f t="shared" si="0"/>
        <v>0.5</v>
      </c>
    </row>
    <row r="17" spans="1:4" x14ac:dyDescent="0.2">
      <c r="A17" s="133" t="s">
        <v>723</v>
      </c>
      <c r="B17" t="s">
        <v>738</v>
      </c>
      <c r="C17" s="129">
        <f>ROUND('DOE25'!L205+'DOE25'!L210+'DOE25'!L223+'DOE25'!L228+'DOE25'!L241+'DOE25'!L246+'DOE25'!L284+'DOE25'!L289+'DOE25'!L303+'DOE25'!L308+'DOE25'!L322+'DOE25'!L327,0)</f>
        <v>71241</v>
      </c>
      <c r="D17" s="132">
        <f t="shared" si="0"/>
        <v>13.5</v>
      </c>
    </row>
    <row r="18" spans="1:4" x14ac:dyDescent="0.2">
      <c r="A18">
        <v>2400</v>
      </c>
      <c r="B18" t="s">
        <v>711</v>
      </c>
      <c r="C18" s="129">
        <f>ROUND('DOE25'!L206+'DOE25'!L224+'DOE25'!L242+'DOE25'!L285+'DOE25'!L304+'DOE25'!L323,0)</f>
        <v>29243</v>
      </c>
      <c r="D18" s="132">
        <f t="shared" si="0"/>
        <v>5.5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43047</v>
      </c>
      <c r="D20" s="132">
        <f t="shared" si="0"/>
        <v>8.1999999999999993</v>
      </c>
    </row>
    <row r="21" spans="1:4" x14ac:dyDescent="0.2">
      <c r="A21">
        <v>2700</v>
      </c>
      <c r="B21" t="s">
        <v>710</v>
      </c>
      <c r="C21" s="129">
        <f>ROUND('DOE25'!L209+'DOE25'!L227+'DOE25'!L245+'DOE25'!L288+'DOE25'!L307+'DOE25'!L326,0)</f>
        <v>20175</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1799.29</v>
      </c>
      <c r="D26" s="132">
        <f t="shared" si="0"/>
        <v>0.3</v>
      </c>
    </row>
    <row r="27" spans="1:4" x14ac:dyDescent="0.2">
      <c r="A27">
        <v>3100</v>
      </c>
      <c r="B27" t="s">
        <v>11</v>
      </c>
      <c r="C27" s="129">
        <f>ROUND('DOE25'!L363-'DOE25'!L362,0)-SUM('DOE25'!G97:G110)</f>
        <v>20337.900000000001</v>
      </c>
      <c r="D27" s="132">
        <f t="shared" si="0"/>
        <v>3.9</v>
      </c>
    </row>
    <row r="28" spans="1:4" x14ac:dyDescent="0.2">
      <c r="B28" s="136" t="s">
        <v>719</v>
      </c>
      <c r="C28" s="130">
        <f>SUM(C10:C27)</f>
        <v>527300.18999999994</v>
      </c>
      <c r="D28" s="134">
        <f>ROUND(SUM(D10:D27),0)</f>
        <v>100</v>
      </c>
    </row>
    <row r="29" spans="1:4" x14ac:dyDescent="0.2">
      <c r="A29">
        <v>4000</v>
      </c>
      <c r="B29" t="s">
        <v>724</v>
      </c>
      <c r="C29" s="129">
        <f>ROUND('DOE25'!L256+'DOE25'!L337+'DOE25'!L375+'DOE25'!L376+'DOE25'!L377+'DOE25'!L378+'DOE25'!L379+'DOE25'!L380+'DOE25'!L381,0)</f>
        <v>12893</v>
      </c>
    </row>
    <row r="30" spans="1:4" x14ac:dyDescent="0.2">
      <c r="B30" s="136" t="s">
        <v>725</v>
      </c>
      <c r="C30" s="130">
        <f>SUM(C28:C29)</f>
        <v>540193.18999999994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278344</v>
      </c>
      <c r="D35" s="132">
        <f t="shared" ref="D35:D40" si="1">ROUND((C35/$C$41)*100,1)</f>
        <v>53.5</v>
      </c>
    </row>
    <row r="36" spans="1:4" x14ac:dyDescent="0.2">
      <c r="B36" s="71" t="s">
        <v>739</v>
      </c>
      <c r="C36" s="129">
        <f>SUM('DOE25'!F112:J112)-SUM('DOE25'!G97:G110)+('DOE25'!F175+'DOE25'!F176+'DOE25'!I175+'DOE25'!I176)-C35</f>
        <v>9721.2700000000186</v>
      </c>
      <c r="D36" s="132">
        <f t="shared" si="1"/>
        <v>1.9</v>
      </c>
    </row>
    <row r="37" spans="1:4" x14ac:dyDescent="0.2">
      <c r="A37" s="133" t="s">
        <v>834</v>
      </c>
      <c r="B37" s="71" t="s">
        <v>728</v>
      </c>
      <c r="C37" s="129">
        <f>ROUND('DOE25'!F117+'DOE25'!F118,0)</f>
        <v>151261</v>
      </c>
      <c r="D37" s="132">
        <f t="shared" si="1"/>
        <v>29.1</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80663</v>
      </c>
      <c r="D39" s="132">
        <f t="shared" si="1"/>
        <v>15.5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519989.27</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Errol</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5</v>
      </c>
      <c r="B4" s="150">
        <v>18</v>
      </c>
      <c r="C4" s="327" t="s">
        <v>1812</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f>IF('School Level Expenditures'!$B$2=A85,'School Tables'!H85,"")</f>
        <v>82</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2023-09-25T17:51:28Z</cp:lastPrinted>
  <dcterms:created xsi:type="dcterms:W3CDTF">1997-12-04T19:04:30Z</dcterms:created>
  <dcterms:modified xsi:type="dcterms:W3CDTF">2023-11-07T14:42:27Z</dcterms:modified>
</cp:coreProperties>
</file>