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44DDEE8A-9390-434B-86DC-B03215B1F8E2}"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7" i="1" l="1"/>
  <c r="D38" i="14" l="1"/>
  <c r="H583" i="1" l="1"/>
  <c r="H524" i="1" l="1"/>
  <c r="H539" i="1"/>
  <c r="K524" i="1"/>
  <c r="I524" i="1"/>
  <c r="G524" i="1"/>
  <c r="F524" i="1"/>
  <c r="H523" i="1"/>
  <c r="I523" i="1"/>
  <c r="G523" i="1"/>
  <c r="F523" i="1"/>
  <c r="G334" i="1" l="1"/>
  <c r="F334" i="1"/>
  <c r="G368" i="1" l="1"/>
  <c r="H368" i="1"/>
  <c r="G240" i="1"/>
  <c r="G236" i="1"/>
  <c r="G235" i="1"/>
  <c r="G222" i="1"/>
  <c r="G217" i="1"/>
  <c r="H9" i="1" l="1"/>
  <c r="H12"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E124" i="2" s="1"/>
  <c r="L289" i="1"/>
  <c r="L296" i="1"/>
  <c r="L297" i="1"/>
  <c r="L298" i="1"/>
  <c r="L299" i="1"/>
  <c r="L301" i="1"/>
  <c r="L302" i="1"/>
  <c r="L303" i="1"/>
  <c r="E120" i="2" s="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F121" i="1"/>
  <c r="F136" i="1"/>
  <c r="G121" i="1"/>
  <c r="G136" i="1"/>
  <c r="H121" i="1"/>
  <c r="H136" i="1"/>
  <c r="H140" i="1" s="1"/>
  <c r="I121" i="1"/>
  <c r="I136" i="1"/>
  <c r="J121" i="1"/>
  <c r="J136" i="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H653" i="1"/>
  <c r="G654" i="1"/>
  <c r="H654" i="1"/>
  <c r="H655" i="1"/>
  <c r="H656" i="1"/>
  <c r="C85" i="2" l="1"/>
  <c r="J112" i="1"/>
  <c r="G477" i="1"/>
  <c r="E125" i="2"/>
  <c r="H125" i="2" s="1"/>
  <c r="F409" i="1"/>
  <c r="H644" i="1" s="1"/>
  <c r="J644" i="1" s="1"/>
  <c r="F85" i="2"/>
  <c r="F91" i="2" s="1"/>
  <c r="H477" i="1"/>
  <c r="H625" i="1" s="1"/>
  <c r="J625" i="1" s="1"/>
  <c r="H26" i="2"/>
  <c r="H97" i="2"/>
  <c r="H93" i="2"/>
  <c r="H87" i="2"/>
  <c r="G646" i="1"/>
  <c r="E111" i="2"/>
  <c r="G663" i="1"/>
  <c r="H72" i="2"/>
  <c r="H27" i="2"/>
  <c r="H24" i="2"/>
  <c r="G409" i="1"/>
  <c r="H646" i="1" s="1"/>
  <c r="D29" i="13"/>
  <c r="C29" i="13" s="1"/>
  <c r="G662" i="1"/>
  <c r="C32" i="10"/>
  <c r="C110" i="2"/>
  <c r="J652" i="1"/>
  <c r="H73" i="2"/>
  <c r="H96" i="2"/>
  <c r="H80" i="2"/>
  <c r="M2" i="14"/>
  <c r="M3" i="14" s="1"/>
  <c r="C13" i="10"/>
  <c r="H89" i="2"/>
  <c r="H59" i="2"/>
  <c r="H34" i="2"/>
  <c r="J140" i="1"/>
  <c r="J194" i="1" s="1"/>
  <c r="G647" i="1" s="1"/>
  <c r="C121" i="2"/>
  <c r="C120" i="2"/>
  <c r="H120" i="2" s="1"/>
  <c r="E121" i="2"/>
  <c r="N2" i="14"/>
  <c r="N3" i="14" s="1"/>
  <c r="D6" i="13"/>
  <c r="C6" i="13" s="1"/>
  <c r="L2" i="14"/>
  <c r="L3" i="14" s="1"/>
  <c r="I409" i="1"/>
  <c r="H61" i="2"/>
  <c r="D144" i="2"/>
  <c r="H35" i="2"/>
  <c r="E13" i="13"/>
  <c r="C13" i="13" s="1"/>
  <c r="H69" i="2"/>
  <c r="H28" i="2"/>
  <c r="H25" i="2"/>
  <c r="H17" i="2"/>
  <c r="H102" i="2"/>
  <c r="H100" i="2"/>
  <c r="H98" i="2"/>
  <c r="H15" i="2"/>
  <c r="H143" i="2"/>
  <c r="H77" i="2"/>
  <c r="H29" i="2"/>
  <c r="D18" i="13"/>
  <c r="C18" i="13" s="1"/>
  <c r="D15" i="13"/>
  <c r="C15" i="13" s="1"/>
  <c r="C12" i="10"/>
  <c r="H94" i="2"/>
  <c r="H132" i="2"/>
  <c r="H36" i="2"/>
  <c r="H44" i="2"/>
  <c r="H48" i="2"/>
  <c r="H101" i="2"/>
  <c r="H99" i="2"/>
  <c r="H79" i="2"/>
  <c r="H76" i="2"/>
  <c r="H58" i="2"/>
  <c r="H113" i="2"/>
  <c r="C112" i="2"/>
  <c r="H112" i="2" s="1"/>
  <c r="A40" i="12"/>
  <c r="K2" i="14"/>
  <c r="K3" i="14" s="1"/>
  <c r="H23" i="2"/>
  <c r="H30" i="2"/>
  <c r="H47" i="2"/>
  <c r="H22" i="2"/>
  <c r="H13" i="2"/>
  <c r="H12" i="2"/>
  <c r="H8" i="2"/>
  <c r="H11" i="2"/>
  <c r="H9" i="2"/>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J646" i="1" l="1"/>
  <c r="I663" i="1"/>
  <c r="E144" i="2"/>
  <c r="G24" i="14"/>
  <c r="H24" i="14" s="1"/>
  <c r="I24" i="14" s="1"/>
  <c r="H118" i="2"/>
  <c r="L572" i="1"/>
  <c r="H122" i="2"/>
  <c r="H110" i="2"/>
  <c r="H121" i="2"/>
  <c r="H103" i="2"/>
  <c r="I662" i="1"/>
  <c r="H85" i="2"/>
  <c r="H62" i="2"/>
  <c r="H57" i="2"/>
  <c r="H123" i="2"/>
  <c r="E128" i="2"/>
  <c r="H91" i="2"/>
  <c r="H16" i="2"/>
  <c r="H42" i="2"/>
  <c r="D128" i="2"/>
  <c r="D145" i="2" s="1"/>
  <c r="H127" i="2"/>
  <c r="H114" i="2"/>
  <c r="D51" i="2"/>
  <c r="H134" i="2"/>
  <c r="H21" i="2"/>
  <c r="C81" i="2"/>
  <c r="H81" i="2" s="1"/>
  <c r="H78" i="2"/>
  <c r="F194" i="1"/>
  <c r="G628" i="1" s="1"/>
  <c r="J628" i="1" s="1"/>
  <c r="H50" i="2"/>
  <c r="H31" i="2"/>
  <c r="E51" i="2"/>
  <c r="H18" i="2"/>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M24" i="14" l="1"/>
  <c r="H128" i="2"/>
  <c r="C144" i="2"/>
  <c r="C145" i="2" s="1"/>
  <c r="H141" i="2"/>
  <c r="C104" i="2"/>
  <c r="H104" i="2" s="1"/>
  <c r="H63" i="2"/>
  <c r="H5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4" i="2"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<sst xmlns="http://schemas.openxmlformats.org/spreadsheetml/2006/main" count="6567" uniqueCount="1820">
  <si>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</si>
  <si>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</si>
  <si>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</si>
  <si>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</si>
  <si>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</si>
  <si>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</si>
  <si>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</si>
  <si>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</si>
  <si>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</si>
  <si>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</si>
  <si>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</si>
  <si>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</si>
  <si>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</si>
  <si>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</si>
  <si>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</si>
  <si>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</si>
  <si>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</si>
  <si>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</si>
  <si>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</si>
  <si>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</si>
  <si>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</si>
  <si>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</si>
  <si>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</si>
  <si>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</si>
  <si>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</si>
  <si>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</si>
  <si>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</si>
  <si>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</si>
  <si>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</si>
  <si>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</si>
  <si>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</si>
  <si>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</si>
  <si>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</si>
  <si>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</si>
  <si>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</si>
  <si>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</si>
  <si>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</si>
  <si>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</si>
  <si>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</si>
  <si>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</si>
  <si>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</si>
  <si>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</si>
  <si>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</si>
  <si>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</si>
  <si>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</si>
  <si>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</si>
  <si>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</si>
  <si>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</si>
  <si>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</si>
  <si>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</si>
  <si>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</si>
  <si>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</si>
  <si>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</si>
  <si>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</si>
  <si>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</si>
  <si>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</si>
  <si>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</si>
  <si>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</si>
  <si>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</si>
  <si>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</si>
  <si>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</si>
  <si>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</si>
  <si>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</si>
  <si>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</si>
  <si>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</si>
  <si>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</si>
  <si>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</si>
  <si>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</si>
  <si>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</si>
  <si>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</si>
  <si>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</si>
  <si>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</si>
  <si>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</si>
  <si>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</si>
  <si>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</si>
  <si>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</si>
  <si>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</si>
  <si>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</si>
  <si>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</si>
  <si>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</si>
  <si>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</si>
  <si>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</si>
  <si>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</si>
  <si>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</si>
  <si>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</si>
  <si>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</si>
  <si>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</si>
  <si>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</si>
  <si>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</si>
  <si>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</si>
  <si>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</si>
  <si>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</si>
  <si>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</si>
  <si>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</si>
  <si>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</si>
  <si>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</si>
  <si>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</si>
  <si>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</si>
  <si>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</si>
  <si>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</si>
  <si>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</si>
  <si>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</si>
  <si>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</si>
  <si>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</si>
  <si>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</si>
  <si>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</si>
  <si>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</si>
  <si>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</si>
  <si>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</si>
  <si>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</si>
  <si>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</si>
  <si>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</si>
  <si>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</si>
  <si>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</si>
  <si>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</si>
  <si>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</si>
  <si>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</si>
  <si>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</si>
  <si>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</si>
  <si>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</si>
  <si>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</si>
  <si>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</si>
  <si>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</si>
  <si>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</si>
  <si>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</si>
  <si>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</si>
  <si>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</si>
  <si>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</si>
  <si>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</si>
  <si>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</si>
  <si>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</si>
  <si>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</si>
  <si>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</si>
  <si>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</si>
  <si>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</si>
  <si>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</si>
  <si>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</si>
  <si>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</si>
  <si>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</si>
  <si>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</si>
  <si>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</si>
  <si>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</si>
  <si>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</si>
  <si>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</si>
  <si>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</si>
  <si>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</si>
  <si>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</si>
  <si>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</si>
  <si>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</si>
  <si>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</si>
  <si>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</si>
  <si>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</si>
  <si>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</si>
  <si>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</si>
  <si>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</si>
  <si>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</si>
  <si>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</si>
  <si>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</si>
  <si>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</si>
  <si>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</si>
  <si>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</si>
  <si>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</si>
  <si>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</si>
  <si>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</si>
  <si>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</si>
  <si>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</si>
  <si>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</si>
  <si>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</si>
  <si>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</si>
  <si>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</si>
  <si>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</si>
  <si>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</si>
  <si>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</si>
  <si>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</si>
  <si>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</si>
  <si>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</si>
  <si>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</si>
  <si>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</si>
  <si>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</si>
  <si>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</si>
  <si>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</si>
  <si>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</si>
  <si>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</si>
  <si>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</si>
  <si>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</si>
  <si>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</si>
  <si>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</si>
  <si>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</si>
  <si>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</si>
  <si>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</si>
  <si>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</si>
  <si>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</si>
  <si>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</si>
  <si>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</si>
  <si>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</si>
  <si>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</si>
  <si>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</si>
  <si>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</si>
  <si>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</si>
  <si>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</si>
  <si>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</si>
  <si>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</si>
  <si>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</si>
  <si>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</si>
  <si>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</si>
  <si>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</si>
  <si>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</si>
  <si>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</si>
  <si>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</si>
  <si>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</si>
  <si>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</si>
  <si>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</si>
  <si>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</si>
  <si>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</si>
  <si>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</si>
  <si>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</si>
  <si>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</si>
  <si>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</si>
  <si>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</si>
  <si>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</si>
  <si>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</si>
  <si>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</si>
  <si>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</si>
  <si>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</si>
  <si>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</si>
  <si>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</si>
  <si>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</si>
  <si>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</si>
  <si>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</si>
  <si>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</si>
  <si>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</si>
  <si>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</si>
  <si>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</si>
  <si>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</si>
  <si>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</si>
  <si>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</si>
  <si>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</si>
  <si>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</si>
  <si>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</si>
  <si>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</si>
  <si>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</si>
  <si>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</si>
  <si>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</si>
  <si>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</si>
  <si>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</si>
  <si>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</si>
  <si>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</si>
  <si>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</si>
  <si>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</si>
  <si>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</si>
  <si>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</si>
  <si>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</si>
  <si>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</si>
  <si>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</si>
  <si>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</si>
  <si>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</si>
  <si>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</si>
  <si>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</si>
  <si>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</si>
  <si>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</si>
  <si>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</si>
  <si>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</si>
  <si>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</si>
  <si>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</si>
  <si>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</si>
  <si>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</si>
  <si>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</si>
  <si>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</si>
  <si>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</si>
  <si>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</si>
  <si>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</si>
  <si>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</si>
  <si>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</si>
  <si>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</si>
  <si>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</si>
  <si>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</si>
  <si>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</si>
  <si>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</si>
  <si>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</si>
  <si>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</si>
  <si>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</si>
  <si>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</si>
  <si>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</si>
  <si>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</si>
  <si>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</si>
  <si>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</si>
  <si>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</si>
  <si>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</si>
  <si>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</si>
  <si>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</si>
  <si>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</si>
  <si>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</si>
  <si>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</si>
  <si>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</si>
  <si>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</si>
  <si>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</si>
  <si>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</si>
  <si>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</si>
  <si>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</si>
  <si>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</si>
  <si>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</si>
  <si>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</si>
  <si>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</si>
  <si>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</si>
  <si>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</si>
  <si>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</si>
  <si>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</si>
  <si>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</si>
  <si>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</si>
  <si>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</si>
  <si>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</si>
  <si>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</si>
  <si>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</si>
  <si>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</si>
  <si>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</si>
  <si>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</si>
  <si>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</si>
  <si>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</si>
  <si>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</si>
  <si>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</si>
  <si>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</si>
  <si>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</si>
  <si>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</si>
  <si>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</si>
  <si>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</si>
  <si>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</si>
  <si>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</si>
  <si>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</si>
  <si>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</si>
  <si>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</si>
  <si>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</si>
  <si>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</si>
  <si>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</si>
  <si>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</si>
  <si>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</si>
  <si>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</si>
  <si>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</si>
  <si>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</si>
  <si>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</si>
  <si>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</si>
  <si>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</si>
  <si>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</si>
  <si>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</si>
  <si>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</si>
  <si>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</si>
  <si>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</si>
  <si>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</si>
  <si>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</si>
  <si>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</si>
  <si>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</si>
  <si>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</si>
  <si>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</si>
  <si>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</si>
  <si>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</si>
  <si>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</si>
  <si>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</si>
  <si>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</si>
  <si>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</si>
  <si>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</si>
  <si>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</si>
  <si>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</si>
  <si>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</si>
  <si>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</si>
  <si>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</si>
  <si>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</si>
  <si>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</si>
  <si>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</si>
  <si>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</si>
  <si>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</si>
  <si>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</si>
  <si>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</si>
  <si>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</si>
  <si>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</si>
  <si>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</si>
  <si>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</si>
  <si>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</si>
  <si>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</si>
  <si>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</si>
  <si>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</si>
  <si>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</si>
  <si>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</si>
  <si>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</si>
  <si>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</si>
  <si>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</si>
  <si>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</si>
  <si>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</si>
  <si>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</si>
  <si>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</si>
  <si>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</si>
  <si>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</si>
  <si>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</si>
  <si>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</si>
  <si>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</si>
  <si>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</si>
  <si>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</si>
  <si>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</si>
  <si>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</si>
  <si>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</si>
  <si>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</si>
  <si>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</si>
  <si>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</si>
  <si>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</si>
  <si>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</si>
  <si>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</si>
  <si>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</si>
  <si>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</si>
  <si>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</si>
  <si>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</si>
  <si>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</si>
  <si>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</si>
  <si>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</si>
  <si>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</si>
  <si>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</si>
  <si>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</si>
  <si>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</si>
  <si>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</si>
  <si>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</si>
  <si>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</si>
  <si>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</si>
  <si>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</si>
  <si>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</si>
  <si>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</si>
  <si>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</si>
  <si>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</si>
  <si>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</si>
  <si>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</si>
  <si>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</si>
  <si>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</si>
  <si>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</si>
  <si>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</si>
  <si>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</si>
  <si>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</si>
  <si>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</si>
  <si>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</si>
  <si>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</si>
  <si>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</si>
  <si>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</si>
  <si>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</si>
  <si>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</si>
  <si>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</si>
  <si>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</si>
  <si>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</si>
  <si>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</si>
  <si>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</si>
  <si>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</si>
  <si>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</si>
  <si>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</si>
  <si>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</si>
  <si>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</si>
  <si>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</si>
  <si>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</si>
  <si>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</si>
  <si>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</si>
  <si>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</si>
  <si>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</si>
  <si>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</si>
  <si>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</si>
  <si>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</si>
  <si>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</si>
  <si>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</si>
  <si>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</si>
  <si>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</si>
  <si>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</si>
  <si>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</si>
  <si>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</si>
  <si>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</si>
  <si>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</si>
  <si>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</si>
  <si>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</si>
  <si>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</si>
  <si>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</si>
  <si>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</si>
  <si>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</si>
  <si>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</si>
  <si>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</si>
  <si>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</si>
  <si>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</si>
  <si>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</si>
  <si>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</si>
  <si>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</si>
  <si>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</si>
  <si>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</si>
  <si>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</si>
  <si>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</si>
  <si>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</si>
  <si>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</si>
  <si>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</si>
  <si>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</si>
  <si>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</si>
  <si>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</si>
  <si>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</si>
  <si>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</si>
  <si>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</si>
  <si>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</si>
  <si>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</si>
  <si>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</si>
  <si>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</si>
  <si>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</si>
  <si>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</si>
  <si>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</si>
  <si>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</si>
  <si>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</si>
  <si>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</si>
  <si>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</si>
  <si>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</si>
  <si>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</si>
  <si>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</si>
  <si>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</si>
  <si>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</si>
  <si>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</si>
  <si>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</si>
  <si>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</si>
  <si>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</si>
  <si>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</si>
  <si>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</si>
  <si>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</si>
  <si>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</si>
  <si>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</si>
  <si>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</si>
  <si>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</si>
  <si>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</si>
  <si>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</si>
  <si>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</si>
  <si>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</si>
  <si>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</si>
  <si>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</si>
  <si>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</si>
  <si>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</si>
  <si>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</si>
  <si>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</si>
  <si>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</si>
  <si>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</si>
  <si>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</si>
  <si>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</si>
  <si>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</si>
  <si>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</si>
  <si>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</si>
  <si>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</si>
  <si>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</si>
  <si>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</si>
  <si>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</si>
  <si>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</si>
  <si>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</si>
  <si>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</si>
  <si>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</si>
  <si>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</si>
  <si>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</si>
  <si>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</si>
  <si>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</si>
  <si>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</si>
  <si>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</si>
  <si>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</si>
  <si>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</si>
  <si>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</si>
  <si>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</si>
  <si>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</si>
  <si>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</si>
  <si>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</si>
  <si>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</si>
  <si>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</si>
  <si>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</si>
  <si>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</si>
  <si>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</si>
  <si>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</si>
  <si>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</si>
  <si>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</si>
  <si>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</si>
  <si>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</si>
  <si>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</si>
  <si>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</si>
  <si>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</si>
  <si>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</si>
  <si>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</si>
  <si>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</si>
  <si>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</si>
  <si>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</si>
  <si>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</si>
  <si>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</si>
  <si>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</si>
  <si>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</si>
  <si>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</si>
  <si>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</si>
  <si>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</si>
  <si>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</si>
  <si>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</si>
  <si>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</si>
  <si>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</si>
  <si>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</si>
  <si>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</si>
  <si>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</si>
  <si>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</si>
  <si>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</si>
  <si>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</si>
  <si>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</si>
  <si>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</si>
  <si>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</si>
  <si>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</si>
  <si>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</si>
  <si>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</si>
  <si>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</si>
  <si>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</si>
  <si>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</si>
  <si>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</si>
  <si>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</si>
  <si>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</si>
  <si>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</si>
  <si>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</si>
  <si>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</si>
  <si>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</si>
  <si>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</si>
  <si>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</si>
  <si>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</si>
  <si>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</si>
  <si>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</si>
  <si>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</si>
  <si>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</si>
  <si>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</si>
  <si>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</si>
  <si>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</si>
  <si>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</si>
  <si>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</si>
  <si>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</si>
  <si>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</si>
  <si>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</si>
  <si>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</si>
  <si>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</si>
  <si>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</si>
  <si>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</si>
  <si>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</si>
  <si>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</si>
  <si>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</si>
  <si>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</si>
  <si>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</si>
  <si>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</si>
  <si>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</si>
  <si>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</si>
  <si>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</si>
  <si>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</si>
  <si>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</si>
  <si>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</si>
  <si>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</si>
  <si>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</si>
  <si>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</si>
  <si>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</si>
  <si>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</si>
  <si>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</si>
  <si>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</si>
  <si>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</si>
  <si>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</si>
  <si>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</si>
  <si>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</si>
  <si>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</si>
  <si>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</si>
  <si>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</si>
  <si>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</si>
  <si>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</si>
  <si>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</si>
  <si>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</si>
  <si>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</si>
  <si>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</si>
  <si>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</si>
  <si>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</si>
  <si>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</si>
  <si>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</si>
  <si>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</si>
  <si>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</si>
  <si>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</si>
  <si>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</si>
  <si>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</si>
  <si>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</si>
  <si>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</si>
  <si>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</si>
  <si>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</si>
  <si>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</si>
  <si>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</si>
  <si>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</si>
  <si>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</si>
  <si>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</si>
  <si>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</si>
  <si>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</si>
  <si>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</si>
  <si>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</si>
  <si>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</si>
  <si>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</si>
  <si>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</si>
  <si>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</si>
  <si>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</si>
  <si>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</si>
  <si>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</si>
  <si>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</si>
  <si>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</si>
  <si>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</si>
  <si>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</si>
  <si>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</si>
  <si>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</si>
  <si>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</si>
  <si>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</si>
  <si>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</si>
  <si>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</si>
  <si>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</si>
  <si>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</si>
  <si>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</si>
  <si>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</si>
  <si>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</si>
  <si>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</si>
  <si>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</si>
  <si>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</si>
  <si>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</si>
  <si>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</si>
  <si>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</si>
  <si>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</si>
  <si>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</si>
  <si>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</si>
  <si>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</si>
  <si>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</si>
  <si>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</si>
  <si>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</si>
  <si>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</si>
  <si>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</si>
  <si>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</si>
  <si>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</si>
  <si>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</si>
  <si>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</si>
  <si>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</si>
  <si>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</si>
  <si>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</si>
  <si>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</si>
  <si>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</si>
  <si>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</si>
  <si>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</si>
  <si>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</si>
  <si>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</si>
  <si>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</si>
  <si>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</si>
  <si>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</si>
  <si>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</si>
  <si>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</si>
  <si>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</si>
  <si>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</si>
  <si>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</si>
  <si>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</si>
  <si>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</si>
  <si>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</si>
  <si>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</si>
  <si>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</si>
  <si>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</si>
  <si>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</si>
  <si>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</si>
  <si>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</si>
  <si>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</si>
  <si>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</si>
  <si>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</si>
  <si>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</si>
  <si>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</si>
  <si>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</si>
  <si>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</si>
  <si>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</si>
  <si>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</si>
  <si>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</si>
  <si>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</si>
  <si>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</si>
  <si>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</si>
  <si>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</si>
  <si>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</si>
  <si>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</si>
  <si>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</si>
  <si>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</si>
  <si>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</si>
  <si>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</si>
  <si>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</si>
  <si>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</si>
  <si>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</si>
  <si>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</si>
  <si>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</si>
  <si>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</si>
  <si>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</si>
  <si>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</si>
  <si>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</si>
  <si>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</si>
  <si>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</si>
  <si>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</si>
  <si>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</si>
  <si>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</si>
  <si>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</si>
  <si>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</si>
  <si>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</si>
  <si>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</si>
  <si>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</si>
  <si>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</si>
  <si>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</si>
  <si>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</si>
  <si>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</si>
  <si>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</si>
  <si>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</si>
  <si>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</si>
  <si>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</si>
  <si>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</si>
  <si>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</si>
  <si>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</si>
  <si>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</si>
  <si>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</si>
  <si>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</si>
  <si>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</si>
  <si>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</si>
  <si>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</si>
  <si>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</si>
  <si>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</si>
  <si>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</si>
  <si>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</si>
  <si>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</si>
  <si>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</si>
  <si>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</si>
  <si>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</si>
  <si>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</si>
  <si>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</si>
  <si>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</si>
  <si>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</si>
  <si>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</si>
  <si>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</si>
  <si>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</si>
  <si>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</si>
  <si>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</si>
  <si>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</si>
  <si>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</si>
  <si>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</si>
  <si>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</si>
  <si>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</si>
  <si>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</si>
  <si>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</si>
  <si>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</si>
  <si>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</si>
  <si>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</si>
  <si>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</si>
  <si>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</si>
  <si>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</si>
  <si>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</si>
  <si>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</si>
  <si>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</si>
  <si>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</si>
  <si>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</si>
  <si>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</si>
  <si>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</si>
  <si>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</si>
  <si>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</si>
  <si>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</si>
  <si>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</si>
  <si>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</si>
  <si>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</si>
  <si>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</si>
  <si>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</si>
  <si>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</si>
  <si>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</si>
  <si>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</si>
  <si>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</si>
  <si>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</si>
  <si>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</si>
  <si>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</si>
  <si>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</si>
  <si>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</si>
  <si>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</si>
  <si>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</si>
  <si>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</si>
  <si>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</si>
  <si>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</si>
  <si>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</si>
  <si>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</si>
  <si>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</si>
  <si>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</si>
  <si>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</si>
  <si>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</si>
  <si>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</si>
  <si>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</si>
  <si>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</si>
  <si>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</si>
  <si>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</si>
  <si>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</si>
  <si>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</si>
  <si>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</si>
  <si>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</si>
  <si>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</si>
  <si>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</si>
  <si>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</si>
  <si>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</si>
  <si>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</si>
  <si>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</si>
  <si>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</si>
  <si>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</si>
  <si>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</si>
  <si>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</si>
  <si>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</si>
  <si>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</si>
  <si>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</si>
  <si>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</si>
  <si>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</si>
  <si>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</si>
  <si>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</si>
  <si>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</si>
  <si>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</si>
  <si>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</si>
  <si>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</si>
  <si>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</si>
  <si>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</si>
  <si>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</si>
  <si>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</si>
  <si>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</si>
  <si>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</si>
  <si>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</si>
  <si>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</si>
  <si>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</si>
  <si>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</si>
  <si>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</si>
  <si>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</si>
  <si>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</si>
  <si>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</si>
  <si>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</si>
  <si>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</si>
  <si>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</si>
  <si>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</si>
  <si>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</si>
  <si>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</si>
  <si>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</si>
  <si>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</si>
  <si>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</si>
  <si>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</si>
  <si>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</si>
  <si>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</si>
  <si>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</si>
  <si>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</si>
  <si>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</si>
  <si>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</si>
  <si>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</si>
  <si>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</si>
  <si>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</si>
  <si>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</si>
  <si>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</si>
  <si>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</si>
  <si>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</si>
  <si>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</si>
  <si>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</si>
  <si>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</si>
  <si>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</si>
  <si>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</si>
  <si>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</si>
  <si>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</si>
  <si>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</si>
  <si>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</si>
  <si>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</si>
  <si>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</si>
  <si>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</si>
  <si>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</si>
  <si>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</si>
  <si>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</si>
  <si>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</si>
  <si>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</si>
  <si>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</si>
  <si>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</si>
  <si>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</si>
  <si>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</si>
  <si>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</si>
  <si>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</si>
  <si>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</si>
  <si>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</si>
  <si>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</si>
  <si>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</si>
  <si>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</si>
  <si>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</si>
  <si>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</si>
  <si>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</si>
  <si>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</si>
  <si>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</si>
  <si>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</si>
  <si>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</si>
  <si>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</si>
  <si>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</si>
  <si>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</si>
  <si>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</si>
  <si>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</si>
  <si>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</si>
  <si>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</si>
  <si>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</si>
  <si>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</si>
  <si>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</si>
  <si>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</si>
  <si>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</si>
  <si>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</si>
  <si>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</si>
  <si>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</si>
  <si>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</si>
  <si>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</si>
  <si>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</si>
  <si>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</si>
  <si>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</si>
  <si>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</si>
  <si>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</si>
  <si>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</si>
  <si>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</si>
  <si>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</si>
  <si>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</si>
  <si>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</si>
  <si>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</si>
  <si>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</si>
  <si>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</si>
  <si>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</si>
  <si>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</si>
  <si>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</si>
  <si>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</si>
  <si>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</si>
  <si>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</si>
  <si>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</si>
  <si>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</si>
  <si>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</si>
  <si>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</si>
  <si>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</si>
  <si>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</si>
  <si>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</si>
  <si>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</si>
  <si>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</si>
  <si>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</si>
  <si>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</si>
  <si>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</si>
  <si>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</si>
  <si>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</si>
  <si>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</si>
  <si>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</si>
  <si>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</si>
  <si>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</si>
  <si>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</si>
  <si>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</si>
  <si>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</si>
  <si>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</si>
  <si>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</si>
  <si>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</si>
  <si>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</si>
  <si>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</si>
  <si>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</si>
  <si>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</si>
  <si>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</si>
  <si>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</si>
  <si>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</si>
  <si>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</si>
  <si>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</si>
  <si>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</si>
  <si>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</si>
  <si>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</si>
  <si>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</si>
  <si>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</si>
  <si>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</si>
  <si>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</si>
  <si>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</si>
  <si>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</si>
  <si>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</si>
  <si>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</si>
  <si>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</si>
  <si>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</si>
  <si>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</si>
  <si>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</si>
  <si>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</si>
  <si>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</si>
  <si>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</si>
  <si>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</si>
  <si>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</si>
  <si>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</si>
  <si>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</si>
  <si>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</si>
  <si>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</si>
  <si>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</si>
  <si>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</si>
  <si>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</si>
  <si>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</si>
  <si>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</si>
  <si>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</si>
  <si>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</si>
  <si>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</si>
  <si>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</si>
  <si>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</si>
  <si>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</si>
  <si>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</si>
  <si>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</si>
  <si>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</si>
  <si>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</si>
  <si>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</si>
  <si>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</si>
  <si>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</si>
  <si>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</si>
  <si>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</si>
  <si>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</si>
  <si>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</si>
  <si>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</si>
  <si>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</si>
  <si>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</si>
  <si>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</si>
  <si>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</si>
  <si>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</si>
  <si>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</si>
  <si>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</si>
  <si>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</si>
  <si>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</si>
  <si>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</si>
  <si>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</si>
  <si>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</si>
  <si>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</si>
  <si>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</si>
  <si>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</si>
  <si>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</si>
  <si>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</si>
  <si>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</si>
  <si>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</si>
  <si>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</si>
  <si>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</si>
  <si>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</si>
  <si>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</si>
  <si>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</si>
  <si>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</si>
  <si>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</si>
  <si>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</si>
  <si>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</si>
  <si>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</si>
  <si>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</si>
  <si>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</si>
  <si>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</si>
  <si>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</si>
  <si>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</si>
  <si>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</si>
  <si>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</si>
  <si>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</si>
  <si>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</si>
  <si>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</si>
  <si>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</si>
  <si>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</si>
  <si>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</si>
  <si>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</si>
  <si>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</si>
  <si>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</si>
  <si>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</si>
  <si>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</si>
  <si>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</si>
  <si>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</si>
  <si>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</si>
  <si>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</si>
  <si>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</si>
  <si>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</si>
  <si>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</si>
  <si>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</si>
  <si>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</si>
  <si>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</si>
  <si>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</si>
  <si>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</si>
  <si>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</si>
  <si>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</si>
  <si>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</si>
  <si>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</si>
  <si>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</si>
  <si>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</si>
  <si>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</si>
  <si>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</si>
  <si>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</si>
  <si>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</si>
  <si>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</si>
  <si>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</si>
  <si>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</si>
  <si>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</si>
  <si>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</si>
  <si>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</si>
  <si>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</si>
  <si>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</si>
  <si>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</si>
  <si>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</si>
  <si>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</si>
  <si>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</si>
  <si>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</si>
  <si>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</si>
  <si>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</si>
  <si>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</si>
  <si>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</si>
  <si>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</si>
  <si>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</si>
  <si>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</si>
  <si>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</si>
  <si>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</si>
  <si>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</si>
  <si>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</si>
  <si>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</si>
  <si>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</si>
  <si>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</si>
  <si>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</si>
  <si>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</si>
  <si>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</si>
  <si>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</si>
  <si>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</si>
  <si>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</si>
  <si>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</si>
  <si>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</si>
  <si>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</si>
  <si>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</si>
  <si>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</si>
  <si>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</si>
  <si>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</si>
  <si>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</si>
  <si>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</si>
  <si>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</si>
  <si>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</si>
  <si>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</si>
  <si>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</si>
  <si>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</si>
  <si>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</si>
  <si>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</si>
  <si>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</si>
  <si>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</si>
  <si>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</si>
  <si>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</si>
  <si>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</si>
  <si>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</si>
  <si>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</si>
  <si>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</si>
  <si>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</si>
  <si>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</si>
  <si>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</si>
  <si>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</si>
  <si>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</si>
  <si>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</si>
  <si>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</si>
  <si>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</si>
  <si>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</si>
  <si>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</si>
  <si>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</si>
  <si>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</si>
  <si>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</si>
  <si>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</si>
  <si>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</si>
  <si>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</si>
  <si>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</si>
  <si>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</si>
  <si>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</si>
  <si>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</si>
  <si>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</si>
  <si>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</si>
  <si>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</si>
  <si>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</si>
  <si>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</si>
  <si>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</si>
  <si>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</si>
  <si>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</si>
  <si>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</si>
  <si>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</si>
  <si>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</si>
  <si>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</si>
  <si>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</si>
  <si>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</si>
  <si>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</si>
  <si>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</si>
  <si>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</si>
  <si>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</si>
  <si>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</si>
  <si>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</si>
  <si>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</si>
  <si>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</si>
  <si>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</si>
  <si>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</si>
  <si>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</si>
  <si>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</si>
  <si>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</si>
  <si>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</si>
  <si>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</si>
  <si>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</si>
  <si>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</si>
  <si>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</si>
  <si>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</si>
  <si>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</si>
  <si>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</si>
  <si>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</si>
  <si>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</si>
  <si>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</si>
  <si>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</si>
  <si>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</si>
  <si>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</si>
  <si>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</si>
  <si>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</si>
  <si>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</si>
  <si>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</si>
  <si>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</si>
  <si>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</si>
  <si>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</si>
  <si>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</si>
  <si>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</si>
  <si>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</si>
  <si>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</si>
  <si>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</si>
  <si>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</si>
  <si>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</si>
  <si>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</si>
  <si>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</si>
  <si>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</si>
  <si>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</si>
  <si>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</si>
  <si>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</si>
  <si>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</si>
  <si>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</si>
  <si>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</si>
  <si>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</si>
  <si>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</si>
  <si>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</si>
  <si>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</si>
  <si>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</si>
  <si>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</si>
  <si>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</si>
  <si>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</si>
  <si>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</si>
  <si>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</si>
  <si>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</si>
  <si>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</si>
  <si>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</si>
  <si>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</si>
  <si>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</si>
  <si>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</si>
  <si>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</si>
  <si>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</si>
  <si>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</si>
  <si>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</si>
  <si>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</si>
  <si>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</si>
  <si>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</si>
  <si>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</si>
  <si>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</si>
  <si>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</si>
  <si>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</si>
  <si>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</si>
  <si>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</si>
  <si>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</si>
  <si>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</si>
  <si>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</si>
  <si>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</si>
  <si>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</si>
  <si>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</si>
  <si>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</si>
  <si>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</si>
  <si>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</si>
  <si>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</si>
  <si>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</si>
  <si>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</si>
  <si>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</si>
  <si>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</si>
  <si>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</si>
  <si>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</si>
  <si>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</si>
  <si>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</si>
  <si>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</si>
  <si>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</si>
  <si>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</si>
  <si>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</si>
  <si>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</si>
  <si>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</si>
  <si>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</si>
  <si>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</si>
  <si>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</si>
  <si>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</si>
  <si>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</si>
  <si>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</si>
  <si>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</si>
  <si>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</si>
  <si>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</si>
  <si>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</si>
  <si>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</si>
  <si>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</si>
  <si>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</si>
  <si>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</si>
  <si>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</si>
  <si>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</si>
  <si>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</si>
  <si>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</si>
  <si>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</si>
  <si>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</si>
  <si>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</si>
  <si>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</si>
  <si>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</si>
  <si>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</si>
  <si>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</si>
  <si>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</si>
  <si>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</si>
  <si>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</si>
  <si>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</si>
  <si>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</si>
  <si>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</si>
  <si>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</si>
  <si>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</si>
  <si>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</si>
  <si>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</si>
  <si>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</si>
  <si>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</si>
  <si>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</si>
  <si>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</si>
  <si>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</si>
  <si>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</si>
  <si>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</si>
  <si>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</si>
  <si>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</si>
  <si>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</si>
  <si>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</si>
  <si>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</si>
  <si>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</si>
  <si>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</si>
  <si>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</si>
  <si>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</si>
  <si>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</si>
  <si>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</si>
  <si>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</si>
  <si>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</si>
  <si>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</si>
  <si>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</si>
  <si>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</si>
  <si>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</si>
  <si>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</si>
  <si>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</si>
  <si>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</si>
  <si>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</si>
  <si>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</si>
  <si>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</si>
  <si>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</si>
  <si>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</si>
  <si>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</si>
  <si>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</si>
  <si>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</si>
  <si>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</si>
  <si>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</si>
  <si>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</si>
  <si>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</si>
  <si>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</si>
  <si>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</si>
  <si>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</si>
  <si>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</si>
  <si>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</si>
  <si>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</si>
  <si>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</si>
  <si>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</si>
  <si>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</si>
  <si>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</si>
  <si>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</si>
  <si>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</si>
  <si>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</si>
  <si>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</si>
  <si>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</si>
  <si>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</si>
  <si>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</si>
  <si>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</si>
  <si>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</si>
  <si>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</si>
  <si>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</si>
  <si>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</si>
  <si>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</si>
  <si>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</si>
  <si>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</si>
  <si>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</si>
  <si>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</si>
  <si>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</si>
  <si>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</si>
  <si>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</si>
  <si>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</si>
  <si>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</si>
  <si>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</si>
  <si>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</si>
  <si>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</si>
  <si>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</si>
  <si>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</si>
  <si>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</si>
  <si>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</si>
  <si>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</si>
  <si>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</si>
  <si>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</si>
  <si>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</si>
  <si>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</si>
  <si>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</si>
  <si>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</si>
  <si>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</si>
  <si>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</si>
  <si>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</si>
  <si>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</si>
  <si>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</si>
  <si>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</si>
  <si>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</si>
  <si>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</si>
  <si>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</si>
  <si>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</si>
  <si>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</si>
  <si>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</si>
  <si>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</si>
  <si>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</si>
  <si>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</si>
  <si>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</si>
  <si>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</si>
  <si>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</si>
  <si>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</si>
  <si>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</si>
  <si>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</si>
  <si>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</si>
  <si>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</si>
  <si>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</si>
  <si>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</si>
  <si>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</si>
  <si>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</si>
  <si>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</si>
  <si>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</si>
  <si>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</si>
  <si>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</si>
  <si>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</si>
  <si>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</si>
  <si>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</si>
  <si>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</si>
  <si>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</si>
  <si>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</si>
  <si>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</si>
  <si>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</si>
  <si>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</si>
  <si>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</si>
  <si>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</si>
  <si>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</si>
  <si>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</si>
  <si>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</si>
  <si>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</si>
  <si>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</si>
  <si>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</si>
  <si>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</si>
  <si>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</si>
  <si>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</si>
  <si>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</si>
  <si>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</si>
  <si>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</si>
  <si>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</si>
  <si>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</si>
  <si>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</si>
  <si>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</si>
  <si>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</si>
  <si>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</si>
  <si>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</si>
  <si>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</si>
  <si>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</si>
  <si>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</si>
  <si>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</si>
  <si>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</si>
  <si>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</si>
  <si>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</si>
  <si>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</si>
  <si>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</si>
  <si>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</si>
  <si>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</si>
  <si>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</si>
  <si>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</si>
  <si>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</si>
  <si>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</si>
  <si>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</si>
  <si>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</si>
  <si>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</si>
  <si>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</si>
  <si>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</si>
  <si>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</si>
  <si>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</si>
  <si>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</si>
  <si>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</si>
  <si>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</si>
  <si>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</si>
  <si>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</si>
  <si>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</si>
  <si>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</si>
  <si>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</si>
  <si>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</si>
  <si>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</si>
  <si>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</si>
  <si>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</si>
  <si>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</si>
  <si>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</si>
  <si>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</si>
  <si>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</si>
  <si>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</si>
  <si>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</si>
  <si>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</si>
  <si>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</si>
  <si>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</si>
  <si>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</si>
  <si>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</si>
  <si>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</si>
  <si>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</si>
  <si>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</si>
  <si>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</si>
  <si>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</si>
  <si>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</si>
  <si>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</si>
  <si>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</si>
  <si>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</si>
  <si>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</si>
  <si>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</si>
  <si>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</si>
  <si>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</si>
  <si>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</si>
  <si>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</si>
  <si>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</si>
  <si>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</si>
  <si>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</si>
  <si>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</si>
  <si>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</si>
  <si>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</si>
  <si>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</si>
  <si>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</si>
  <si>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</si>
  <si>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</si>
  <si>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</si>
  <si>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</si>
  <si>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</si>
  <si>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</si>
  <si>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</si>
  <si>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</si>
  <si>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</si>
  <si>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</si>
  <si>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</si>
  <si>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</si>
  <si>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</si>
  <si>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</si>
  <si>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</si>
  <si>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</si>
  <si>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</si>
  <si>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</si>
  <si>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</si>
  <si>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</si>
  <si>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</si>
  <si>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</si>
  <si>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</si>
  <si>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</si>
  <si>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</si>
  <si>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</si>
  <si>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</si>
  <si>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</si>
  <si>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</si>
  <si>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</si>
  <si>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</si>
  <si>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</si>
  <si>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</si>
  <si>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</si>
  <si>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</si>
  <si>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</si>
  <si>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</si>
  <si>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</si>
  <si>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</si>
  <si>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</si>
  <si>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</si>
  <si>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</si>
  <si>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</si>
  <si>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</si>
  <si>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</si>
  <si>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</si>
  <si>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</si>
  <si>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</si>
  <si>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</si>
  <si>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</si>
  <si>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</si>
  <si>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</si>
  <si>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</si>
  <si>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</si>
  <si>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</si>
  <si>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</si>
  <si>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</si>
  <si>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</si>
  <si>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</si>
  <si>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</si>
  <si>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</si>
  <si>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</si>
  <si>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</si>
  <si>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</si>
  <si>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</si>
  <si>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</si>
  <si>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</si>
  <si>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</si>
  <si>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</si>
  <si>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</si>
  <si>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</si>
  <si>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</si>
  <si>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</si>
  <si>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</si>
  <si>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</si>
  <si>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</si>
  <si>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</si>
  <si>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</si>
  <si>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</si>
  <si>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</si>
  <si>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</si>
  <si>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</si>
  <si>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</si>
  <si>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</si>
  <si>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</si>
  <si>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</si>
  <si>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</si>
  <si>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</si>
  <si>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</si>
  <si>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</si>
  <si>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</si>
  <si>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</si>
  <si>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</si>
  <si>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</si>
  <si>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</si>
  <si>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</si>
  <si>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</si>
  <si>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</si>
  <si>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</si>
  <si>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</si>
  <si>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</si>
  <si>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</si>
  <si>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</si>
  <si>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</si>
  <si>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</si>
  <si>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</si>
  <si>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</si>
  <si>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</si>
  <si>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</si>
  <si>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</si>
  <si>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</si>
  <si>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</si>
  <si>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</si>
  <si>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</si>
  <si>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</si>
  <si>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</si>
  <si>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</si>
  <si>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</si>
  <si>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</si>
  <si>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</si>
  <si>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</si>
  <si>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</si>
  <si>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</si>
  <si>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</si>
  <si>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</si>
  <si>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</si>
  <si>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</si>
  <si>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</si>
  <si>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</si>
  <si>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</si>
  <si>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</si>
  <si>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</si>
  <si>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</si>
  <si>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</si>
  <si>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</si>
  <si>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</si>
  <si>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</si>
  <si>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</si>
  <si>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</si>
  <si>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</si>
  <si>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</si>
  <si>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</si>
  <si>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</si>
  <si>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</si>
  <si>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</si>
  <si>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</si>
  <si>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</si>
  <si>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</si>
  <si>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</si>
  <si>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</si>
  <si>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</si>
  <si>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</si>
  <si>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</si>
  <si>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</si>
  <si>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</si>
  <si>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</si>
  <si>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</si>
  <si>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</si>
  <si>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</si>
  <si>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</si>
  <si>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</si>
  <si>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</si>
  <si>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</si>
  <si>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</si>
  <si>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</si>
  <si>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</si>
  <si>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</si>
  <si>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</si>
  <si>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</si>
  <si>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</si>
  <si>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</si>
  <si>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</si>
  <si>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</si>
  <si>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</si>
  <si>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</si>
  <si>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</si>
  <si>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</si>
  <si>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</si>
  <si>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</si>
  <si>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</si>
  <si>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</si>
  <si>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</si>
  <si>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</si>
  <si>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</si>
  <si>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</si>
  <si>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</si>
  <si>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</si>
  <si>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</si>
  <si>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</si>
  <si>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</si>
  <si>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</si>
  <si>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</si>
  <si>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</si>
  <si>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</si>
  <si>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</si>
  <si>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</si>
  <si>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</si>
  <si>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</si>
  <si>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</si>
  <si>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</si>
  <si>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</si>
  <si>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</si>
  <si>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</si>
  <si>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</si>
  <si>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</si>
  <si>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</si>
  <si>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</si>
  <si>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</si>
  <si>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</si>
  <si>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</si>
  <si>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</si>
  <si>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</si>
  <si>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ADJUSTING AUDIT ENTRIES FY22</t>
  </si>
  <si>
    <t>Audit Complete Spring of 2023</t>
  </si>
  <si>
    <t>08/03</t>
  </si>
  <si>
    <t>08/15/23</t>
  </si>
  <si>
    <t>02/20</t>
  </si>
  <si>
    <t>02/15/40</t>
  </si>
  <si>
    <t>Salaries and Benefits tab still showing error - however the totals tie out</t>
  </si>
  <si>
    <t xml:space="preserve">School Level Expenditures tab - still showing error - however totals tie 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</si>
</sst>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1019</v>
      </c>
      <c r="B2">
        <f>INDEX('School Tables'!$AH$3:$AH$209,MATCH('DOE25'!A2,'School Tables'!$AJ$3:$AJ$209,0))</f>
        <v>172</v>
      </c>
      <c r="C2">
        <f>INDEX('School Tables'!$AI$3:$AI$209,MATCH('DOE25'!A2,'School Tables'!$AJ$3:$AJ$209,0))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5329050.5</v>
      </c>
      <c r="G9" s="18">
        <v>0.01</v>
      </c>
      <c r="H9" s="18">
        <f>220657.3+56612.05+75936.29</f>
        <v>353205.63999999996</v>
      </c>
      <c r="I9" s="18">
        <v>716737.32</v>
      </c>
      <c r="J9" s="13">
        <f>SUM(I440)</f>
        <v>1832909.55</v>
      </c>
      <c r="K9" s="23" t="s">
        <v>288</v>
      </c>
      <c r="L9" s="23" t="s">
        <v>288</v>
      </c>
      <c r="M9" s="8"/>
      <c r="N9" s="165"/>
    </row>
    <row r="10" spans="1:14" s="3" customFormat="1" ht="12.2" customHeight="1" x14ac:dyDescent="0.15">
      <c r="A10" s="1" t="s">
        <v>562</v>
      </c>
      <c r="B10" s="2" t="s">
        <v>289</v>
      </c>
      <c r="C10" s="6">
        <v>2</v>
      </c>
      <c r="D10" s="2" t="s">
        <v>428</v>
      </c>
      <c r="E10" s="6">
        <v>110</v>
      </c>
      <c r="F10" s="18">
        <v>34921.360000000001</v>
      </c>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11567.3</v>
      </c>
      <c r="G12" s="18">
        <v>633343.71</v>
      </c>
      <c r="H12" s="18">
        <f>9.7+1830.53+168574.49</f>
        <v>170414.72</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169605.08</v>
      </c>
      <c r="G13" s="18">
        <v>211227.41</v>
      </c>
      <c r="H13" s="18">
        <v>43613.61</v>
      </c>
      <c r="I13" s="18">
        <v>58045.34</v>
      </c>
      <c r="J13" s="13">
        <f>SUM(I443)</f>
        <v>0</v>
      </c>
      <c r="K13" s="23" t="s">
        <v>288</v>
      </c>
      <c r="L13" s="23" t="s">
        <v>288</v>
      </c>
      <c r="M13" s="8"/>
      <c r="N13" s="165"/>
    </row>
    <row r="14" spans="1:14" s="3" customFormat="1" ht="12.2" customHeight="1" x14ac:dyDescent="0.15">
      <c r="A14" s="1" t="s">
        <v>565</v>
      </c>
      <c r="B14" s="2" t="s">
        <v>289</v>
      </c>
      <c r="C14" s="6">
        <v>6</v>
      </c>
      <c r="D14" s="2" t="s">
        <v>428</v>
      </c>
      <c r="E14" s="6">
        <v>150</v>
      </c>
      <c r="F14" s="18">
        <v>19896.97</v>
      </c>
      <c r="G14" s="18">
        <v>2975</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36933</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5601974.21</v>
      </c>
      <c r="G19" s="38">
        <f>SUM(G9:G18)</f>
        <v>847546.13</v>
      </c>
      <c r="H19" s="38">
        <f>SUM(H9:H18)</f>
        <v>567233.97</v>
      </c>
      <c r="I19" s="38">
        <f>SUM(I9:I18)</f>
        <v>774782.65999999992</v>
      </c>
      <c r="J19" s="38">
        <f>SUM(J9:J18)</f>
        <v>1832909.55</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828543.41</v>
      </c>
      <c r="G22" s="18"/>
      <c r="H22" s="18">
        <v>43671.3</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1520770.24</v>
      </c>
      <c r="G23" s="18">
        <v>1156.3599999999999</v>
      </c>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35100.400000000001</v>
      </c>
      <c r="G24" s="18">
        <v>13105.8</v>
      </c>
      <c r="H24" s="18"/>
      <c r="I24" s="18">
        <v>7132</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51833.05</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158137.41</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46269.06</v>
      </c>
      <c r="G31" s="18">
        <v>0.01</v>
      </c>
      <c r="H31" s="18">
        <v>1820.79</v>
      </c>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2482516.1599999997</v>
      </c>
      <c r="G32" s="38">
        <f>SUM(G22:G31)</f>
        <v>172399.58000000002</v>
      </c>
      <c r="H32" s="38">
        <f>SUM(H22:H31)</f>
        <v>45492.090000000004</v>
      </c>
      <c r="I32" s="38">
        <f>SUM(I22:I31)</f>
        <v>7132</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36933</v>
      </c>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200000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v>675146.55</v>
      </c>
      <c r="H48" s="18">
        <v>521741.88</v>
      </c>
      <c r="I48" s="18">
        <v>767650.66</v>
      </c>
      <c r="J48" s="13">
        <f>SUM(I460)</f>
        <v>1832909.55</v>
      </c>
      <c r="K48" s="23" t="s">
        <v>288</v>
      </c>
      <c r="L48" s="23" t="s">
        <v>288</v>
      </c>
      <c r="M48" s="8"/>
      <c r="N48" s="165"/>
    </row>
    <row r="49" spans="1:14" s="3" customFormat="1" ht="12.2" customHeight="1" x14ac:dyDescent="0.15">
      <c r="A49" s="1" t="s">
        <v>858</v>
      </c>
      <c r="B49" s="2" t="s">
        <v>289</v>
      </c>
      <c r="C49" s="6">
        <v>34</v>
      </c>
      <c r="D49" s="2"/>
      <c r="E49" s="6">
        <v>753</v>
      </c>
      <c r="F49" s="18">
        <v>105347.54</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2777177.51</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3119458.05</v>
      </c>
      <c r="G51" s="38">
        <f>SUM(G35:G50)</f>
        <v>675146.55</v>
      </c>
      <c r="H51" s="38">
        <f>SUM(H35:H50)</f>
        <v>521741.88</v>
      </c>
      <c r="I51" s="38">
        <f>SUM(I35:I50)</f>
        <v>767650.66</v>
      </c>
      <c r="J51" s="38">
        <f>SUM(J35:J50)</f>
        <v>1832909.55</v>
      </c>
      <c r="K51" s="42" t="s">
        <v>288</v>
      </c>
      <c r="L51" s="42" t="s">
        <v>288</v>
      </c>
      <c r="N51" s="131"/>
    </row>
    <row r="52" spans="1:14" s="3" customFormat="1" ht="12.2" customHeight="1" thickTop="1" x14ac:dyDescent="0.15">
      <c r="A52" s="35" t="s">
        <v>455</v>
      </c>
      <c r="B52" s="36" t="s">
        <v>289</v>
      </c>
      <c r="C52" s="6">
        <v>37</v>
      </c>
      <c r="D52" s="36" t="s">
        <v>653</v>
      </c>
      <c r="E52" s="36"/>
      <c r="F52" s="38">
        <f>F51+F32</f>
        <v>5601974.209999999</v>
      </c>
      <c r="G52" s="38">
        <f>G51+G32</f>
        <v>847546.13000000012</v>
      </c>
      <c r="H52" s="38">
        <f>H51+H32</f>
        <v>567233.97</v>
      </c>
      <c r="I52" s="38">
        <f>I51+I32</f>
        <v>774782.66</v>
      </c>
      <c r="J52" s="38">
        <f>J51+J32</f>
        <v>1832909.55</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f>50593795-F118</f>
        <v>46435633</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46435633</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9694</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13107.14</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1113118.67</v>
      </c>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1135919.8099999998</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177300.33</v>
      </c>
      <c r="G96" s="18">
        <v>74.23</v>
      </c>
      <c r="H96" s="18"/>
      <c r="I96" s="18">
        <v>4931.91</v>
      </c>
      <c r="J96" s="18">
        <v>20402.259999999998</v>
      </c>
      <c r="K96" s="23" t="s">
        <v>288</v>
      </c>
      <c r="L96" s="23" t="s">
        <v>288</v>
      </c>
      <c r="M96" s="8"/>
      <c r="N96" s="165"/>
    </row>
    <row r="97" spans="1:14" s="3" customFormat="1" ht="12.2" customHeight="1" x14ac:dyDescent="0.15">
      <c r="A97" s="1" t="s">
        <v>503</v>
      </c>
      <c r="B97" s="2" t="s">
        <v>315</v>
      </c>
      <c r="C97" s="6">
        <v>12</v>
      </c>
      <c r="D97" s="2" t="s">
        <v>430</v>
      </c>
      <c r="E97" s="6">
        <v>1600</v>
      </c>
      <c r="F97" s="23" t="s">
        <v>288</v>
      </c>
      <c r="G97" s="18">
        <v>693774.82</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104497.2</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v>69755.05</v>
      </c>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653379.9</v>
      </c>
      <c r="G110" s="18">
        <v>11243.97</v>
      </c>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935177.42999999993</v>
      </c>
      <c r="G111" s="38">
        <f>SUM(G96:G110)</f>
        <v>774848.07</v>
      </c>
      <c r="H111" s="38">
        <f>SUM(H96:H110)</f>
        <v>0</v>
      </c>
      <c r="I111" s="38">
        <f>SUM(I96:I110)</f>
        <v>4931.91</v>
      </c>
      <c r="J111" s="38">
        <f>SUM(J96:J110)</f>
        <v>20402.259999999998</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48506730.240000002</v>
      </c>
      <c r="G112" s="38">
        <f>G60+G111</f>
        <v>774848.07</v>
      </c>
      <c r="H112" s="38">
        <f>H60+H79+H94+H111</f>
        <v>0</v>
      </c>
      <c r="I112" s="38">
        <f>I60+I111</f>
        <v>4931.91</v>
      </c>
      <c r="J112" s="38">
        <f>J60+J111</f>
        <v>20402.259999999998</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6473718.5499999998</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4158162</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42445.22</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10674325.770000001</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942746.96</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729360.22</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932037.14</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1224</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11093.85</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2605368.3199999998</v>
      </c>
      <c r="G136" s="38">
        <f>SUM(G123:G135)</f>
        <v>11093.85</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13279694.090000002</v>
      </c>
      <c r="G140" s="38">
        <f>G121+SUM(G136:G137)</f>
        <v>11093.85</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34468.68</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98841.919999999998</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219016.24</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v>317641.26</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257045.19</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713596.4</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94521.22</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54937.67</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302306.21000000002</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94521.22</v>
      </c>
      <c r="G163" s="38">
        <f>SUM(G150:G162)</f>
        <v>257045.19</v>
      </c>
      <c r="H163" s="38">
        <f>SUM(H150:H162)</f>
        <v>1740808.38</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94521.22</v>
      </c>
      <c r="G170" s="38">
        <f>G147+G163+SUM(G164:G169)</f>
        <v>257045.19</v>
      </c>
      <c r="H170" s="38">
        <f>H147+H163+SUM(H164:H169)</f>
        <v>1740808.38</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150000</v>
      </c>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6000</v>
      </c>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156000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156000</v>
      </c>
      <c r="G193" s="38">
        <f>G184+SUM(G189:G192)</f>
        <v>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62036945.550000004</v>
      </c>
      <c r="G194" s="38">
        <f>G112+G140+G170+G193</f>
        <v>1042987.1099999999</v>
      </c>
      <c r="H194" s="38">
        <f>H112+H140+H170+H193</f>
        <v>1740808.38</v>
      </c>
      <c r="I194" s="38">
        <f>I112+I140+I170+I193</f>
        <v>4931.91</v>
      </c>
      <c r="J194" s="38">
        <f>J112+J140+J193</f>
        <v>20402.259999999998</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c r="G198" s="18"/>
      <c r="H198" s="18"/>
      <c r="I198" s="18"/>
      <c r="J198" s="18"/>
      <c r="K198" s="18"/>
      <c r="L198" s="13">
        <f>SUM(F198:K198)</f>
        <v>0</v>
      </c>
      <c r="M198" s="8"/>
      <c r="N198" s="165"/>
    </row>
    <row r="199" spans="1:14" s="3" customFormat="1" ht="12.2" customHeight="1" x14ac:dyDescent="0.15">
      <c r="A199" s="1" t="s">
        <v>439</v>
      </c>
      <c r="B199" s="2" t="s">
        <v>341</v>
      </c>
      <c r="C199" s="2" t="s">
        <v>291</v>
      </c>
      <c r="D199" s="2" t="s">
        <v>431</v>
      </c>
      <c r="E199" s="6">
        <v>1200</v>
      </c>
      <c r="F199" s="18"/>
      <c r="G199" s="18"/>
      <c r="H199" s="18"/>
      <c r="I199" s="18"/>
      <c r="J199" s="18"/>
      <c r="K199" s="18"/>
      <c r="L199" s="13">
        <f>SUM(F199:K199)</f>
        <v>0</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c r="G203" s="18"/>
      <c r="H203" s="18"/>
      <c r="I203" s="18"/>
      <c r="J203" s="18"/>
      <c r="K203" s="18"/>
      <c r="L203" s="13">
        <f t="shared" ref="L203:L209" si="0">SUM(F203:K203)</f>
        <v>0</v>
      </c>
      <c r="M203" s="8"/>
      <c r="N203" s="165"/>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5"/>
    </row>
    <row r="205" spans="1:14" s="3" customFormat="1" ht="12.2" customHeight="1" x14ac:dyDescent="0.15">
      <c r="A205" s="1" t="s">
        <v>444</v>
      </c>
      <c r="B205" s="2" t="s">
        <v>341</v>
      </c>
      <c r="C205" s="2" t="s">
        <v>296</v>
      </c>
      <c r="D205" s="2" t="s">
        <v>431</v>
      </c>
      <c r="E205" s="6">
        <v>2300</v>
      </c>
      <c r="F205" s="18"/>
      <c r="G205" s="18"/>
      <c r="H205" s="18"/>
      <c r="I205" s="18"/>
      <c r="J205" s="18"/>
      <c r="K205" s="18"/>
      <c r="L205" s="13">
        <f t="shared" si="0"/>
        <v>0</v>
      </c>
      <c r="M205" s="8"/>
      <c r="N205" s="165"/>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5"/>
    </row>
    <row r="209" spans="1:14" s="3" customFormat="1" ht="12.2" customHeight="1" x14ac:dyDescent="0.15">
      <c r="A209" s="1" t="s">
        <v>448</v>
      </c>
      <c r="B209" s="2" t="s">
        <v>341</v>
      </c>
      <c r="C209" s="2" t="s">
        <v>300</v>
      </c>
      <c r="D209" s="2" t="s">
        <v>431</v>
      </c>
      <c r="E209" s="6">
        <v>2700</v>
      </c>
      <c r="F209" s="18"/>
      <c r="G209" s="18"/>
      <c r="H209" s="18"/>
      <c r="I209" s="18"/>
      <c r="J209" s="18"/>
      <c r="K209" s="18"/>
      <c r="L209" s="13">
        <f t="shared" si="0"/>
        <v>0</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0</v>
      </c>
      <c r="G212" s="38">
        <f t="shared" si="1"/>
        <v>0</v>
      </c>
      <c r="H212" s="38">
        <f t="shared" si="1"/>
        <v>0</v>
      </c>
      <c r="I212" s="38">
        <f t="shared" si="1"/>
        <v>0</v>
      </c>
      <c r="J212" s="38">
        <f t="shared" si="1"/>
        <v>0</v>
      </c>
      <c r="K212" s="38">
        <f t="shared" si="1"/>
        <v>0</v>
      </c>
      <c r="L212" s="38">
        <f t="shared" si="1"/>
        <v>0</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6718687.0599999996</v>
      </c>
      <c r="G216" s="18">
        <v>3218782.1845334996</v>
      </c>
      <c r="H216" s="18">
        <v>16348.49</v>
      </c>
      <c r="I216" s="18">
        <v>173204.18</v>
      </c>
      <c r="J216" s="18"/>
      <c r="K216" s="18"/>
      <c r="L216" s="13">
        <f>SUM(F216:K216)</f>
        <v>10127021.9145335</v>
      </c>
      <c r="M216" s="8"/>
      <c r="N216" s="165"/>
    </row>
    <row r="217" spans="1:14" s="3" customFormat="1" ht="12.2" customHeight="1" x14ac:dyDescent="0.15">
      <c r="A217" s="1" t="s">
        <v>439</v>
      </c>
      <c r="B217" s="2" t="s">
        <v>346</v>
      </c>
      <c r="C217" s="2" t="s">
        <v>291</v>
      </c>
      <c r="D217" s="2" t="s">
        <v>431</v>
      </c>
      <c r="E217" s="6">
        <v>1200</v>
      </c>
      <c r="F217" s="18">
        <v>2747467.98</v>
      </c>
      <c r="G217" s="18">
        <f>1316254.34+36078.5</f>
        <v>1352332.84</v>
      </c>
      <c r="H217" s="18">
        <v>1057931.78</v>
      </c>
      <c r="I217" s="18">
        <v>62815.29</v>
      </c>
      <c r="J217" s="18">
        <v>23204.17</v>
      </c>
      <c r="K217" s="18"/>
      <c r="L217" s="13">
        <f>SUM(F217:K217)</f>
        <v>5243752.0600000005</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v>178958</v>
      </c>
      <c r="G219" s="18">
        <v>85735.027846310506</v>
      </c>
      <c r="H219" s="18">
        <v>17941.52</v>
      </c>
      <c r="I219" s="18">
        <v>13033.67</v>
      </c>
      <c r="J219" s="18"/>
      <c r="K219" s="18"/>
      <c r="L219" s="13">
        <f>SUM(F219:K219)</f>
        <v>295668.21784631052</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1590194.91</v>
      </c>
      <c r="G221" s="18">
        <v>761829.0598347726</v>
      </c>
      <c r="H221" s="18">
        <v>100818.28</v>
      </c>
      <c r="I221" s="18">
        <v>18331.580000000002</v>
      </c>
      <c r="J221" s="18">
        <v>1001</v>
      </c>
      <c r="K221" s="18"/>
      <c r="L221" s="13">
        <f t="shared" ref="L221:L227" si="2">SUM(F221:K221)</f>
        <v>2472174.8298347723</v>
      </c>
      <c r="M221" s="8"/>
      <c r="N221" s="165"/>
    </row>
    <row r="222" spans="1:14" s="3" customFormat="1" ht="12.2" customHeight="1" x14ac:dyDescent="0.15">
      <c r="A222" s="1" t="s">
        <v>443</v>
      </c>
      <c r="B222" s="2" t="s">
        <v>346</v>
      </c>
      <c r="C222" s="2" t="s">
        <v>295</v>
      </c>
      <c r="D222" s="2" t="s">
        <v>431</v>
      </c>
      <c r="E222" s="6">
        <v>2200</v>
      </c>
      <c r="F222" s="18">
        <v>379389.09</v>
      </c>
      <c r="G222" s="18">
        <f>22756.72+181757.36</f>
        <v>204514.08</v>
      </c>
      <c r="H222" s="18">
        <v>31076.82</v>
      </c>
      <c r="I222" s="18">
        <v>131954.01999999999</v>
      </c>
      <c r="J222" s="18">
        <v>294112.17</v>
      </c>
      <c r="K222" s="18"/>
      <c r="L222" s="13">
        <f t="shared" si="2"/>
        <v>1041046.1799999999</v>
      </c>
      <c r="M222" s="8"/>
      <c r="N222" s="165"/>
    </row>
    <row r="223" spans="1:14" s="3" customFormat="1" ht="12.2" customHeight="1" x14ac:dyDescent="0.15">
      <c r="A223" s="1" t="s">
        <v>444</v>
      </c>
      <c r="B223" s="2" t="s">
        <v>346</v>
      </c>
      <c r="C223" s="2" t="s">
        <v>296</v>
      </c>
      <c r="D223" s="2" t="s">
        <v>431</v>
      </c>
      <c r="E223" s="6">
        <v>2300</v>
      </c>
      <c r="F223" s="18">
        <v>6100</v>
      </c>
      <c r="G223" s="18">
        <v>2922.3821782904038</v>
      </c>
      <c r="H223" s="18">
        <v>806086.54</v>
      </c>
      <c r="I223" s="18">
        <v>118.45</v>
      </c>
      <c r="J223" s="18"/>
      <c r="K223" s="18"/>
      <c r="L223" s="13">
        <f t="shared" si="2"/>
        <v>815227.37217829039</v>
      </c>
      <c r="M223" s="8"/>
      <c r="N223" s="165"/>
    </row>
    <row r="224" spans="1:14" s="3" customFormat="1" ht="12.2" customHeight="1" x14ac:dyDescent="0.15">
      <c r="A224" s="1" t="s">
        <v>445</v>
      </c>
      <c r="B224" s="2" t="s">
        <v>346</v>
      </c>
      <c r="C224" s="2" t="s">
        <v>297</v>
      </c>
      <c r="D224" s="2" t="s">
        <v>431</v>
      </c>
      <c r="E224" s="6">
        <v>2400</v>
      </c>
      <c r="F224" s="18">
        <v>707284.6</v>
      </c>
      <c r="G224" s="18">
        <v>338845.23115069792</v>
      </c>
      <c r="H224" s="18">
        <v>56625.91</v>
      </c>
      <c r="I224" s="18">
        <v>18392.37</v>
      </c>
      <c r="J224" s="18">
        <v>4903.74</v>
      </c>
      <c r="K224" s="18">
        <v>4144.5600000000004</v>
      </c>
      <c r="L224" s="13">
        <f t="shared" si="2"/>
        <v>1130196.4111506981</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v>752616.69</v>
      </c>
      <c r="G226" s="18">
        <v>360562.88556392025</v>
      </c>
      <c r="H226" s="18">
        <v>554072.77</v>
      </c>
      <c r="I226" s="18">
        <v>302502.61</v>
      </c>
      <c r="J226" s="18">
        <v>6160.64</v>
      </c>
      <c r="K226" s="18"/>
      <c r="L226" s="13">
        <f t="shared" si="2"/>
        <v>1975915.59556392</v>
      </c>
      <c r="M226" s="8"/>
      <c r="N226" s="165"/>
    </row>
    <row r="227" spans="1:14" s="3" customFormat="1" ht="12.2" customHeight="1" x14ac:dyDescent="0.15">
      <c r="A227" s="1" t="s">
        <v>448</v>
      </c>
      <c r="B227" s="2" t="s">
        <v>346</v>
      </c>
      <c r="C227" s="2" t="s">
        <v>300</v>
      </c>
      <c r="D227" s="2" t="s">
        <v>431</v>
      </c>
      <c r="E227" s="6">
        <v>2700</v>
      </c>
      <c r="F227" s="18">
        <v>29803.74</v>
      </c>
      <c r="G227" s="18">
        <v>14278.347315147681</v>
      </c>
      <c r="H227" s="18">
        <v>1275481.19</v>
      </c>
      <c r="I227" s="18"/>
      <c r="J227" s="18"/>
      <c r="K227" s="18"/>
      <c r="L227" s="13">
        <f t="shared" si="2"/>
        <v>1319563.2773151477</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13110502.069999998</v>
      </c>
      <c r="G230" s="38">
        <f>SUM(G216:G229)</f>
        <v>6339802.0384226395</v>
      </c>
      <c r="H230" s="38">
        <f>SUM(H216:H229)</f>
        <v>3916383.3000000003</v>
      </c>
      <c r="I230" s="38">
        <f>SUM(I216:I229)</f>
        <v>720352.16999999993</v>
      </c>
      <c r="J230" s="38">
        <f>SUM(J216:J229)</f>
        <v>329381.71999999997</v>
      </c>
      <c r="K230" s="38">
        <f t="shared" si="3"/>
        <v>4144.5600000000004</v>
      </c>
      <c r="L230" s="38">
        <f t="shared" si="3"/>
        <v>24420565.858422637</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8139059.3200000003</v>
      </c>
      <c r="G234" s="18">
        <v>3899252.7712813793</v>
      </c>
      <c r="H234" s="18">
        <v>30937.46</v>
      </c>
      <c r="I234" s="18">
        <v>182433.02</v>
      </c>
      <c r="J234" s="18"/>
      <c r="K234" s="18"/>
      <c r="L234" s="13">
        <f>SUM(F234:K234)</f>
        <v>12251682.571281381</v>
      </c>
      <c r="M234" s="8"/>
      <c r="N234" s="165"/>
    </row>
    <row r="235" spans="1:14" s="3" customFormat="1" ht="12.2" customHeight="1" x14ac:dyDescent="0.15">
      <c r="A235" s="1" t="s">
        <v>439</v>
      </c>
      <c r="B235" s="2" t="s">
        <v>350</v>
      </c>
      <c r="C235" s="2" t="s">
        <v>291</v>
      </c>
      <c r="D235" s="2" t="s">
        <v>431</v>
      </c>
      <c r="E235" s="6">
        <v>1200</v>
      </c>
      <c r="F235" s="18">
        <v>2097941.61</v>
      </c>
      <c r="G235" s="18">
        <f>21910.58+1005079.86</f>
        <v>1026990.44</v>
      </c>
      <c r="H235" s="18">
        <v>2208256.46</v>
      </c>
      <c r="I235" s="18">
        <v>39193.339999999997</v>
      </c>
      <c r="J235" s="18">
        <v>19256.79</v>
      </c>
      <c r="K235" s="18">
        <v>11129.78</v>
      </c>
      <c r="L235" s="13">
        <f>SUM(F235:K235)</f>
        <v>5402768.4199999999</v>
      </c>
      <c r="M235" s="8"/>
      <c r="N235" s="165"/>
    </row>
    <row r="236" spans="1:14" s="3" customFormat="1" ht="12.2" customHeight="1" x14ac:dyDescent="0.15">
      <c r="A236" s="1" t="s">
        <v>440</v>
      </c>
      <c r="B236" s="2" t="s">
        <v>350</v>
      </c>
      <c r="C236" s="2" t="s">
        <v>292</v>
      </c>
      <c r="D236" s="2" t="s">
        <v>431</v>
      </c>
      <c r="E236" s="6">
        <v>1300</v>
      </c>
      <c r="F236" s="18">
        <v>1899437.43</v>
      </c>
      <c r="G236" s="18">
        <f>10961.28+909980.67</f>
        <v>920941.95000000007</v>
      </c>
      <c r="H236" s="18">
        <v>66951.759999999995</v>
      </c>
      <c r="I236" s="18">
        <v>91829.02</v>
      </c>
      <c r="J236" s="18">
        <v>15078.17</v>
      </c>
      <c r="K236" s="18">
        <v>2225</v>
      </c>
      <c r="L236" s="13">
        <f>SUM(F236:K236)</f>
        <v>2996463.3299999996</v>
      </c>
      <c r="M236" s="8"/>
      <c r="N236" s="165"/>
    </row>
    <row r="237" spans="1:14" s="3" customFormat="1" ht="12.2" customHeight="1" x14ac:dyDescent="0.15">
      <c r="A237" s="1" t="s">
        <v>441</v>
      </c>
      <c r="B237" s="2" t="s">
        <v>350</v>
      </c>
      <c r="C237" s="2" t="s">
        <v>293</v>
      </c>
      <c r="D237" s="2" t="s">
        <v>431</v>
      </c>
      <c r="E237" s="6">
        <v>1400</v>
      </c>
      <c r="F237" s="18">
        <v>540594.61</v>
      </c>
      <c r="G237" s="18">
        <v>258987.54982686089</v>
      </c>
      <c r="H237" s="18">
        <v>66380.5</v>
      </c>
      <c r="I237" s="18">
        <v>64043.24</v>
      </c>
      <c r="J237" s="18">
        <v>65304.85</v>
      </c>
      <c r="K237" s="18">
        <v>14505</v>
      </c>
      <c r="L237" s="13">
        <f>SUM(F237:K237)</f>
        <v>1009815.7498268608</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1429954.94</v>
      </c>
      <c r="G239" s="18">
        <v>685061.44793677435</v>
      </c>
      <c r="H239" s="18">
        <v>84724.82</v>
      </c>
      <c r="I239" s="18">
        <v>9183.23</v>
      </c>
      <c r="J239" s="18"/>
      <c r="K239" s="18"/>
      <c r="L239" s="13">
        <f t="shared" ref="L239:L245" si="4">SUM(F239:K239)</f>
        <v>2208924.437936774</v>
      </c>
      <c r="M239" s="8"/>
      <c r="N239" s="165"/>
    </row>
    <row r="240" spans="1:14" s="3" customFormat="1" ht="12.2" customHeight="1" x14ac:dyDescent="0.15">
      <c r="A240" s="1" t="s">
        <v>443</v>
      </c>
      <c r="B240" s="2" t="s">
        <v>350</v>
      </c>
      <c r="C240" s="2" t="s">
        <v>295</v>
      </c>
      <c r="D240" s="2" t="s">
        <v>431</v>
      </c>
      <c r="E240" s="6">
        <v>2200</v>
      </c>
      <c r="F240" s="18">
        <v>913616.78</v>
      </c>
      <c r="G240" s="18">
        <f>14493.37+437694.66</f>
        <v>452188.02999999997</v>
      </c>
      <c r="H240" s="18">
        <v>239047.19</v>
      </c>
      <c r="I240" s="18">
        <v>248951.62</v>
      </c>
      <c r="J240" s="18">
        <v>296655.38</v>
      </c>
      <c r="K240" s="18">
        <v>58182.9</v>
      </c>
      <c r="L240" s="13">
        <f t="shared" si="4"/>
        <v>2208641.9</v>
      </c>
      <c r="M240" s="8"/>
      <c r="N240" s="165"/>
    </row>
    <row r="241" spans="1:14" s="3" customFormat="1" ht="12.2" customHeight="1" x14ac:dyDescent="0.15">
      <c r="A241" s="1" t="s">
        <v>444</v>
      </c>
      <c r="B241" s="2" t="s">
        <v>350</v>
      </c>
      <c r="C241" s="2" t="s">
        <v>296</v>
      </c>
      <c r="D241" s="2" t="s">
        <v>431</v>
      </c>
      <c r="E241" s="6">
        <v>2300</v>
      </c>
      <c r="F241" s="18">
        <v>14460.04</v>
      </c>
      <c r="G241" s="18">
        <v>6927.5021628469467</v>
      </c>
      <c r="H241" s="18">
        <v>806086.59</v>
      </c>
      <c r="I241" s="18">
        <v>618.45000000000005</v>
      </c>
      <c r="J241" s="18"/>
      <c r="K241" s="18"/>
      <c r="L241" s="13">
        <f t="shared" si="4"/>
        <v>828092.58216284681</v>
      </c>
      <c r="M241" s="8"/>
      <c r="N241" s="165"/>
    </row>
    <row r="242" spans="1:14" s="3" customFormat="1" ht="12.2" customHeight="1" x14ac:dyDescent="0.15">
      <c r="A242" s="1" t="s">
        <v>445</v>
      </c>
      <c r="B242" s="2" t="s">
        <v>350</v>
      </c>
      <c r="C242" s="2" t="s">
        <v>297</v>
      </c>
      <c r="D242" s="2" t="s">
        <v>431</v>
      </c>
      <c r="E242" s="6">
        <v>2400</v>
      </c>
      <c r="F242" s="18">
        <v>996397.91</v>
      </c>
      <c r="G242" s="18">
        <v>477353.35978193546</v>
      </c>
      <c r="H242" s="18">
        <v>57920.43</v>
      </c>
      <c r="I242" s="18">
        <v>69247.210000000006</v>
      </c>
      <c r="J242" s="18"/>
      <c r="K242" s="18">
        <v>7125.57</v>
      </c>
      <c r="L242" s="13">
        <f t="shared" si="4"/>
        <v>1608044.4797819355</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v>1189176.8799999999</v>
      </c>
      <c r="G244" s="18">
        <v>569709.72474540758</v>
      </c>
      <c r="H244" s="18">
        <v>683271.87</v>
      </c>
      <c r="I244" s="18">
        <v>1025662.63</v>
      </c>
      <c r="J244" s="18">
        <v>9608.4500000000007</v>
      </c>
      <c r="K244" s="18"/>
      <c r="L244" s="13">
        <f t="shared" si="4"/>
        <v>3477429.5547454078</v>
      </c>
      <c r="M244" s="8"/>
      <c r="N244" s="165"/>
    </row>
    <row r="245" spans="1:14" s="3" customFormat="1" ht="12.2" customHeight="1" x14ac:dyDescent="0.15">
      <c r="A245" s="1" t="s">
        <v>448</v>
      </c>
      <c r="B245" s="2" t="s">
        <v>350</v>
      </c>
      <c r="C245" s="2" t="s">
        <v>300</v>
      </c>
      <c r="D245" s="2" t="s">
        <v>431</v>
      </c>
      <c r="E245" s="6">
        <v>2700</v>
      </c>
      <c r="F245" s="18">
        <v>29803.75</v>
      </c>
      <c r="G245" s="18">
        <v>14278.352105938135</v>
      </c>
      <c r="H245" s="18">
        <v>1778903.7</v>
      </c>
      <c r="I245" s="18"/>
      <c r="J245" s="18"/>
      <c r="K245" s="18"/>
      <c r="L245" s="13">
        <f t="shared" si="4"/>
        <v>1822985.8021059381</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17250443.269999996</v>
      </c>
      <c r="G248" s="38">
        <f t="shared" si="5"/>
        <v>8311691.1278411439</v>
      </c>
      <c r="H248" s="38">
        <f t="shared" si="5"/>
        <v>6022480.7799999993</v>
      </c>
      <c r="I248" s="38">
        <f t="shared" si="5"/>
        <v>1731161.7599999998</v>
      </c>
      <c r="J248" s="38">
        <f t="shared" si="5"/>
        <v>405903.64</v>
      </c>
      <c r="K248" s="38">
        <f t="shared" si="5"/>
        <v>93168.25</v>
      </c>
      <c r="L248" s="38">
        <f t="shared" si="5"/>
        <v>33814848.827841148</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v>163126.04999999999</v>
      </c>
      <c r="G252" s="18">
        <v>78150.27</v>
      </c>
      <c r="H252" s="18"/>
      <c r="I252" s="18">
        <v>22286.32</v>
      </c>
      <c r="J252" s="18"/>
      <c r="K252" s="18"/>
      <c r="L252" s="13">
        <f t="shared" si="6"/>
        <v>263562.64</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163126.04999999999</v>
      </c>
      <c r="G257" s="38">
        <f t="shared" si="7"/>
        <v>78150.27</v>
      </c>
      <c r="H257" s="38">
        <f t="shared" si="7"/>
        <v>0</v>
      </c>
      <c r="I257" s="38">
        <f t="shared" si="7"/>
        <v>22286.32</v>
      </c>
      <c r="J257" s="38">
        <f t="shared" si="7"/>
        <v>0</v>
      </c>
      <c r="K257" s="38">
        <f t="shared" si="7"/>
        <v>0</v>
      </c>
      <c r="L257" s="38">
        <f>SUM(F257:K257)</f>
        <v>263562.64</v>
      </c>
      <c r="M257" s="8"/>
      <c r="N257" s="165"/>
    </row>
    <row r="258" spans="1:14" s="3" customFormat="1" ht="12.2" customHeight="1" thickTop="1" x14ac:dyDescent="0.15">
      <c r="A258" s="35" t="s">
        <v>462</v>
      </c>
      <c r="B258" s="37">
        <v>10</v>
      </c>
      <c r="C258" s="37">
        <v>8</v>
      </c>
      <c r="D258" s="36" t="s">
        <v>431</v>
      </c>
      <c r="E258" s="37"/>
      <c r="F258" s="38">
        <f t="shared" ref="F258:L258" si="8">F212+F230+F248+F257</f>
        <v>30524071.389999997</v>
      </c>
      <c r="G258" s="38">
        <f t="shared" si="8"/>
        <v>14729643.436263783</v>
      </c>
      <c r="H258" s="38">
        <f t="shared" si="8"/>
        <v>9938864.0800000001</v>
      </c>
      <c r="I258" s="38">
        <f t="shared" si="8"/>
        <v>2473800.2499999995</v>
      </c>
      <c r="J258" s="38">
        <f t="shared" si="8"/>
        <v>735285.36</v>
      </c>
      <c r="K258" s="38">
        <f t="shared" si="8"/>
        <v>97312.81</v>
      </c>
      <c r="L258" s="38">
        <f t="shared" si="8"/>
        <v>58498977.326263785</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2170840.4900000002</v>
      </c>
      <c r="L261" s="13">
        <f>SUM(F261:K261)</f>
        <v>2170840.4900000002</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2375499.5099999998</v>
      </c>
      <c r="L262" s="13">
        <f>SUM(F262:K262)</f>
        <v>2375499.5099999998</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162500</v>
      </c>
      <c r="L269" s="13">
        <f t="shared" si="9"/>
        <v>162500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4708840</v>
      </c>
      <c r="L271" s="38">
        <f t="shared" si="9"/>
        <v>4708840</v>
      </c>
      <c r="M271" s="8"/>
      <c r="N271" s="165"/>
    </row>
    <row r="272" spans="1:14" s="33" customFormat="1" ht="12.2" customHeight="1" thickTop="1" x14ac:dyDescent="0.2">
      <c r="A272" s="40" t="s">
        <v>464</v>
      </c>
      <c r="B272" s="37">
        <v>10</v>
      </c>
      <c r="C272" s="37">
        <v>18</v>
      </c>
      <c r="D272" s="36" t="s">
        <v>431</v>
      </c>
      <c r="E272" s="37"/>
      <c r="F272" s="39">
        <f t="shared" ref="F272:L272" si="11">F258+F271</f>
        <v>30524071.389999997</v>
      </c>
      <c r="G272" s="39">
        <f t="shared" si="11"/>
        <v>14729643.436263783</v>
      </c>
      <c r="H272" s="39">
        <f t="shared" si="11"/>
        <v>9938864.0800000001</v>
      </c>
      <c r="I272" s="39">
        <f t="shared" si="11"/>
        <v>2473800.2499999995</v>
      </c>
      <c r="J272" s="39">
        <f t="shared" si="11"/>
        <v>735285.36</v>
      </c>
      <c r="K272" s="39">
        <f t="shared" si="11"/>
        <v>4806152.8099999996</v>
      </c>
      <c r="L272" s="39">
        <f t="shared" si="11"/>
        <v>63207817.326263785</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5"/>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0</v>
      </c>
      <c r="I291" s="39">
        <f t="shared" si="13"/>
        <v>0</v>
      </c>
      <c r="J291" s="39">
        <f t="shared" si="13"/>
        <v>0</v>
      </c>
      <c r="K291" s="39">
        <f t="shared" si="13"/>
        <v>0</v>
      </c>
      <c r="L291" s="38">
        <f t="shared" si="13"/>
        <v>0</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17997.62</v>
      </c>
      <c r="G296" s="18">
        <v>4025.89</v>
      </c>
      <c r="H296" s="18">
        <v>39089.83</v>
      </c>
      <c r="I296" s="18">
        <v>4711.12</v>
      </c>
      <c r="J296" s="18"/>
      <c r="K296" s="18">
        <v>830.84</v>
      </c>
      <c r="L296" s="13">
        <f>SUM(F296:K296)</f>
        <v>66655.299999999988</v>
      </c>
      <c r="M296" s="8"/>
      <c r="N296" s="165"/>
    </row>
    <row r="297" spans="1:14" s="3" customFormat="1" ht="12.2" customHeight="1" x14ac:dyDescent="0.15">
      <c r="A297" s="1" t="s">
        <v>439</v>
      </c>
      <c r="B297" s="2" t="s">
        <v>358</v>
      </c>
      <c r="C297" s="2" t="s">
        <v>291</v>
      </c>
      <c r="D297" s="2" t="s">
        <v>431</v>
      </c>
      <c r="E297" s="6">
        <v>1200</v>
      </c>
      <c r="F297" s="18">
        <v>158029.17000000001</v>
      </c>
      <c r="G297" s="18">
        <v>81978.58</v>
      </c>
      <c r="H297" s="18">
        <v>102910.26</v>
      </c>
      <c r="I297" s="18">
        <v>10067.67</v>
      </c>
      <c r="J297" s="18"/>
      <c r="K297" s="18">
        <v>3812.52</v>
      </c>
      <c r="L297" s="13">
        <f>SUM(F297:K297)</f>
        <v>356798.2</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v>36486.370000000003</v>
      </c>
      <c r="G302" s="18">
        <v>5114.0200000000004</v>
      </c>
      <c r="H302" s="18">
        <v>104327.3</v>
      </c>
      <c r="I302" s="18">
        <v>3562.73</v>
      </c>
      <c r="J302" s="18"/>
      <c r="K302" s="18">
        <v>1662.73</v>
      </c>
      <c r="L302" s="13">
        <f t="shared" si="14"/>
        <v>151153.15000000002</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v>12500</v>
      </c>
      <c r="I306" s="18"/>
      <c r="J306" s="18"/>
      <c r="K306" s="18"/>
      <c r="L306" s="13">
        <f t="shared" si="14"/>
        <v>12500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v>1286.8499999999999</v>
      </c>
      <c r="G308" s="18"/>
      <c r="H308" s="18"/>
      <c r="I308" s="18">
        <v>12721.99</v>
      </c>
      <c r="J308" s="18"/>
      <c r="K308" s="18">
        <v>960</v>
      </c>
      <c r="L308" s="13">
        <f>SUM(F308:K308)</f>
        <v>14968.84</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213800.01</v>
      </c>
      <c r="G310" s="39">
        <f t="shared" si="15"/>
        <v>91118.49</v>
      </c>
      <c r="H310" s="39">
        <f t="shared" si="15"/>
        <v>258827.39</v>
      </c>
      <c r="I310" s="39">
        <f t="shared" si="15"/>
        <v>31063.510000000002</v>
      </c>
      <c r="J310" s="39">
        <f t="shared" si="15"/>
        <v>0</v>
      </c>
      <c r="K310" s="39">
        <f t="shared" si="15"/>
        <v>7266.09</v>
      </c>
      <c r="L310" s="38">
        <f t="shared" si="15"/>
        <v>602075.49</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17997.61</v>
      </c>
      <c r="G315" s="18">
        <v>4025.89</v>
      </c>
      <c r="H315" s="18">
        <v>39089.83</v>
      </c>
      <c r="I315" s="18">
        <v>4711.12</v>
      </c>
      <c r="J315" s="18"/>
      <c r="K315" s="18">
        <v>830.85</v>
      </c>
      <c r="L315" s="13">
        <f>SUM(F315:K315)</f>
        <v>66655.3</v>
      </c>
      <c r="M315" s="8"/>
      <c r="N315" s="165"/>
    </row>
    <row r="316" spans="1:14" s="3" customFormat="1" ht="12.2" customHeight="1" x14ac:dyDescent="0.15">
      <c r="A316" s="1" t="s">
        <v>439</v>
      </c>
      <c r="B316" s="2" t="s">
        <v>359</v>
      </c>
      <c r="C316" s="2" t="s">
        <v>291</v>
      </c>
      <c r="D316" s="2" t="s">
        <v>431</v>
      </c>
      <c r="E316" s="6">
        <v>1200</v>
      </c>
      <c r="F316" s="18">
        <v>158029.17000000001</v>
      </c>
      <c r="G316" s="18">
        <v>81978.58</v>
      </c>
      <c r="H316" s="18">
        <v>102910.28</v>
      </c>
      <c r="I316" s="18">
        <v>10067.66</v>
      </c>
      <c r="J316" s="18"/>
      <c r="K316" s="18">
        <v>3812.51</v>
      </c>
      <c r="L316" s="13">
        <f>SUM(F316:K316)</f>
        <v>356798.2</v>
      </c>
      <c r="M316" s="8"/>
      <c r="N316" s="165"/>
    </row>
    <row r="317" spans="1:14" s="3" customFormat="1" ht="12.2" customHeight="1" x14ac:dyDescent="0.15">
      <c r="A317" s="1" t="s">
        <v>440</v>
      </c>
      <c r="B317" s="2" t="s">
        <v>359</v>
      </c>
      <c r="C317" s="2" t="s">
        <v>292</v>
      </c>
      <c r="D317" s="2" t="s">
        <v>431</v>
      </c>
      <c r="E317" s="6">
        <v>1300</v>
      </c>
      <c r="F317" s="18">
        <v>21178.29</v>
      </c>
      <c r="G317" s="18">
        <v>2642.09</v>
      </c>
      <c r="H317" s="18">
        <v>62925.82</v>
      </c>
      <c r="I317" s="18">
        <v>40077.21</v>
      </c>
      <c r="J317" s="18">
        <v>74506.490000000005</v>
      </c>
      <c r="K317" s="18">
        <v>17686.34</v>
      </c>
      <c r="L317" s="13">
        <f>SUM(F317:K317)</f>
        <v>219016.24000000002</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5190</v>
      </c>
      <c r="G320" s="18">
        <v>987.86</v>
      </c>
      <c r="H320" s="18"/>
      <c r="I320" s="18">
        <v>79143.179999999993</v>
      </c>
      <c r="J320" s="18">
        <v>1522.28</v>
      </c>
      <c r="K320" s="18"/>
      <c r="L320" s="13">
        <f>SUM(F320:K320)</f>
        <v>86843.319999999992</v>
      </c>
      <c r="M320" s="8"/>
      <c r="N320" s="165"/>
    </row>
    <row r="321" spans="1:14" s="3" customFormat="1" ht="12.2" customHeight="1" x14ac:dyDescent="0.15">
      <c r="A321" s="1" t="s">
        <v>443</v>
      </c>
      <c r="B321" s="2" t="s">
        <v>359</v>
      </c>
      <c r="C321" s="2" t="s">
        <v>295</v>
      </c>
      <c r="D321" s="2" t="s">
        <v>431</v>
      </c>
      <c r="E321" s="6">
        <v>2200</v>
      </c>
      <c r="F321" s="18">
        <v>36486.370000000003</v>
      </c>
      <c r="G321" s="18">
        <v>5114.03</v>
      </c>
      <c r="H321" s="18">
        <v>104327.3</v>
      </c>
      <c r="I321" s="18">
        <v>3562.73</v>
      </c>
      <c r="J321" s="18"/>
      <c r="K321" s="18">
        <v>1662.73</v>
      </c>
      <c r="L321" s="13">
        <f t="shared" ref="L321:L326" si="16">SUM(F321:K321)</f>
        <v>151153.16000000003</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v>12500</v>
      </c>
      <c r="I325" s="18"/>
      <c r="J325" s="18"/>
      <c r="K325" s="18"/>
      <c r="L325" s="13">
        <f t="shared" si="16"/>
        <v>12500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v>1286.8499999999999</v>
      </c>
      <c r="G327" s="18"/>
      <c r="H327" s="18"/>
      <c r="I327" s="18">
        <v>12721.98</v>
      </c>
      <c r="J327" s="18"/>
      <c r="K327" s="18">
        <v>960</v>
      </c>
      <c r="L327" s="13">
        <f>SUM(F327:K327)</f>
        <v>14968.83</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240168.29000000004</v>
      </c>
      <c r="G329" s="39">
        <f t="shared" si="17"/>
        <v>94748.45</v>
      </c>
      <c r="H329" s="39">
        <f t="shared" si="17"/>
        <v>321753.23</v>
      </c>
      <c r="I329" s="39">
        <f t="shared" si="17"/>
        <v>150283.88</v>
      </c>
      <c r="J329" s="39">
        <f t="shared" si="17"/>
        <v>76028.77</v>
      </c>
      <c r="K329" s="39">
        <f t="shared" si="17"/>
        <v>24952.43</v>
      </c>
      <c r="L329" s="38">
        <f t="shared" si="17"/>
        <v>907935.04999999993</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f>227587.28</f>
        <v>227587.28</v>
      </c>
      <c r="G334" s="18">
        <f>51301.71</f>
        <v>51301.71</v>
      </c>
      <c r="H334" s="18">
        <v>9309.09</v>
      </c>
      <c r="I334" s="18">
        <v>3609.43</v>
      </c>
      <c r="J334" s="18">
        <v>20219.18</v>
      </c>
      <c r="K334" s="18">
        <v>5614.57</v>
      </c>
      <c r="L334" s="13">
        <f t="shared" si="18"/>
        <v>317641.26</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227587.28</v>
      </c>
      <c r="G338" s="38">
        <f t="shared" si="19"/>
        <v>51301.71</v>
      </c>
      <c r="H338" s="38">
        <f t="shared" si="19"/>
        <v>9309.09</v>
      </c>
      <c r="I338" s="38">
        <f t="shared" si="19"/>
        <v>3609.43</v>
      </c>
      <c r="J338" s="38">
        <f t="shared" si="19"/>
        <v>20219.18</v>
      </c>
      <c r="K338" s="38">
        <f t="shared" si="19"/>
        <v>5614.57</v>
      </c>
      <c r="L338" s="38">
        <f t="shared" si="18"/>
        <v>317641.26</v>
      </c>
      <c r="M338" s="8"/>
      <c r="N338" s="165"/>
    </row>
    <row r="339" spans="1:43" s="3" customFormat="1" ht="12.2" customHeight="1" thickTop="1" x14ac:dyDescent="0.15">
      <c r="A339" s="35" t="s">
        <v>468</v>
      </c>
      <c r="B339" s="37">
        <v>14</v>
      </c>
      <c r="C339" s="37">
        <v>7</v>
      </c>
      <c r="D339" s="36" t="s">
        <v>431</v>
      </c>
      <c r="E339" s="37"/>
      <c r="F339" s="38">
        <f t="shared" ref="F339:L339" si="20">F291+F310+F329+F338</f>
        <v>681555.58000000007</v>
      </c>
      <c r="G339" s="38">
        <f t="shared" si="20"/>
        <v>237168.65</v>
      </c>
      <c r="H339" s="38">
        <f t="shared" si="20"/>
        <v>589889.71</v>
      </c>
      <c r="I339" s="38">
        <f t="shared" si="20"/>
        <v>184956.82</v>
      </c>
      <c r="J339" s="38">
        <f t="shared" si="20"/>
        <v>96247.950000000012</v>
      </c>
      <c r="K339" s="38">
        <f t="shared" si="20"/>
        <v>37833.089999999997</v>
      </c>
      <c r="L339" s="38">
        <f t="shared" si="20"/>
        <v>1827651.8</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681555.58000000007</v>
      </c>
      <c r="G353" s="38">
        <f>G339</f>
        <v>237168.65</v>
      </c>
      <c r="H353" s="38">
        <f>H339</f>
        <v>589889.71</v>
      </c>
      <c r="I353" s="38">
        <f>I339</f>
        <v>184956.82</v>
      </c>
      <c r="J353" s="38">
        <f>J339</f>
        <v>96247.950000000012</v>
      </c>
      <c r="K353" s="38">
        <f>K339+K352</f>
        <v>37833.089999999997</v>
      </c>
      <c r="L353" s="38">
        <f>L339+L352</f>
        <v>1827651.8</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5"/>
    </row>
    <row r="360" spans="1:22" s="3" customFormat="1" ht="12.2" customHeight="1" x14ac:dyDescent="0.15">
      <c r="A360" s="1" t="s">
        <v>542</v>
      </c>
      <c r="B360" s="2" t="s">
        <v>366</v>
      </c>
      <c r="C360" s="6">
        <v>2</v>
      </c>
      <c r="D360" s="2" t="s">
        <v>431</v>
      </c>
      <c r="E360" s="6"/>
      <c r="F360" s="18">
        <v>128631.31</v>
      </c>
      <c r="G360" s="18">
        <v>32819.65</v>
      </c>
      <c r="H360" s="18">
        <v>12372.81</v>
      </c>
      <c r="I360" s="18">
        <v>140330.96</v>
      </c>
      <c r="J360" s="18">
        <v>318.45</v>
      </c>
      <c r="K360" s="18">
        <v>2146.6799999999998</v>
      </c>
      <c r="L360" s="13">
        <f>SUM(F360:K360)</f>
        <v>316619.86</v>
      </c>
      <c r="M360" s="8"/>
      <c r="N360" s="165"/>
    </row>
    <row r="361" spans="1:22" s="3" customFormat="1" ht="12.2" customHeight="1" x14ac:dyDescent="0.15">
      <c r="A361" s="3" t="s">
        <v>543</v>
      </c>
      <c r="B361" s="2" t="s">
        <v>366</v>
      </c>
      <c r="C361" s="6">
        <v>3</v>
      </c>
      <c r="D361" s="2" t="s">
        <v>431</v>
      </c>
      <c r="E361" s="6"/>
      <c r="F361" s="18">
        <v>202046.48</v>
      </c>
      <c r="G361" s="18">
        <v>49263.13</v>
      </c>
      <c r="H361" s="18">
        <v>9680.56</v>
      </c>
      <c r="I361" s="18">
        <v>293312.21000000002</v>
      </c>
      <c r="J361" s="18">
        <v>13487.6</v>
      </c>
      <c r="K361" s="18">
        <v>24246.87</v>
      </c>
      <c r="L361" s="13">
        <f>SUM(F361:K361)</f>
        <v>592036.85</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330677.79000000004</v>
      </c>
      <c r="G363" s="38">
        <f t="shared" si="22"/>
        <v>82082.78</v>
      </c>
      <c r="H363" s="38">
        <f t="shared" si="22"/>
        <v>22053.37</v>
      </c>
      <c r="I363" s="38">
        <f t="shared" si="22"/>
        <v>433643.17000000004</v>
      </c>
      <c r="J363" s="38">
        <f t="shared" si="22"/>
        <v>13806.050000000001</v>
      </c>
      <c r="K363" s="38">
        <f t="shared" si="22"/>
        <v>26393.55</v>
      </c>
      <c r="L363" s="38">
        <f t="shared" si="22"/>
        <v>908656.71</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f>114817.35+16842.94</f>
        <v>131660.29</v>
      </c>
      <c r="H368" s="18">
        <f>218196.49+48659.68</f>
        <v>266856.17</v>
      </c>
      <c r="I368" s="13">
        <f>SUM(F368:H368)</f>
        <v>398516.45999999996</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v>8670.67</v>
      </c>
      <c r="H369" s="53">
        <v>26456.04</v>
      </c>
      <c r="I369" s="13">
        <f>SUM(F369:H369)</f>
        <v>35126.71</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140330.96000000002</v>
      </c>
      <c r="H370" s="38">
        <f>SUM(H368:H369)</f>
        <v>293312.20999999996</v>
      </c>
      <c r="I370" s="38">
        <f>SUM(I368:I369)</f>
        <v>433643.17</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v>2165.5</v>
      </c>
      <c r="I379" s="18"/>
      <c r="J379" s="18">
        <v>35534.6</v>
      </c>
      <c r="K379" s="18"/>
      <c r="L379" s="13">
        <f t="shared" si="23"/>
        <v>37700.1</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v>30416.400000000001</v>
      </c>
      <c r="G381" s="18"/>
      <c r="H381" s="18"/>
      <c r="I381" s="18"/>
      <c r="J381" s="18"/>
      <c r="K381" s="18"/>
      <c r="L381" s="13">
        <f t="shared" si="23"/>
        <v>30416.400000000001</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30416.400000000001</v>
      </c>
      <c r="G383" s="97">
        <f t="shared" ref="G383:L383" si="24">SUM(G375:G382)</f>
        <v>0</v>
      </c>
      <c r="H383" s="97">
        <f t="shared" si="24"/>
        <v>2165.5</v>
      </c>
      <c r="I383" s="38">
        <f t="shared" si="24"/>
        <v>0</v>
      </c>
      <c r="J383" s="38">
        <f t="shared" si="24"/>
        <v>35534.6</v>
      </c>
      <c r="K383" s="38">
        <f t="shared" si="24"/>
        <v>0</v>
      </c>
      <c r="L383" s="38">
        <f t="shared" si="24"/>
        <v>68116.5</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v>2926.95</v>
      </c>
      <c r="I389" s="18"/>
      <c r="J389" s="23" t="s">
        <v>288</v>
      </c>
      <c r="K389" s="23" t="s">
        <v>288</v>
      </c>
      <c r="L389" s="13">
        <f t="shared" si="25"/>
        <v>2926.95</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v>1.1599999999999999</v>
      </c>
      <c r="I392" s="18"/>
      <c r="J392" s="23" t="s">
        <v>288</v>
      </c>
      <c r="K392" s="23" t="s">
        <v>288</v>
      </c>
      <c r="L392" s="13">
        <f t="shared" si="25"/>
        <v>1.1599999999999999</v>
      </c>
      <c r="M392" s="8"/>
      <c r="N392" s="165"/>
    </row>
    <row r="393" spans="1:14" s="3" customFormat="1" ht="12.2" customHeight="1" thickBot="1" x14ac:dyDescent="0.2">
      <c r="A393" s="62" t="s">
        <v>555</v>
      </c>
      <c r="B393" s="2" t="s">
        <v>381</v>
      </c>
      <c r="C393" s="6">
        <v>6</v>
      </c>
      <c r="D393" s="2" t="s">
        <v>432</v>
      </c>
      <c r="E393" s="6"/>
      <c r="F393" s="18"/>
      <c r="G393" s="18"/>
      <c r="H393" s="18">
        <v>5398.79</v>
      </c>
      <c r="I393" s="18"/>
      <c r="J393" s="23" t="s">
        <v>288</v>
      </c>
      <c r="K393" s="23" t="s">
        <v>288</v>
      </c>
      <c r="L393" s="13">
        <f t="shared" si="25"/>
        <v>5398.79</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8326.9</v>
      </c>
      <c r="I394" s="54">
        <f>SUM(I388:I393)</f>
        <v>0</v>
      </c>
      <c r="J394" s="42" t="s">
        <v>288</v>
      </c>
      <c r="K394" s="42" t="s">
        <v>288</v>
      </c>
      <c r="L394" s="38">
        <f>SUM(L388:L393)</f>
        <v>8326.9</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v>6235.59</v>
      </c>
      <c r="I397" s="18"/>
      <c r="J397" s="23" t="s">
        <v>288</v>
      </c>
      <c r="K397" s="23" t="s">
        <v>288</v>
      </c>
      <c r="L397" s="13">
        <f t="shared" si="26"/>
        <v>6235.59</v>
      </c>
      <c r="M397" s="8"/>
      <c r="N397" s="165"/>
    </row>
    <row r="398" spans="1:14" s="3" customFormat="1" ht="12.2" customHeight="1" x14ac:dyDescent="0.15">
      <c r="A398" s="62" t="s">
        <v>515</v>
      </c>
      <c r="B398" s="2" t="s">
        <v>381</v>
      </c>
      <c r="C398" s="6">
        <v>10</v>
      </c>
      <c r="D398" s="2" t="s">
        <v>432</v>
      </c>
      <c r="E398" s="6"/>
      <c r="F398" s="18"/>
      <c r="G398" s="18"/>
      <c r="H398" s="18">
        <v>5839.77</v>
      </c>
      <c r="I398" s="18"/>
      <c r="J398" s="23" t="s">
        <v>288</v>
      </c>
      <c r="K398" s="23" t="s">
        <v>288</v>
      </c>
      <c r="L398" s="13">
        <f t="shared" si="26"/>
        <v>5839.77</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12075.36</v>
      </c>
      <c r="I402" s="38">
        <f>SUM(I396:I401)</f>
        <v>0</v>
      </c>
      <c r="J402" s="42" t="s">
        <v>288</v>
      </c>
      <c r="K402" s="42" t="s">
        <v>288</v>
      </c>
      <c r="L402" s="38">
        <f>SUM(L396:L401)</f>
        <v>12075.36</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20402.260000000002</v>
      </c>
      <c r="I409" s="38">
        <f>I394+I402+I408</f>
        <v>0</v>
      </c>
      <c r="J409" s="23" t="s">
        <v>288</v>
      </c>
      <c r="K409" s="23" t="s">
        <v>288</v>
      </c>
      <c r="L409" s="38">
        <f>L394+L402+L408</f>
        <v>20402.260000000002</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v>150000</v>
      </c>
      <c r="I415" s="18"/>
      <c r="J415" s="18"/>
      <c r="K415" s="18"/>
      <c r="L415" s="13">
        <f t="shared" si="27"/>
        <v>150000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150000</v>
      </c>
      <c r="I420" s="97">
        <f t="shared" si="28"/>
        <v>0</v>
      </c>
      <c r="J420" s="97">
        <f t="shared" si="28"/>
        <v>0</v>
      </c>
      <c r="K420" s="97">
        <f t="shared" si="28"/>
        <v>0</v>
      </c>
      <c r="L420" s="38">
        <f t="shared" si="28"/>
        <v>150000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v>6000</v>
      </c>
      <c r="I427" s="18"/>
      <c r="J427" s="18"/>
      <c r="K427" s="18"/>
      <c r="L427" s="13">
        <f t="shared" si="29"/>
        <v>6000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6000</v>
      </c>
      <c r="I428" s="38">
        <f t="shared" si="30"/>
        <v>0</v>
      </c>
      <c r="J428" s="38">
        <f t="shared" si="30"/>
        <v>0</v>
      </c>
      <c r="K428" s="38">
        <f t="shared" si="30"/>
        <v>0</v>
      </c>
      <c r="L428" s="38">
        <f t="shared" si="30"/>
        <v>6000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156000</v>
      </c>
      <c r="I435" s="38">
        <f t="shared" si="32"/>
        <v>0</v>
      </c>
      <c r="J435" s="38">
        <f t="shared" si="32"/>
        <v>0</v>
      </c>
      <c r="K435" s="38">
        <f t="shared" si="32"/>
        <v>0</v>
      </c>
      <c r="L435" s="38">
        <f t="shared" si="32"/>
        <v>156000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265441.83</v>
      </c>
      <c r="G440" s="18">
        <v>1567467.72</v>
      </c>
      <c r="H440" s="18"/>
      <c r="I440" s="13">
        <f t="shared" ref="I440:I446" si="33">SUM(F440:H440)</f>
        <v>1832909.55</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265441.83</v>
      </c>
      <c r="G447" s="13">
        <f>SUM(G440:G446)</f>
        <v>1567467.72</v>
      </c>
      <c r="H447" s="13">
        <f>SUM(H440:H446)</f>
        <v>0</v>
      </c>
      <c r="I447" s="13">
        <f>SUM(I440:I446)</f>
        <v>1832909.55</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265441.83</v>
      </c>
      <c r="G460" s="18">
        <v>1567467.72</v>
      </c>
      <c r="H460" s="18"/>
      <c r="I460" s="13">
        <f t="shared" si="34"/>
        <v>1832909.55</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265441.83</v>
      </c>
      <c r="G461" s="65">
        <f>SUM(G455:G460)</f>
        <v>1567467.72</v>
      </c>
      <c r="H461" s="65">
        <f>SUM(H455:H460)</f>
        <v>0</v>
      </c>
      <c r="I461" s="65">
        <f>SUM(I455:I460)</f>
        <v>1832909.55</v>
      </c>
      <c r="J461" s="23" t="s">
        <v>288</v>
      </c>
      <c r="K461" s="23" t="s">
        <v>288</v>
      </c>
      <c r="L461" s="23" t="s">
        <v>288</v>
      </c>
      <c r="N461" s="131"/>
    </row>
    <row r="462" spans="1:86" ht="12.2" customHeight="1" thickTop="1" x14ac:dyDescent="0.2">
      <c r="A462" s="40" t="s">
        <v>424</v>
      </c>
      <c r="B462" s="41">
        <v>18</v>
      </c>
      <c r="C462" s="64">
        <v>21</v>
      </c>
      <c r="D462" s="114" t="s">
        <v>432</v>
      </c>
      <c r="E462" s="64"/>
      <c r="F462" s="39">
        <f>F453+F461</f>
        <v>265441.83</v>
      </c>
      <c r="G462" s="39">
        <f>G453+G461</f>
        <v>1567467.72</v>
      </c>
      <c r="H462" s="39">
        <f>H453+H461</f>
        <v>0</v>
      </c>
      <c r="I462" s="39">
        <f>I453+I461</f>
        <v>1832909.55</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4404666.1900000051</v>
      </c>
      <c r="G466" s="18">
        <v>568329.09999999974</v>
      </c>
      <c r="H466" s="18">
        <v>553955.71</v>
      </c>
      <c r="I466" s="18">
        <v>830835.51999999955</v>
      </c>
      <c r="J466" s="18">
        <v>1968507.29</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62036945.550000004</v>
      </c>
      <c r="G469" s="18">
        <v>1042987.1099999999</v>
      </c>
      <c r="H469" s="18">
        <v>1740808.38</v>
      </c>
      <c r="I469" s="18">
        <v>4931.91</v>
      </c>
      <c r="J469" s="18">
        <v>20402.259999999998</v>
      </c>
      <c r="K469" s="23" t="s">
        <v>288</v>
      </c>
      <c r="L469" s="23" t="s">
        <v>288</v>
      </c>
      <c r="N469" s="131"/>
    </row>
    <row r="470" spans="1:14" ht="12.2" customHeight="1" x14ac:dyDescent="0.2">
      <c r="A470" s="71" t="s">
        <v>611</v>
      </c>
      <c r="B470" s="22">
        <v>19</v>
      </c>
      <c r="C470" s="31">
        <v>3</v>
      </c>
      <c r="D470" s="2" t="s">
        <v>432</v>
      </c>
      <c r="E470" s="31"/>
      <c r="F470" s="18"/>
      <c r="G470" s="18"/>
      <c r="H470" s="18">
        <v>54629.59</v>
      </c>
      <c r="I470" s="18"/>
      <c r="J470" s="18"/>
      <c r="K470" s="23" t="s">
        <v>288</v>
      </c>
      <c r="L470" s="23" t="s">
        <v>288</v>
      </c>
      <c r="N470" s="131"/>
    </row>
    <row r="471" spans="1:14" ht="12.2" customHeight="1" x14ac:dyDescent="0.2">
      <c r="A471" s="32" t="s">
        <v>425</v>
      </c>
      <c r="B471" s="22">
        <v>19</v>
      </c>
      <c r="C471" s="31">
        <v>4</v>
      </c>
      <c r="D471" s="2" t="s">
        <v>432</v>
      </c>
      <c r="E471" s="31"/>
      <c r="F471" s="19">
        <f>SUM(F469:F470)</f>
        <v>62036945.550000004</v>
      </c>
      <c r="G471" s="19">
        <f>SUM(G469:G470)</f>
        <v>1042987.1099999999</v>
      </c>
      <c r="H471" s="19">
        <f>SUM(H469:H470)</f>
        <v>1795437.97</v>
      </c>
      <c r="I471" s="19">
        <f>SUM(I469:I470)</f>
        <v>4931.91</v>
      </c>
      <c r="J471" s="19">
        <f>SUM(J469:J470)</f>
        <v>20402.259999999998</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63207817.329999998</v>
      </c>
      <c r="G473" s="18">
        <v>908656.71</v>
      </c>
      <c r="H473" s="18">
        <v>1827651.8</v>
      </c>
      <c r="I473" s="18">
        <v>68116.5</v>
      </c>
      <c r="J473" s="18">
        <v>156000</v>
      </c>
      <c r="K473" s="23" t="s">
        <v>288</v>
      </c>
      <c r="L473" s="23" t="s">
        <v>288</v>
      </c>
      <c r="N473" s="131"/>
    </row>
    <row r="474" spans="1:14" ht="12.2" customHeight="1" x14ac:dyDescent="0.2">
      <c r="A474" s="71" t="s">
        <v>613</v>
      </c>
      <c r="B474" s="22">
        <v>19</v>
      </c>
      <c r="C474" s="31">
        <v>6</v>
      </c>
      <c r="D474" s="2" t="s">
        <v>432</v>
      </c>
      <c r="E474" s="31"/>
      <c r="F474" s="18">
        <v>114336.36</v>
      </c>
      <c r="G474" s="18">
        <v>27512.95</v>
      </c>
      <c r="H474" s="18"/>
      <c r="I474" s="18">
        <v>0.27</v>
      </c>
      <c r="J474" s="18"/>
      <c r="K474" s="23" t="s">
        <v>288</v>
      </c>
      <c r="L474" s="23" t="s">
        <v>288</v>
      </c>
      <c r="N474" s="131"/>
    </row>
    <row r="475" spans="1:14" ht="12.2" customHeight="1" x14ac:dyDescent="0.2">
      <c r="A475" s="32" t="s">
        <v>426</v>
      </c>
      <c r="B475" s="22">
        <v>19</v>
      </c>
      <c r="C475" s="31">
        <v>7</v>
      </c>
      <c r="D475" s="2" t="s">
        <v>432</v>
      </c>
      <c r="E475" s="31"/>
      <c r="F475" s="19">
        <f>SUM(F473:F474)</f>
        <v>63322153.689999998</v>
      </c>
      <c r="G475" s="19">
        <f>SUM(G473:G474)</f>
        <v>936169.65999999992</v>
      </c>
      <c r="H475" s="19">
        <f>SUM(H473:H474)</f>
        <v>1827651.8</v>
      </c>
      <c r="I475" s="19">
        <f>SUM(I473:I474)</f>
        <v>68116.77</v>
      </c>
      <c r="J475" s="19">
        <f>SUM(J473:J474)</f>
        <v>156000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3119458.0500000119</v>
      </c>
      <c r="G477" s="19">
        <f>(G466+G471)- G475</f>
        <v>675146.54999999958</v>
      </c>
      <c r="H477" s="19">
        <f>(H466+H471)- H475</f>
        <v>521741.87999999966</v>
      </c>
      <c r="I477" s="19">
        <f>(I466+I471)- I475</f>
        <v>767650.65999999957</v>
      </c>
      <c r="J477" s="19">
        <f>(J466+J471)- J475</f>
        <v>1832909.55</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1812</v>
      </c>
      <c r="B481" s="73"/>
      <c r="C481" s="73"/>
      <c r="D481" s="73"/>
      <c r="E481" s="73"/>
      <c r="F481" s="73"/>
      <c r="G481" s="73"/>
      <c r="H481" s="73"/>
      <c r="I481" s="73" t="s">
        <v>401</v>
      </c>
      <c r="J481" s="73"/>
      <c r="K481" s="73"/>
      <c r="L481" s="73"/>
      <c r="N481" s="131"/>
    </row>
    <row r="482" spans="1:14" ht="12.2" customHeight="1" x14ac:dyDescent="0.2">
      <c r="A482" s="20" t="s">
        <v>1813</v>
      </c>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18" t="s">
        <v>1812</v>
      </c>
      <c r="B484" s="73"/>
      <c r="C484" s="73"/>
      <c r="D484" s="73"/>
      <c r="E484" s="73"/>
      <c r="F484" s="73"/>
      <c r="G484" s="73"/>
      <c r="H484" s="73"/>
      <c r="I484" s="73" t="s">
        <v>18</v>
      </c>
      <c r="J484" s="73"/>
      <c r="K484" s="73"/>
      <c r="L484" s="73"/>
      <c r="N484" s="131"/>
    </row>
    <row r="485" spans="1:14" ht="12.2" customHeight="1" x14ac:dyDescent="0.2">
      <c r="A485" s="20" t="s">
        <v>1813</v>
      </c>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v>20</v>
      </c>
      <c r="H491" s="111"/>
      <c r="I491" s="111"/>
      <c r="J491" s="111"/>
      <c r="K491" s="23" t="s">
        <v>288</v>
      </c>
      <c r="L491" s="23" t="s">
        <v>288</v>
      </c>
      <c r="N491" s="131"/>
    </row>
    <row r="492" spans="1:14" ht="12.2" customHeight="1" x14ac:dyDescent="0.2">
      <c r="A492" s="21" t="s">
        <v>615</v>
      </c>
      <c r="B492" s="22">
        <v>20</v>
      </c>
      <c r="C492" s="22">
        <v>2</v>
      </c>
      <c r="D492" s="2" t="s">
        <v>432</v>
      </c>
      <c r="E492" s="22"/>
      <c r="F492" s="112" t="s">
        <v>1814</v>
      </c>
      <c r="G492" s="112" t="s">
        <v>1816</v>
      </c>
      <c r="H492" s="111"/>
      <c r="I492" s="111"/>
      <c r="J492" s="111"/>
      <c r="K492" s="23" t="s">
        <v>288</v>
      </c>
      <c r="L492" s="23" t="s">
        <v>288</v>
      </c>
      <c r="N492" s="131"/>
    </row>
    <row r="493" spans="1:14" ht="12.2" customHeight="1" x14ac:dyDescent="0.2">
      <c r="A493" s="21" t="s">
        <v>616</v>
      </c>
      <c r="B493" s="22">
        <v>20</v>
      </c>
      <c r="C493" s="22">
        <v>3</v>
      </c>
      <c r="D493" s="2" t="s">
        <v>432</v>
      </c>
      <c r="E493" s="22"/>
      <c r="F493" s="112" t="s">
        <v>1815</v>
      </c>
      <c r="G493" s="112" t="s">
        <v>1817</v>
      </c>
      <c r="H493" s="111"/>
      <c r="I493" s="111"/>
      <c r="J493" s="111"/>
      <c r="K493" s="23" t="s">
        <v>288</v>
      </c>
      <c r="L493" s="23" t="s">
        <v>288</v>
      </c>
      <c r="N493" s="131"/>
    </row>
    <row r="494" spans="1:14" ht="12.2" customHeight="1" x14ac:dyDescent="0.2">
      <c r="A494" s="21" t="s">
        <v>617</v>
      </c>
      <c r="B494" s="22">
        <v>20</v>
      </c>
      <c r="C494" s="22">
        <v>4</v>
      </c>
      <c r="D494" s="2" t="s">
        <v>432</v>
      </c>
      <c r="E494" s="22"/>
      <c r="F494" s="18">
        <v>42695000</v>
      </c>
      <c r="G494" s="18">
        <v>17800000</v>
      </c>
      <c r="H494" s="18"/>
      <c r="I494" s="18"/>
      <c r="J494" s="18"/>
      <c r="K494" s="23" t="s">
        <v>288</v>
      </c>
      <c r="L494" s="23" t="s">
        <v>288</v>
      </c>
      <c r="N494" s="131"/>
    </row>
    <row r="495" spans="1:14" ht="12.2" customHeight="1" x14ac:dyDescent="0.2">
      <c r="A495" s="21" t="s">
        <v>618</v>
      </c>
      <c r="B495" s="22">
        <v>20</v>
      </c>
      <c r="C495" s="22">
        <v>5</v>
      </c>
      <c r="D495" s="2" t="s">
        <v>432</v>
      </c>
      <c r="E495" s="22"/>
      <c r="F495" s="18">
        <v>3.7</v>
      </c>
      <c r="G495" s="18">
        <v>2.15</v>
      </c>
      <c r="H495" s="18"/>
      <c r="I495" s="18"/>
      <c r="J495" s="18"/>
      <c r="K495" s="23" t="s">
        <v>288</v>
      </c>
      <c r="L495" s="23" t="s">
        <v>288</v>
      </c>
      <c r="N495" s="131"/>
    </row>
    <row r="496" spans="1:14" ht="12.2" customHeight="1" x14ac:dyDescent="0.2">
      <c r="A496" s="21" t="s">
        <v>619</v>
      </c>
      <c r="B496" s="22">
        <v>20</v>
      </c>
      <c r="C496" s="22">
        <v>6</v>
      </c>
      <c r="D496" s="2" t="s">
        <v>432</v>
      </c>
      <c r="E496" s="22"/>
      <c r="F496" s="18">
        <v>2671792.8199999998</v>
      </c>
      <c r="G496" s="18">
        <v>14440000</v>
      </c>
      <c r="H496" s="18"/>
      <c r="I496" s="18"/>
      <c r="J496" s="18"/>
      <c r="K496" s="19">
        <f>SUM(F496:J496)</f>
        <v>17111792.82</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1365840.49</v>
      </c>
      <c r="G498" s="18">
        <v>805000</v>
      </c>
      <c r="H498" s="18"/>
      <c r="I498" s="18"/>
      <c r="J498" s="18"/>
      <c r="K498" s="19">
        <f t="shared" si="35"/>
        <v>2170840.4900000002</v>
      </c>
      <c r="L498" s="23" t="s">
        <v>288</v>
      </c>
      <c r="N498" s="131"/>
    </row>
    <row r="499" spans="1:14" ht="12.2" customHeight="1" x14ac:dyDescent="0.2">
      <c r="A499" s="144" t="s">
        <v>622</v>
      </c>
      <c r="B499" s="145">
        <v>20</v>
      </c>
      <c r="C499" s="145">
        <v>9</v>
      </c>
      <c r="D499" s="146" t="s">
        <v>432</v>
      </c>
      <c r="E499" s="145"/>
      <c r="F499" s="147">
        <v>1305652.33</v>
      </c>
      <c r="G499" s="147">
        <v>13635000</v>
      </c>
      <c r="H499" s="147"/>
      <c r="I499" s="147"/>
      <c r="J499" s="147"/>
      <c r="K499" s="148">
        <f t="shared" si="35"/>
        <v>14940652.33</v>
      </c>
      <c r="L499" s="149" t="s">
        <v>288</v>
      </c>
      <c r="N499" s="131"/>
    </row>
    <row r="500" spans="1:14" ht="12.2" customHeight="1" thickBot="1" x14ac:dyDescent="0.25">
      <c r="A500" s="21" t="s">
        <v>623</v>
      </c>
      <c r="B500" s="22">
        <v>20</v>
      </c>
      <c r="C500" s="22">
        <v>10</v>
      </c>
      <c r="D500" s="2" t="s">
        <v>432</v>
      </c>
      <c r="E500" s="22"/>
      <c r="F500" s="18">
        <v>1948147.67</v>
      </c>
      <c r="G500" s="18">
        <v>3789540</v>
      </c>
      <c r="H500" s="18"/>
      <c r="I500" s="18"/>
      <c r="J500" s="18"/>
      <c r="K500" s="19">
        <f t="shared" si="35"/>
        <v>5737687.6699999999</v>
      </c>
      <c r="L500" s="23" t="s">
        <v>288</v>
      </c>
      <c r="N500" s="131"/>
    </row>
    <row r="501" spans="1:14" ht="12.2" customHeight="1" thickTop="1" x14ac:dyDescent="0.2">
      <c r="A501" s="97" t="s">
        <v>624</v>
      </c>
      <c r="B501" s="41">
        <v>20</v>
      </c>
      <c r="C501" s="41">
        <v>11</v>
      </c>
      <c r="D501" s="36" t="s">
        <v>432</v>
      </c>
      <c r="E501" s="41"/>
      <c r="F501" s="39">
        <f>SUM(F499:F500)</f>
        <v>3253800</v>
      </c>
      <c r="G501" s="39">
        <f>SUM(G499:G500)</f>
        <v>17424540</v>
      </c>
      <c r="H501" s="39">
        <f>SUM(H499:H500)</f>
        <v>0</v>
      </c>
      <c r="I501" s="39">
        <f>SUM(I499:I500)</f>
        <v>0</v>
      </c>
      <c r="J501" s="39">
        <f>SUM(J499:J500)</f>
        <v>0</v>
      </c>
      <c r="K501" s="39">
        <f t="shared" si="35"/>
        <v>20678340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c r="G522" s="18"/>
      <c r="H522" s="18"/>
      <c r="I522" s="18"/>
      <c r="J522" s="18"/>
      <c r="K522" s="18"/>
      <c r="L522" s="69">
        <f>SUM(F522:K522)</f>
        <v>0</v>
      </c>
      <c r="N522" s="131"/>
    </row>
    <row r="523" spans="1:14" ht="12.2" customHeight="1" x14ac:dyDescent="0.2">
      <c r="A523" s="21" t="s">
        <v>634</v>
      </c>
      <c r="B523" s="22">
        <v>21</v>
      </c>
      <c r="C523" s="22">
        <v>2</v>
      </c>
      <c r="D523" s="2" t="s">
        <v>432</v>
      </c>
      <c r="E523" s="22"/>
      <c r="F523" s="18">
        <f>2425851.39+158029.17</f>
        <v>2583880.56</v>
      </c>
      <c r="G523" s="18">
        <f>1162174.57+81978.58</f>
        <v>1244153.1500000001</v>
      </c>
      <c r="H523" s="18">
        <f>1057931.78+102910.26-13402.32</f>
        <v>1147439.72</v>
      </c>
      <c r="I523" s="18">
        <f>10067.67+62815.29</f>
        <v>72882.960000000006</v>
      </c>
      <c r="J523" s="18"/>
      <c r="K523" s="18">
        <v>3812.52</v>
      </c>
      <c r="L523" s="69">
        <f>SUM(F523:K523)</f>
        <v>5052168.9099999992</v>
      </c>
      <c r="N523" s="131"/>
    </row>
    <row r="524" spans="1:14" ht="12.2" customHeight="1" thickBot="1" x14ac:dyDescent="0.25">
      <c r="A524" s="21" t="s">
        <v>635</v>
      </c>
      <c r="B524" s="22">
        <v>21</v>
      </c>
      <c r="C524" s="22">
        <v>3</v>
      </c>
      <c r="D524" s="2" t="s">
        <v>432</v>
      </c>
      <c r="E524" s="22"/>
      <c r="F524" s="18">
        <f>1772259.57+158029.17</f>
        <v>1930288.74</v>
      </c>
      <c r="G524" s="18">
        <f>849052.42+81978.58</f>
        <v>931031</v>
      </c>
      <c r="H524" s="18">
        <f>102910.28+2208256.46-8671</f>
        <v>2302495.7399999998</v>
      </c>
      <c r="I524" s="18">
        <f>39193.34+10067.66</f>
        <v>49261</v>
      </c>
      <c r="J524" s="18"/>
      <c r="K524" s="18">
        <f>3812.51+11129.78</f>
        <v>14942.29</v>
      </c>
      <c r="L524" s="69">
        <f>SUM(F524:K524)</f>
        <v>5228018.7700000005</v>
      </c>
      <c r="N524" s="131"/>
    </row>
    <row r="525" spans="1:14" ht="12.2" customHeight="1" thickTop="1" x14ac:dyDescent="0.2">
      <c r="A525" s="97" t="s">
        <v>63</v>
      </c>
      <c r="B525" s="41">
        <v>21</v>
      </c>
      <c r="C525" s="41">
        <v>4</v>
      </c>
      <c r="D525" s="115" t="s">
        <v>432</v>
      </c>
      <c r="E525" s="41"/>
      <c r="F525" s="81">
        <f>SUM(F522:F524)</f>
        <v>4514169.3</v>
      </c>
      <c r="G525" s="81">
        <f t="shared" ref="G525:L525" si="36">SUM(G522:G524)</f>
        <v>2175184.1500000004</v>
      </c>
      <c r="H525" s="81">
        <f t="shared" si="36"/>
        <v>3449935.46</v>
      </c>
      <c r="I525" s="81">
        <f t="shared" si="36"/>
        <v>122143.96</v>
      </c>
      <c r="J525" s="81">
        <f t="shared" si="36"/>
        <v>0</v>
      </c>
      <c r="K525" s="81">
        <f t="shared" si="36"/>
        <v>18754.810000000001</v>
      </c>
      <c r="L525" s="70">
        <f t="shared" si="36"/>
        <v>10280187.68</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5"/>
    </row>
    <row r="528" spans="1:14" s="3" customFormat="1" ht="12.2" customHeight="1" x14ac:dyDescent="0.15">
      <c r="A528" s="21" t="s">
        <v>634</v>
      </c>
      <c r="B528" s="22">
        <v>21</v>
      </c>
      <c r="C528" s="22">
        <v>6</v>
      </c>
      <c r="D528" s="2" t="s">
        <v>432</v>
      </c>
      <c r="E528" s="22"/>
      <c r="F528" s="18">
        <v>557688.81000000006</v>
      </c>
      <c r="G528" s="18">
        <v>267177.02</v>
      </c>
      <c r="H528" s="18"/>
      <c r="I528" s="18"/>
      <c r="J528" s="18"/>
      <c r="K528" s="18"/>
      <c r="L528" s="69">
        <f>SUM(F528:K528)</f>
        <v>824865.83000000007</v>
      </c>
      <c r="M528" s="8"/>
      <c r="N528" s="165"/>
    </row>
    <row r="529" spans="1:14" s="3" customFormat="1" ht="12.2" customHeight="1" thickBot="1" x14ac:dyDescent="0.2">
      <c r="A529" s="21" t="s">
        <v>635</v>
      </c>
      <c r="B529" s="22">
        <v>21</v>
      </c>
      <c r="C529" s="22">
        <v>7</v>
      </c>
      <c r="D529" s="2" t="s">
        <v>432</v>
      </c>
      <c r="E529" s="22"/>
      <c r="F529" s="18">
        <v>514424.15</v>
      </c>
      <c r="G529" s="18">
        <v>246449.83</v>
      </c>
      <c r="H529" s="18"/>
      <c r="I529" s="18"/>
      <c r="J529" s="18"/>
      <c r="K529" s="18"/>
      <c r="L529" s="69">
        <f>SUM(F529:K529)</f>
        <v>760873.98</v>
      </c>
      <c r="M529" s="8"/>
      <c r="N529" s="165"/>
    </row>
    <row r="530" spans="1:14" s="3" customFormat="1" ht="12.2" customHeight="1" thickTop="1" x14ac:dyDescent="0.15">
      <c r="A530" s="97" t="s">
        <v>65</v>
      </c>
      <c r="B530" s="41">
        <v>21</v>
      </c>
      <c r="C530" s="41">
        <v>8</v>
      </c>
      <c r="D530" s="115" t="s">
        <v>432</v>
      </c>
      <c r="E530" s="41"/>
      <c r="F530" s="70">
        <f>SUM(F527:F529)</f>
        <v>1072112.96</v>
      </c>
      <c r="G530" s="70">
        <f t="shared" ref="G530:L530" si="37">SUM(G527:G529)</f>
        <v>513626.85</v>
      </c>
      <c r="H530" s="70">
        <f t="shared" si="37"/>
        <v>0</v>
      </c>
      <c r="I530" s="70">
        <f t="shared" si="37"/>
        <v>0</v>
      </c>
      <c r="J530" s="70">
        <f t="shared" si="37"/>
        <v>0</v>
      </c>
      <c r="K530" s="70">
        <f t="shared" si="37"/>
        <v>0</v>
      </c>
      <c r="L530" s="70">
        <f t="shared" si="37"/>
        <v>1585739.81</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v>321616.59000000003</v>
      </c>
      <c r="G533" s="18">
        <v>154079.76999999999</v>
      </c>
      <c r="H533" s="18"/>
      <c r="I533" s="18"/>
      <c r="J533" s="18">
        <v>23204.17</v>
      </c>
      <c r="K533" s="18"/>
      <c r="L533" s="69">
        <f>SUM(F533:K533)</f>
        <v>498900.52999999997</v>
      </c>
      <c r="M533" s="8"/>
      <c r="N533" s="165"/>
    </row>
    <row r="534" spans="1:14" s="3" customFormat="1" ht="12.2" customHeight="1" thickBot="1" x14ac:dyDescent="0.2">
      <c r="A534" s="21" t="s">
        <v>635</v>
      </c>
      <c r="B534" s="22">
        <v>21</v>
      </c>
      <c r="C534" s="22">
        <v>11</v>
      </c>
      <c r="D534" s="2" t="s">
        <v>432</v>
      </c>
      <c r="E534" s="22"/>
      <c r="F534" s="18">
        <v>325682.03999999998</v>
      </c>
      <c r="G534" s="18">
        <v>156027.44</v>
      </c>
      <c r="H534" s="18"/>
      <c r="I534" s="18"/>
      <c r="J534" s="18">
        <v>19256.79</v>
      </c>
      <c r="K534" s="18"/>
      <c r="L534" s="69">
        <f>SUM(F534:K534)</f>
        <v>500966.26999999996</v>
      </c>
      <c r="M534" s="8"/>
      <c r="N534" s="165"/>
    </row>
    <row r="535" spans="1:14" s="3" customFormat="1" ht="12.2" customHeight="1" thickTop="1" x14ac:dyDescent="0.15">
      <c r="A535" s="97" t="s">
        <v>67</v>
      </c>
      <c r="B535" s="41">
        <v>21</v>
      </c>
      <c r="C535" s="41">
        <v>12</v>
      </c>
      <c r="D535" s="115" t="s">
        <v>432</v>
      </c>
      <c r="E535" s="41"/>
      <c r="F535" s="70">
        <f>SUM(F532:F534)</f>
        <v>647298.63</v>
      </c>
      <c r="G535" s="70">
        <f t="shared" ref="G535:L535" si="38">SUM(G532:G534)</f>
        <v>310107.20999999996</v>
      </c>
      <c r="H535" s="70">
        <f t="shared" si="38"/>
        <v>0</v>
      </c>
      <c r="I535" s="70">
        <f t="shared" si="38"/>
        <v>0</v>
      </c>
      <c r="J535" s="70">
        <f t="shared" si="38"/>
        <v>42460.959999999999</v>
      </c>
      <c r="K535" s="70">
        <f t="shared" si="38"/>
        <v>0</v>
      </c>
      <c r="L535" s="70">
        <f t="shared" si="38"/>
        <v>999866.79999999993</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v>13402.32</v>
      </c>
      <c r="I538" s="18"/>
      <c r="J538" s="18"/>
      <c r="K538" s="18"/>
      <c r="L538" s="69">
        <f>SUM(F538:K538)</f>
        <v>13402.32</v>
      </c>
      <c r="M538" s="8"/>
      <c r="N538" s="165"/>
    </row>
    <row r="539" spans="1:14" s="3" customFormat="1" ht="12.2" customHeight="1" thickBot="1" x14ac:dyDescent="0.2">
      <c r="A539" s="21" t="s">
        <v>635</v>
      </c>
      <c r="B539" s="22">
        <v>21</v>
      </c>
      <c r="C539" s="22">
        <v>15</v>
      </c>
      <c r="D539" s="2" t="s">
        <v>432</v>
      </c>
      <c r="E539" s="22"/>
      <c r="F539" s="18"/>
      <c r="G539" s="18"/>
      <c r="H539" s="18">
        <f>8671</f>
        <v>8671</v>
      </c>
      <c r="I539" s="18"/>
      <c r="J539" s="18"/>
      <c r="K539" s="18"/>
      <c r="L539" s="69">
        <f>SUM(F539:K539)</f>
        <v>8671</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22073.32</v>
      </c>
      <c r="I540" s="70">
        <f t="shared" si="39"/>
        <v>0</v>
      </c>
      <c r="J540" s="70">
        <f t="shared" si="39"/>
        <v>0</v>
      </c>
      <c r="K540" s="70">
        <f t="shared" si="39"/>
        <v>0</v>
      </c>
      <c r="L540" s="70">
        <f t="shared" si="39"/>
        <v>22073.32</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v>545824.06000000006</v>
      </c>
      <c r="I543" s="18"/>
      <c r="J543" s="18"/>
      <c r="K543" s="18"/>
      <c r="L543" s="69">
        <f>SUM(F543:K543)</f>
        <v>545824.06000000006</v>
      </c>
      <c r="M543" s="8"/>
      <c r="N543" s="165"/>
    </row>
    <row r="544" spans="1:14" s="3" customFormat="1" ht="12.2" customHeight="1" thickBot="1" x14ac:dyDescent="0.2">
      <c r="A544" s="21" t="s">
        <v>635</v>
      </c>
      <c r="B544" s="22">
        <v>21</v>
      </c>
      <c r="C544" s="22">
        <v>19</v>
      </c>
      <c r="D544" s="2" t="s">
        <v>432</v>
      </c>
      <c r="E544" s="22"/>
      <c r="F544" s="18"/>
      <c r="G544" s="18"/>
      <c r="H544" s="18">
        <v>883290.65</v>
      </c>
      <c r="I544" s="18"/>
      <c r="J544" s="18"/>
      <c r="K544" s="18"/>
      <c r="L544" s="69">
        <f>SUM(F544:K544)</f>
        <v>883290.65</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1429114.71</v>
      </c>
      <c r="I545" s="141">
        <f t="shared" si="40"/>
        <v>0</v>
      </c>
      <c r="J545" s="141">
        <f t="shared" si="40"/>
        <v>0</v>
      </c>
      <c r="K545" s="141">
        <f t="shared" si="40"/>
        <v>0</v>
      </c>
      <c r="L545" s="141">
        <f t="shared" si="40"/>
        <v>1429114.71</v>
      </c>
      <c r="M545" s="8"/>
      <c r="N545" s="165"/>
    </row>
    <row r="546" spans="1:14" s="3" customFormat="1" ht="12.2" customHeight="1" thickTop="1" x14ac:dyDescent="0.15">
      <c r="A546" s="75" t="s">
        <v>72</v>
      </c>
      <c r="B546" s="41">
        <v>21</v>
      </c>
      <c r="C546" s="41">
        <v>21</v>
      </c>
      <c r="D546" s="115" t="s">
        <v>432</v>
      </c>
      <c r="E546" s="41"/>
      <c r="F546" s="70">
        <f>F525+F530+F535+F540+F545</f>
        <v>6233580.8899999997</v>
      </c>
      <c r="G546" s="70">
        <f t="shared" ref="G546:L546" si="41">G525+G530+G535+G540+G545</f>
        <v>2998918.2100000004</v>
      </c>
      <c r="H546" s="70">
        <f t="shared" si="41"/>
        <v>4901123.49</v>
      </c>
      <c r="I546" s="70">
        <f t="shared" si="41"/>
        <v>122143.96</v>
      </c>
      <c r="J546" s="70">
        <f t="shared" si="41"/>
        <v>42460.959999999999</v>
      </c>
      <c r="K546" s="70">
        <f t="shared" si="41"/>
        <v>18754.810000000001</v>
      </c>
      <c r="L546" s="70">
        <f t="shared" si="41"/>
        <v>14316982.32</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0</v>
      </c>
      <c r="G550" s="69">
        <f>L527</f>
        <v>0</v>
      </c>
      <c r="H550" s="69">
        <f>L532</f>
        <v>0</v>
      </c>
      <c r="I550" s="69">
        <f>L537</f>
        <v>0</v>
      </c>
      <c r="J550" s="69">
        <f>L542</f>
        <v>0</v>
      </c>
      <c r="K550" s="69">
        <f>SUM(F550:J550)</f>
        <v>0</v>
      </c>
      <c r="L550" s="23" t="s">
        <v>288</v>
      </c>
      <c r="M550" s="8"/>
      <c r="N550" s="165"/>
    </row>
    <row r="551" spans="1:14" s="3" customFormat="1" ht="12.2" customHeight="1" x14ac:dyDescent="0.15">
      <c r="A551" s="21" t="s">
        <v>634</v>
      </c>
      <c r="B551" s="22">
        <v>21</v>
      </c>
      <c r="C551" s="22">
        <v>23</v>
      </c>
      <c r="D551" s="2" t="s">
        <v>432</v>
      </c>
      <c r="E551" s="22"/>
      <c r="F551" s="69">
        <f>L523</f>
        <v>5052168.9099999992</v>
      </c>
      <c r="G551" s="69">
        <f>L528</f>
        <v>824865.83000000007</v>
      </c>
      <c r="H551" s="69">
        <f>L533</f>
        <v>498900.52999999997</v>
      </c>
      <c r="I551" s="69">
        <f>L538</f>
        <v>13402.32</v>
      </c>
      <c r="J551" s="69">
        <f>L543</f>
        <v>545824.06000000006</v>
      </c>
      <c r="K551" s="69">
        <f>SUM(F551:J551)</f>
        <v>6935161.6500000004</v>
      </c>
      <c r="L551" s="23" t="s">
        <v>288</v>
      </c>
      <c r="M551" s="8"/>
      <c r="N551" s="165"/>
    </row>
    <row r="552" spans="1:14" s="3" customFormat="1" ht="12.2" customHeight="1" thickBot="1" x14ac:dyDescent="0.2">
      <c r="A552" s="21" t="s">
        <v>635</v>
      </c>
      <c r="B552" s="22">
        <v>21</v>
      </c>
      <c r="C552" s="22">
        <v>24</v>
      </c>
      <c r="D552" s="2" t="s">
        <v>432</v>
      </c>
      <c r="E552" s="22"/>
      <c r="F552" s="69">
        <f>L524</f>
        <v>5228018.7700000005</v>
      </c>
      <c r="G552" s="69">
        <f>L529</f>
        <v>760873.98</v>
      </c>
      <c r="H552" s="69">
        <f>L534</f>
        <v>500966.26999999996</v>
      </c>
      <c r="I552" s="69">
        <f>L539</f>
        <v>8671</v>
      </c>
      <c r="J552" s="69">
        <f>L544</f>
        <v>883290.65</v>
      </c>
      <c r="K552" s="69">
        <f>SUM(F552:J552)</f>
        <v>7381820.6699999999</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10280187.68</v>
      </c>
      <c r="G553" s="70">
        <f t="shared" si="42"/>
        <v>1585739.81</v>
      </c>
      <c r="H553" s="70">
        <f t="shared" si="42"/>
        <v>999866.79999999993</v>
      </c>
      <c r="I553" s="70">
        <f t="shared" si="42"/>
        <v>22073.32</v>
      </c>
      <c r="J553" s="70">
        <f t="shared" si="42"/>
        <v>1429114.71</v>
      </c>
      <c r="K553" s="70">
        <f t="shared" si="42"/>
        <v>14316982.32</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v>50886.720000000001</v>
      </c>
      <c r="G564" s="18">
        <v>24369.18</v>
      </c>
      <c r="H564" s="18"/>
      <c r="I564" s="18">
        <v>60</v>
      </c>
      <c r="J564" s="18"/>
      <c r="K564" s="18"/>
      <c r="L564" s="69">
        <f>SUM(F564:K564)</f>
        <v>75315.899999999994</v>
      </c>
      <c r="M564" s="8"/>
      <c r="N564" s="165"/>
    </row>
    <row r="565" spans="1:14" s="3" customFormat="1" ht="12.2" customHeight="1" thickBot="1" x14ac:dyDescent="0.2">
      <c r="A565" s="21" t="s">
        <v>635</v>
      </c>
      <c r="B565" s="22">
        <v>22</v>
      </c>
      <c r="C565" s="22">
        <v>7</v>
      </c>
      <c r="D565" s="2" t="s">
        <v>432</v>
      </c>
      <c r="E565" s="22"/>
      <c r="F565" s="18"/>
      <c r="G565" s="18"/>
      <c r="H565" s="18"/>
      <c r="I565" s="18">
        <v>159.66999999999999</v>
      </c>
      <c r="J565" s="18"/>
      <c r="K565" s="18"/>
      <c r="L565" s="69">
        <f>SUM(F565:K565)</f>
        <v>159.66999999999999</v>
      </c>
      <c r="M565" s="8"/>
      <c r="N565" s="165"/>
    </row>
    <row r="566" spans="1:14" s="3" customFormat="1" ht="12.2" customHeight="1" thickTop="1" x14ac:dyDescent="0.15">
      <c r="A566" s="97" t="s">
        <v>65</v>
      </c>
      <c r="B566" s="41">
        <v>22</v>
      </c>
      <c r="C566" s="41">
        <v>8</v>
      </c>
      <c r="D566" s="115" t="s">
        <v>432</v>
      </c>
      <c r="E566" s="41"/>
      <c r="F566" s="70">
        <f t="shared" ref="F566:L566" si="44">SUM(F563:F565)</f>
        <v>50886.720000000001</v>
      </c>
      <c r="G566" s="70">
        <f t="shared" si="44"/>
        <v>24369.18</v>
      </c>
      <c r="H566" s="70">
        <f t="shared" si="44"/>
        <v>0</v>
      </c>
      <c r="I566" s="70">
        <f t="shared" si="44"/>
        <v>219.67</v>
      </c>
      <c r="J566" s="70">
        <f t="shared" si="44"/>
        <v>0</v>
      </c>
      <c r="K566" s="70">
        <f t="shared" si="44"/>
        <v>0</v>
      </c>
      <c r="L566" s="70">
        <f t="shared" si="44"/>
        <v>75475.569999999992</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50886.720000000001</v>
      </c>
      <c r="G572" s="70">
        <f t="shared" ref="G572:L572" si="46">G561+G566+G571</f>
        <v>24369.18</v>
      </c>
      <c r="H572" s="70">
        <f t="shared" si="46"/>
        <v>0</v>
      </c>
      <c r="I572" s="70">
        <f t="shared" si="46"/>
        <v>219.67</v>
      </c>
      <c r="J572" s="70">
        <f t="shared" si="46"/>
        <v>0</v>
      </c>
      <c r="K572" s="70">
        <f t="shared" si="46"/>
        <v>0</v>
      </c>
      <c r="L572" s="70">
        <f t="shared" si="46"/>
        <v>75475.569999999992</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v>2263.7600000000002</v>
      </c>
      <c r="H576" s="18"/>
      <c r="I576" s="69">
        <f>SUM(F576:H576)</f>
        <v>2263.7600000000002</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v>107063.12</v>
      </c>
      <c r="I580" s="69">
        <f t="shared" si="47"/>
        <v>107063.12</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v>701061.17</v>
      </c>
      <c r="H583" s="18">
        <f>1561867.84-H580</f>
        <v>1454804.7200000002</v>
      </c>
      <c r="I583" s="69">
        <f t="shared" si="47"/>
        <v>2155865.89</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c r="I592" s="18">
        <v>672116.4</v>
      </c>
      <c r="J592" s="18">
        <v>672894.03</v>
      </c>
      <c r="K592" s="80">
        <f t="shared" ref="K592:K598" si="48">SUM(H592:J592)</f>
        <v>1345010.4300000002</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v>545824.06000000006</v>
      </c>
      <c r="J593" s="18">
        <v>883290.65</v>
      </c>
      <c r="K593" s="80">
        <f t="shared" si="48"/>
        <v>1429114.71</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86133.59</v>
      </c>
      <c r="K594" s="80">
        <f t="shared" si="48"/>
        <v>86133.59</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8194.51</v>
      </c>
      <c r="J595" s="18">
        <v>116038.48</v>
      </c>
      <c r="K595" s="80">
        <f t="shared" si="48"/>
        <v>124232.98999999999</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v>93428.31</v>
      </c>
      <c r="J598" s="18">
        <v>64629.05</v>
      </c>
      <c r="K598" s="80">
        <f t="shared" si="48"/>
        <v>158057.35999999999</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0</v>
      </c>
      <c r="I599" s="81">
        <f>SUM(I592:I598)</f>
        <v>1319563.28</v>
      </c>
      <c r="J599" s="81">
        <f>SUM(J592:J598)</f>
        <v>1822985.8000000003</v>
      </c>
      <c r="K599" s="81">
        <f>SUM(K592:K598)</f>
        <v>3142549.0799999996</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c r="I605" s="18">
        <v>329381.71999999997</v>
      </c>
      <c r="J605" s="18">
        <v>502151.59</v>
      </c>
      <c r="K605" s="80">
        <f>SUM(H605:J605)</f>
        <v>831533.31</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329381.71999999997</v>
      </c>
      <c r="J606" s="81">
        <f>SUM(J603:J605)</f>
        <v>502151.59</v>
      </c>
      <c r="K606" s="81">
        <f>SUM(K603:K605)</f>
        <v>831533.31</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v>79208.98</v>
      </c>
      <c r="G613" s="18">
        <v>37947.360000000001</v>
      </c>
      <c r="H613" s="18"/>
      <c r="I613" s="18"/>
      <c r="J613" s="18"/>
      <c r="K613" s="18"/>
      <c r="L613" s="69">
        <f>SUM(F613:K613)</f>
        <v>117156.34</v>
      </c>
      <c r="M613" s="8"/>
      <c r="N613" s="165"/>
    </row>
    <row r="614" spans="1:14" s="3" customFormat="1" ht="12.2" customHeight="1" thickBot="1" x14ac:dyDescent="0.2">
      <c r="A614" s="21" t="s">
        <v>645</v>
      </c>
      <c r="B614" s="22">
        <v>23</v>
      </c>
      <c r="C614" s="22">
        <v>15</v>
      </c>
      <c r="D614" s="2" t="s">
        <v>432</v>
      </c>
      <c r="E614" s="22"/>
      <c r="F614" s="18">
        <v>91791.6</v>
      </c>
      <c r="G614" s="18">
        <v>43975.43</v>
      </c>
      <c r="H614" s="18"/>
      <c r="I614" s="18"/>
      <c r="J614" s="18"/>
      <c r="K614" s="18"/>
      <c r="L614" s="69">
        <f>SUM(F614:K614)</f>
        <v>135767.03</v>
      </c>
      <c r="M614" s="8"/>
      <c r="N614" s="165"/>
    </row>
    <row r="615" spans="1:14" s="3" customFormat="1" ht="12.2" customHeight="1" thickTop="1" x14ac:dyDescent="0.15">
      <c r="A615" s="75" t="s">
        <v>340</v>
      </c>
      <c r="B615" s="41">
        <v>23</v>
      </c>
      <c r="C615" s="41">
        <v>16</v>
      </c>
      <c r="D615" s="36" t="s">
        <v>432</v>
      </c>
      <c r="E615" s="41"/>
      <c r="F615" s="81">
        <f t="shared" ref="F615:L615" si="49">SUM(F612:F614)</f>
        <v>171000.58000000002</v>
      </c>
      <c r="G615" s="81">
        <f t="shared" si="49"/>
        <v>81922.790000000008</v>
      </c>
      <c r="H615" s="81">
        <f t="shared" si="49"/>
        <v>0</v>
      </c>
      <c r="I615" s="81">
        <f t="shared" si="49"/>
        <v>0</v>
      </c>
      <c r="J615" s="81">
        <f t="shared" si="49"/>
        <v>0</v>
      </c>
      <c r="K615" s="81">
        <f t="shared" si="49"/>
        <v>0</v>
      </c>
      <c r="L615" s="70">
        <f t="shared" si="49"/>
        <v>252923.37</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5601974.21</v>
      </c>
      <c r="H618" s="80">
        <f>SUM(F52)</f>
        <v>5601974.209999999</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847546.13</v>
      </c>
      <c r="H619" s="80">
        <f>SUM(G52)</f>
        <v>847546.13000000012</v>
      </c>
      <c r="I619" s="87" t="s">
        <v>875</v>
      </c>
      <c r="J619" s="80">
        <f>G619-H619</f>
        <v>0</v>
      </c>
      <c r="K619" s="80"/>
      <c r="L619" s="80"/>
      <c r="M619" s="8"/>
    </row>
    <row r="620" spans="1:14" s="3" customFormat="1" ht="12.2" customHeight="1" x14ac:dyDescent="0.15">
      <c r="A620" s="74"/>
      <c r="B620" s="22"/>
      <c r="C620" s="22"/>
      <c r="D620" s="22"/>
      <c r="E620" s="22"/>
      <c r="F620" s="87" t="s">
        <v>685</v>
      </c>
      <c r="G620" s="80">
        <f>SUM(H19)</f>
        <v>567233.97</v>
      </c>
      <c r="H620" s="80">
        <f>SUM(H52)</f>
        <v>567233.97</v>
      </c>
      <c r="I620" s="87" t="s">
        <v>876</v>
      </c>
      <c r="J620" s="80">
        <f>G620-H620</f>
        <v>0</v>
      </c>
      <c r="K620" s="80"/>
      <c r="L620" s="80"/>
      <c r="M620" s="8"/>
    </row>
    <row r="621" spans="1:14" s="3" customFormat="1" ht="12.2" customHeight="1" x14ac:dyDescent="0.15">
      <c r="A621" s="74"/>
      <c r="B621" s="22"/>
      <c r="C621" s="22"/>
      <c r="D621" s="22"/>
      <c r="E621" s="22"/>
      <c r="F621" s="87" t="s">
        <v>686</v>
      </c>
      <c r="G621" s="80">
        <f>SUM(I19)</f>
        <v>774782.65999999992</v>
      </c>
      <c r="H621" s="80">
        <f>SUM(I52)</f>
        <v>774782.66</v>
      </c>
      <c r="I621" s="87" t="s">
        <v>877</v>
      </c>
      <c r="J621" s="80">
        <f>G621-H621</f>
        <v>0</v>
      </c>
      <c r="K621" s="80"/>
      <c r="L621" s="80"/>
      <c r="M621" s="8"/>
    </row>
    <row r="622" spans="1:14" s="3" customFormat="1" ht="12.2" customHeight="1" x14ac:dyDescent="0.15">
      <c r="A622" s="74"/>
      <c r="B622" s="22"/>
      <c r="C622" s="22"/>
      <c r="D622" s="22"/>
      <c r="E622" s="22"/>
      <c r="F622" s="87" t="s">
        <v>687</v>
      </c>
      <c r="G622" s="80">
        <f>SUM(J19)</f>
        <v>1832909.55</v>
      </c>
      <c r="H622" s="80">
        <f>SUM(J52)</f>
        <v>1832909.55</v>
      </c>
      <c r="I622" s="87" t="s">
        <v>878</v>
      </c>
      <c r="J622" s="80">
        <f>G622-H622</f>
        <v>0</v>
      </c>
      <c r="K622" s="80"/>
      <c r="L622" s="80"/>
      <c r="M622" s="8"/>
    </row>
    <row r="623" spans="1:14" s="3" customFormat="1" ht="12.2" customHeight="1" x14ac:dyDescent="0.15">
      <c r="A623" s="74"/>
      <c r="B623" s="22"/>
      <c r="C623" s="22"/>
      <c r="D623" s="22"/>
      <c r="E623" s="22"/>
      <c r="F623" s="87" t="s">
        <v>864</v>
      </c>
      <c r="G623" s="80">
        <f>F51</f>
        <v>3119458.05</v>
      </c>
      <c r="H623" s="80">
        <f>F477</f>
        <v>3119458.0500000119</v>
      </c>
      <c r="I623" s="87" t="s">
        <v>101</v>
      </c>
      <c r="J623" s="80">
        <f t="shared" ref="J623:J656" si="50">G623-H623</f>
        <v>-1.2107193470001221E-8</v>
      </c>
      <c r="K623" s="80"/>
      <c r="L623" s="80"/>
      <c r="M623" s="8"/>
    </row>
    <row r="624" spans="1:14" s="3" customFormat="1" ht="12.2" customHeight="1" x14ac:dyDescent="0.15">
      <c r="A624" s="74"/>
      <c r="B624" s="22"/>
      <c r="C624" s="85"/>
      <c r="D624" s="85"/>
      <c r="E624" s="85"/>
      <c r="F624" s="85" t="s">
        <v>865</v>
      </c>
      <c r="G624" s="80">
        <f>G51</f>
        <v>675146.55</v>
      </c>
      <c r="H624" s="80">
        <f>G477</f>
        <v>675146.54999999958</v>
      </c>
      <c r="I624" s="87" t="s">
        <v>102</v>
      </c>
      <c r="J624" s="80">
        <f t="shared" si="50"/>
        <v>0</v>
      </c>
      <c r="K624" s="80"/>
      <c r="L624" s="80"/>
      <c r="M624" s="8"/>
    </row>
    <row r="625" spans="1:13" s="3" customFormat="1" ht="12.2" customHeight="1" x14ac:dyDescent="0.15">
      <c r="A625" s="74"/>
      <c r="B625" s="22"/>
      <c r="C625" s="22"/>
      <c r="D625" s="22"/>
      <c r="E625" s="22"/>
      <c r="F625" s="86" t="s">
        <v>866</v>
      </c>
      <c r="G625" s="80">
        <f>H51</f>
        <v>521741.88</v>
      </c>
      <c r="H625" s="80">
        <f>H477</f>
        <v>521741.87999999966</v>
      </c>
      <c r="I625" s="87" t="s">
        <v>103</v>
      </c>
      <c r="J625" s="80">
        <f t="shared" si="50"/>
        <v>0</v>
      </c>
      <c r="K625" s="80"/>
      <c r="L625" s="80"/>
      <c r="M625" s="8"/>
    </row>
    <row r="626" spans="1:13" s="3" customFormat="1" ht="12.2" customHeight="1" x14ac:dyDescent="0.15">
      <c r="A626" s="74"/>
      <c r="B626" s="22"/>
      <c r="C626" s="22"/>
      <c r="D626" s="22"/>
      <c r="E626" s="22"/>
      <c r="F626" s="86" t="s">
        <v>867</v>
      </c>
      <c r="G626" s="80">
        <f>I51</f>
        <v>767650.66</v>
      </c>
      <c r="H626" s="80">
        <f>I477</f>
        <v>767650.65999999957</v>
      </c>
      <c r="I626" s="87" t="s">
        <v>104</v>
      </c>
      <c r="J626" s="80">
        <f t="shared" si="50"/>
        <v>0</v>
      </c>
      <c r="K626" s="80"/>
      <c r="L626" s="80"/>
      <c r="M626" s="8"/>
    </row>
    <row r="627" spans="1:13" s="3" customFormat="1" ht="12.2" customHeight="1" x14ac:dyDescent="0.15">
      <c r="A627" s="21"/>
      <c r="B627" s="22"/>
      <c r="C627" s="22"/>
      <c r="D627" s="22"/>
      <c r="E627" s="22"/>
      <c r="F627" s="86" t="s">
        <v>868</v>
      </c>
      <c r="G627" s="80">
        <f>J51</f>
        <v>1832909.55</v>
      </c>
      <c r="H627" s="80">
        <f>J477</f>
        <v>1832909.55</v>
      </c>
      <c r="I627" s="87" t="s">
        <v>105</v>
      </c>
      <c r="J627" s="80">
        <f t="shared" si="50"/>
        <v>0</v>
      </c>
      <c r="K627" s="67"/>
      <c r="L627" s="69"/>
      <c r="M627" s="8"/>
    </row>
    <row r="628" spans="1:13" s="3" customFormat="1" ht="12.2" customHeight="1" x14ac:dyDescent="0.15">
      <c r="A628" s="21"/>
      <c r="B628" s="22"/>
      <c r="C628" s="22"/>
      <c r="D628" s="22"/>
      <c r="E628" s="22"/>
      <c r="F628" s="86" t="s">
        <v>658</v>
      </c>
      <c r="G628" s="80">
        <f>F194</f>
        <v>62036945.550000004</v>
      </c>
      <c r="H628" s="80">
        <f>SUM(F469)</f>
        <v>62036945.550000004</v>
      </c>
      <c r="I628" s="87" t="s">
        <v>106</v>
      </c>
      <c r="J628" s="80">
        <f>G628-H628</f>
        <v>0</v>
      </c>
      <c r="K628" s="67"/>
      <c r="L628" s="69"/>
      <c r="M628" s="8"/>
    </row>
    <row r="629" spans="1:13" s="3" customFormat="1" ht="12.2" customHeight="1" x14ac:dyDescent="0.15">
      <c r="A629" s="21"/>
      <c r="B629" s="22"/>
      <c r="C629" s="22"/>
      <c r="D629" s="22"/>
      <c r="E629" s="22"/>
      <c r="F629" s="86" t="s">
        <v>659</v>
      </c>
      <c r="G629" s="80">
        <f>G194</f>
        <v>1042987.1099999999</v>
      </c>
      <c r="H629" s="80">
        <f>SUM(G469)</f>
        <v>1042987.1099999999</v>
      </c>
      <c r="I629" s="87" t="s">
        <v>107</v>
      </c>
      <c r="J629" s="80">
        <f>G629-H629</f>
        <v>0</v>
      </c>
      <c r="K629" s="67"/>
      <c r="L629" s="69"/>
      <c r="M629" s="8"/>
    </row>
    <row r="630" spans="1:13" s="3" customFormat="1" ht="12.2" customHeight="1" x14ac:dyDescent="0.15">
      <c r="A630" s="21"/>
      <c r="B630" s="22"/>
      <c r="C630" s="22"/>
      <c r="D630" s="22"/>
      <c r="E630" s="22"/>
      <c r="F630" s="86" t="s">
        <v>660</v>
      </c>
      <c r="G630" s="80">
        <f>H194</f>
        <v>1740808.38</v>
      </c>
      <c r="H630" s="80">
        <f>SUM(H469)</f>
        <v>1740808.38</v>
      </c>
      <c r="I630" s="87" t="s">
        <v>108</v>
      </c>
      <c r="J630" s="80">
        <f>G630-H630</f>
        <v>0</v>
      </c>
      <c r="K630" s="67"/>
      <c r="L630" s="69"/>
      <c r="M630" s="8"/>
    </row>
    <row r="631" spans="1:13" s="3" customFormat="1" ht="12.2" customHeight="1" x14ac:dyDescent="0.15">
      <c r="A631" s="21"/>
      <c r="B631" s="22"/>
      <c r="C631" s="22"/>
      <c r="D631" s="22"/>
      <c r="E631" s="22"/>
      <c r="F631" s="86" t="s">
        <v>661</v>
      </c>
      <c r="G631" s="80">
        <f>I194</f>
        <v>4931.91</v>
      </c>
      <c r="H631" s="80">
        <f>SUM(I469)</f>
        <v>4931.91</v>
      </c>
      <c r="I631" s="87" t="s">
        <v>109</v>
      </c>
      <c r="J631" s="80">
        <f>G631-H631</f>
        <v>0</v>
      </c>
      <c r="K631" s="67"/>
      <c r="L631" s="69"/>
      <c r="M631" s="8"/>
    </row>
    <row r="632" spans="1:13" s="3" customFormat="1" ht="12.2" customHeight="1" x14ac:dyDescent="0.15">
      <c r="A632" s="21"/>
      <c r="B632" s="22"/>
      <c r="C632" s="22"/>
      <c r="D632" s="22"/>
      <c r="E632" s="22"/>
      <c r="F632" s="86" t="s">
        <v>662</v>
      </c>
      <c r="G632" s="80">
        <f>J194</f>
        <v>20402.259999999998</v>
      </c>
      <c r="H632" s="80">
        <f>SUM(J469)</f>
        <v>20402.259999999998</v>
      </c>
      <c r="I632" s="87" t="s">
        <v>110</v>
      </c>
      <c r="J632" s="80">
        <f>G632-H632</f>
        <v>0</v>
      </c>
      <c r="K632" s="67"/>
      <c r="L632" s="69"/>
      <c r="M632" s="8"/>
    </row>
    <row r="633" spans="1:13" s="3" customFormat="1" ht="12.2" customHeight="1" x14ac:dyDescent="0.15">
      <c r="A633" s="21"/>
      <c r="B633" s="22"/>
      <c r="C633" s="22"/>
      <c r="D633" s="22"/>
      <c r="E633" s="22"/>
      <c r="F633" s="86" t="s">
        <v>394</v>
      </c>
      <c r="G633" s="80">
        <f>SUM(L272)</f>
        <v>63207817.326263785</v>
      </c>
      <c r="H633" s="80">
        <f>SUM(F473)</f>
        <v>63207817.329999998</v>
      </c>
      <c r="I633" s="87" t="s">
        <v>111</v>
      </c>
      <c r="J633" s="80">
        <f t="shared" si="50"/>
        <v>-3.7362128496170044E-3</v>
      </c>
      <c r="K633" s="67"/>
      <c r="L633" s="69"/>
      <c r="M633" s="8"/>
    </row>
    <row r="634" spans="1:13" s="3" customFormat="1" ht="12.2" customHeight="1" x14ac:dyDescent="0.15">
      <c r="A634" s="21"/>
      <c r="B634" s="22"/>
      <c r="C634" s="22"/>
      <c r="D634" s="22"/>
      <c r="E634" s="22"/>
      <c r="F634" s="86" t="s">
        <v>395</v>
      </c>
      <c r="G634" s="80">
        <f>SUM(L353)</f>
        <v>1827651.8</v>
      </c>
      <c r="H634" s="80">
        <f>SUM(H473)</f>
        <v>1827651.8</v>
      </c>
      <c r="I634" s="87" t="s">
        <v>112</v>
      </c>
      <c r="J634" s="80">
        <f>G634-H634</f>
        <v>0</v>
      </c>
      <c r="K634" s="67"/>
      <c r="L634" s="69"/>
      <c r="M634" s="8"/>
    </row>
    <row r="635" spans="1:13" s="124" customFormat="1" ht="12.2" customHeight="1" x14ac:dyDescent="0.15">
      <c r="A635" s="21"/>
      <c r="B635" s="22"/>
      <c r="C635" s="22"/>
      <c r="D635" s="22"/>
      <c r="E635" s="22"/>
      <c r="F635" s="99" t="s">
        <v>247</v>
      </c>
      <c r="G635" s="80">
        <f>I363</f>
        <v>433643.17000000004</v>
      </c>
      <c r="H635" s="80">
        <f>I370</f>
        <v>433643.17</v>
      </c>
      <c r="I635" s="100" t="s">
        <v>248</v>
      </c>
      <c r="J635" s="80">
        <f>G635-H635</f>
        <v>0</v>
      </c>
      <c r="K635" s="67"/>
      <c r="L635" s="69"/>
      <c r="M635" s="123"/>
    </row>
    <row r="636" spans="1:13" s="124" customFormat="1" ht="12.2" customHeight="1" x14ac:dyDescent="0.15">
      <c r="A636" s="21"/>
      <c r="B636" s="22"/>
      <c r="C636" s="22"/>
      <c r="D636" s="22"/>
      <c r="E636" s="22"/>
      <c r="F636" s="86" t="s">
        <v>113</v>
      </c>
      <c r="G636" s="80">
        <f>SUM(L363)</f>
        <v>908656.71</v>
      </c>
      <c r="H636" s="80">
        <f>SUM(G473)</f>
        <v>908656.71</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68116.5</v>
      </c>
      <c r="H637" s="80">
        <f>SUM(I473)</f>
        <v>68116.5</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20402.260000000002</v>
      </c>
      <c r="H638" s="108">
        <f>SUM(J469)</f>
        <v>20402.259999999998</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156000</v>
      </c>
      <c r="H639" s="108">
        <f>SUM(J473)</f>
        <v>156000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265441.83</v>
      </c>
      <c r="H640" s="80">
        <f>SUM(F462)</f>
        <v>265441.83</v>
      </c>
      <c r="I640" s="87" t="s">
        <v>840</v>
      </c>
      <c r="J640" s="80">
        <f t="shared" si="50"/>
        <v>0</v>
      </c>
      <c r="K640" s="67"/>
      <c r="L640" s="69"/>
      <c r="M640" s="8"/>
    </row>
    <row r="641" spans="1:13" s="3" customFormat="1" ht="12.2" customHeight="1" x14ac:dyDescent="0.15">
      <c r="A641" s="21"/>
      <c r="B641" s="22"/>
      <c r="C641" s="22"/>
      <c r="D641" s="22"/>
      <c r="E641" s="22"/>
      <c r="F641" s="86" t="s">
        <v>119</v>
      </c>
      <c r="G641" s="80">
        <f>SUM(G447)</f>
        <v>1567467.72</v>
      </c>
      <c r="H641" s="80">
        <f>SUM(G462)</f>
        <v>1567467.72</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1832909.55</v>
      </c>
      <c r="H643" s="80">
        <f>SUM(I462)</f>
        <v>1832909.55</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20402.259999999998</v>
      </c>
      <c r="H645" s="80">
        <f>H409</f>
        <v>20402.260000000002</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20402.259999999998</v>
      </c>
      <c r="H647" s="80">
        <f>L409</f>
        <v>20402.260000000002</v>
      </c>
      <c r="I647" s="87" t="s">
        <v>477</v>
      </c>
      <c r="J647" s="80">
        <f t="shared" si="50"/>
        <v>0</v>
      </c>
      <c r="K647" s="67"/>
      <c r="L647" s="69"/>
      <c r="M647" s="8"/>
    </row>
    <row r="648" spans="1:13" s="3" customFormat="1" ht="12.2" customHeight="1" x14ac:dyDescent="0.15">
      <c r="A648" s="21"/>
      <c r="B648" s="22"/>
      <c r="C648" s="22"/>
      <c r="D648" s="22"/>
      <c r="E648" s="22"/>
      <c r="F648" s="86" t="s">
        <v>51</v>
      </c>
      <c r="G648" s="80">
        <f>K599</f>
        <v>3142549.0799999996</v>
      </c>
      <c r="H648" s="80">
        <f>L209+L227+L245</f>
        <v>3142549.0794210858</v>
      </c>
      <c r="I648" s="87" t="s">
        <v>396</v>
      </c>
      <c r="J648" s="80">
        <f t="shared" si="50"/>
        <v>5.7891383767127991E-4</v>
      </c>
      <c r="K648" s="67"/>
      <c r="L648" s="69"/>
      <c r="M648" s="8"/>
    </row>
    <row r="649" spans="1:13" s="3" customFormat="1" ht="12.2" customHeight="1" x14ac:dyDescent="0.15">
      <c r="A649" s="21"/>
      <c r="B649" s="22"/>
      <c r="C649" s="22"/>
      <c r="D649" s="22"/>
      <c r="E649" s="22"/>
      <c r="F649" s="86" t="s">
        <v>52</v>
      </c>
      <c r="G649" s="80">
        <f>K606</f>
        <v>831533.31</v>
      </c>
      <c r="H649" s="80">
        <f>(J258+J339)-(J256+J337)</f>
        <v>831533.31</v>
      </c>
      <c r="I649" s="87" t="s">
        <v>699</v>
      </c>
      <c r="J649" s="80">
        <f t="shared" si="50"/>
        <v>0</v>
      </c>
      <c r="K649" s="67"/>
      <c r="L649" s="69"/>
      <c r="M649" s="8"/>
    </row>
    <row r="650" spans="1:13" s="3" customFormat="1" ht="12.2" customHeight="1" x14ac:dyDescent="0.15">
      <c r="A650" s="21"/>
      <c r="B650" s="22"/>
      <c r="C650" s="22"/>
      <c r="D650" s="22"/>
      <c r="E650" s="22"/>
      <c r="F650" s="86" t="s">
        <v>387</v>
      </c>
      <c r="G650" s="80">
        <f>L209</f>
        <v>0</v>
      </c>
      <c r="H650" s="80">
        <f>H599</f>
        <v>0</v>
      </c>
      <c r="I650" s="87" t="s">
        <v>388</v>
      </c>
      <c r="J650" s="80">
        <f t="shared" si="50"/>
        <v>0</v>
      </c>
      <c r="K650" s="67"/>
      <c r="L650" s="69"/>
      <c r="M650" s="8"/>
    </row>
    <row r="651" spans="1:13" s="3" customFormat="1" ht="12.2" customHeight="1" x14ac:dyDescent="0.15">
      <c r="A651" s="21"/>
      <c r="B651" s="22"/>
      <c r="C651" s="22"/>
      <c r="D651" s="22"/>
      <c r="E651" s="22"/>
      <c r="F651" s="86" t="s">
        <v>392</v>
      </c>
      <c r="G651" s="80">
        <f>L227</f>
        <v>1319563.2773151477</v>
      </c>
      <c r="H651" s="80">
        <f>I599</f>
        <v>1319563.28</v>
      </c>
      <c r="I651" s="87" t="s">
        <v>389</v>
      </c>
      <c r="J651" s="80">
        <f t="shared" si="50"/>
        <v>-2.6848523411899805E-3</v>
      </c>
      <c r="K651" s="67"/>
      <c r="L651" s="69"/>
      <c r="M651" s="8"/>
    </row>
    <row r="652" spans="1:13" s="3" customFormat="1" ht="12.2" customHeight="1" x14ac:dyDescent="0.15">
      <c r="A652" s="21"/>
      <c r="B652" s="22"/>
      <c r="C652" s="22"/>
      <c r="D652" s="22"/>
      <c r="E652" s="22"/>
      <c r="F652" s="86" t="s">
        <v>393</v>
      </c>
      <c r="G652" s="80">
        <f>L245</f>
        <v>1822985.8021059381</v>
      </c>
      <c r="H652" s="80">
        <f>J599</f>
        <v>1822985.8000000003</v>
      </c>
      <c r="I652" s="87" t="s">
        <v>390</v>
      </c>
      <c r="J652" s="80">
        <f t="shared" si="50"/>
        <v>2.1059378050267696E-3</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-3.7361979484558105E-3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0</v>
      </c>
      <c r="G661" s="13">
        <f>(L230+L310+L360)</f>
        <v>25339261.208422635</v>
      </c>
      <c r="H661" s="13">
        <f>(L248+L329+L361)</f>
        <v>35314820.727841146</v>
      </c>
      <c r="I661" s="13">
        <f>SUM(F661:H661)</f>
        <v>60654081.936263785</v>
      </c>
      <c r="J661" s="13"/>
      <c r="K661" s="13"/>
      <c r="L661" s="13"/>
      <c r="M661" s="9"/>
    </row>
    <row r="662" spans="1:13" s="3" customFormat="1" ht="12.2" customHeight="1" x14ac:dyDescent="0.2">
      <c r="A662" s="1" t="s">
        <v>127</v>
      </c>
      <c r="F662" s="13">
        <f>(L359/IF(SUM(L359:L361)=0,1,SUM(L359:L361))*(SUM(G97:G110)))</f>
        <v>0</v>
      </c>
      <c r="G662" s="13">
        <f>(L360/IF(SUM(L359:L361)=0,1,SUM(L359:L361))*(SUM(G97:G110)))</f>
        <v>269968.60536303348</v>
      </c>
      <c r="H662" s="13">
        <f>(L361/IF(SUM(L359:L361)=0,1,SUM(L359:L361))*(SUM(G97:G110)))</f>
        <v>504805.23463696649</v>
      </c>
      <c r="I662" s="13">
        <f>SUM(F662:H662)</f>
        <v>774773.84</v>
      </c>
      <c r="J662"/>
      <c r="K662" s="13"/>
      <c r="L662" s="13"/>
      <c r="M662" s="8"/>
    </row>
    <row r="663" spans="1:13" s="3" customFormat="1" ht="12.2" customHeight="1" x14ac:dyDescent="0.2">
      <c r="A663" s="1" t="s">
        <v>128</v>
      </c>
      <c r="F663" s="13">
        <f>(L209+L288)-(J209+J288)</f>
        <v>0</v>
      </c>
      <c r="G663" s="13">
        <f>(L227+L307)-(J227+J307)</f>
        <v>1319563.2773151477</v>
      </c>
      <c r="H663" s="13">
        <f>(L245+L326)-(J245+J326)</f>
        <v>1822985.8021059381</v>
      </c>
      <c r="I663" s="13">
        <f>SUM(F663:H663)</f>
        <v>3142549.0794210858</v>
      </c>
      <c r="J663"/>
      <c r="K663" s="13"/>
      <c r="L663" s="13"/>
      <c r="M663" s="9"/>
    </row>
    <row r="664" spans="1:13" s="3" customFormat="1" ht="12.2" customHeight="1" x14ac:dyDescent="0.15">
      <c r="A664" s="142" t="s">
        <v>129</v>
      </c>
      <c r="B664" s="124"/>
      <c r="C664" s="124"/>
      <c r="D664" s="124"/>
      <c r="E664" s="124"/>
      <c r="F664" s="143">
        <f>SUM(F576:F588)+SUM(H603:H605)+SUM(L612)</f>
        <v>0</v>
      </c>
      <c r="G664" s="143">
        <f>SUM(G576:G588)+SUM(I603:I605)+L613</f>
        <v>1149862.99</v>
      </c>
      <c r="H664" s="143">
        <f>SUM(H576:H588)+SUM(J603:J605)+L614</f>
        <v>2199786.4600000004</v>
      </c>
      <c r="I664" s="13">
        <f>SUM(F664:H664)</f>
        <v>3349649.45</v>
      </c>
      <c r="J664" s="13"/>
      <c r="K664" s="13"/>
      <c r="L664" s="13"/>
      <c r="M664" s="9"/>
    </row>
    <row r="665" spans="1:13" s="3" customFormat="1" ht="12.2" customHeight="1" x14ac:dyDescent="0.15">
      <c r="A665" s="1" t="s">
        <v>130</v>
      </c>
      <c r="F665" s="13">
        <f>F661-SUM(F662:F664)</f>
        <v>0</v>
      </c>
      <c r="G665" s="13">
        <f>G661-SUM(G662:G664)</f>
        <v>22599866.335744455</v>
      </c>
      <c r="H665" s="13">
        <f>H661-SUM(H662:H664)</f>
        <v>30787243.231098242</v>
      </c>
      <c r="I665" s="13">
        <f>I661-SUM(I662:I664)</f>
        <v>53387109.566842698</v>
      </c>
      <c r="J665" s="13"/>
      <c r="K665" s="13"/>
      <c r="L665" s="13"/>
      <c r="M665" s="8"/>
    </row>
    <row r="666" spans="1:13" s="3" customFormat="1" ht="12.2" customHeight="1" x14ac:dyDescent="0.2">
      <c r="A666" s="1" t="s">
        <v>131</v>
      </c>
      <c r="F666" s="183"/>
      <c r="G666" s="184">
        <v>949.04</v>
      </c>
      <c r="H666" s="184">
        <v>1432.56</v>
      </c>
      <c r="I666" s="13">
        <f>SUM(F666:H666)</f>
        <v>2381.6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f>ROUND(G665/G666,2)</f>
        <v>23813.4</v>
      </c>
      <c r="H668" s="13">
        <f>ROUND(H665/H666,2)</f>
        <v>21491.07</v>
      </c>
      <c r="I668" s="13">
        <f>ROUND(I665/I666,2)</f>
        <v>22416.49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97.78</v>
      </c>
      <c r="I671" s="13">
        <f>SUM(F671:H671)</f>
        <v>97.78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f>ROUND((G665+G670)/(G666+G671),2)</f>
        <v>23813.4</v>
      </c>
      <c r="H673" s="13">
        <f>ROUND((H665+H670)/(H666+H671),2)</f>
        <v>20117.91</v>
      </c>
      <c r="I673" s="13">
        <f>ROUND((I665+I670)/(I666+I671),2)</f>
        <v>21532.44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A4" zoomScaleNormal="100" workbookViewId="0">
      <selection activeCell="E10" sqref="E10"/>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98841.919999999998</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92061.15</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6780.77</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Exeter Region Cooperative</v>
      </c>
      <c r="C5" s="317"/>
      <c r="D5" s="317"/>
      <c r="E5" s="317"/>
      <c r="F5" s="317"/>
    </row>
    <row r="8" spans="1:9" ht="18" x14ac:dyDescent="0.25">
      <c r="A8" s="240" t="s">
        <v>1560</v>
      </c>
      <c r="F8" s="247" t="s">
        <v>1578</v>
      </c>
    </row>
    <row r="9" spans="1:9" ht="15" x14ac:dyDescent="0.2">
      <c r="A9" s="238" t="s">
        <v>1561</v>
      </c>
      <c r="B9" s="241">
        <f>'DOE25'!G97</f>
        <v>693774.82</v>
      </c>
      <c r="F9" s="238" t="s">
        <v>1574</v>
      </c>
    </row>
    <row r="10" spans="1:9" ht="15" x14ac:dyDescent="0.2">
      <c r="A10" s="238" t="s">
        <v>1562</v>
      </c>
      <c r="B10" s="241">
        <f>'DOE25'!G112-'DOE25'!G97</f>
        <v>81073.25</v>
      </c>
      <c r="F10" s="238" t="s">
        <v>1575</v>
      </c>
    </row>
    <row r="11" spans="1:9" ht="15" x14ac:dyDescent="0.2">
      <c r="A11" s="238" t="s">
        <v>1563</v>
      </c>
      <c r="B11" s="241">
        <f>'DOE25'!G140</f>
        <v>11093.85</v>
      </c>
      <c r="F11" s="238" t="s">
        <v>1576</v>
      </c>
    </row>
    <row r="12" spans="1:9" ht="15" x14ac:dyDescent="0.2">
      <c r="A12" s="238" t="s">
        <v>1564</v>
      </c>
      <c r="B12" s="241">
        <f>'DOE25'!G170</f>
        <v>257045.19</v>
      </c>
      <c r="F12" s="238" t="s">
        <v>1577</v>
      </c>
    </row>
    <row r="13" spans="1:9" ht="15" x14ac:dyDescent="0.2">
      <c r="A13" s="238" t="s">
        <v>1565</v>
      </c>
      <c r="B13" s="241">
        <f>'DOE25'!G193-'DOE25'!G180</f>
        <v>0</v>
      </c>
      <c r="F13" s="238" t="s">
        <v>1587</v>
      </c>
    </row>
    <row r="14" spans="1:9" ht="18" x14ac:dyDescent="0.25">
      <c r="A14" s="240" t="s">
        <v>732</v>
      </c>
      <c r="B14" s="242">
        <f>SUM(B9:B13)</f>
        <v>1042987.1099999999</v>
      </c>
    </row>
    <row r="16" spans="1:9" ht="18" x14ac:dyDescent="0.25">
      <c r="A16" s="240" t="s">
        <v>786</v>
      </c>
      <c r="F16" s="247" t="s">
        <v>1579</v>
      </c>
    </row>
    <row r="17" spans="1:6" ht="15" x14ac:dyDescent="0.2">
      <c r="A17" s="238" t="s">
        <v>1566</v>
      </c>
      <c r="B17" s="241">
        <f>'DOE25'!L363-'DOE25'!L362</f>
        <v>908656.71</v>
      </c>
      <c r="F17" s="238" t="s">
        <v>1580</v>
      </c>
    </row>
    <row r="18" spans="1:6" ht="15" x14ac:dyDescent="0.2">
      <c r="A18" s="238" t="s">
        <v>1567</v>
      </c>
      <c r="B18" s="251"/>
      <c r="F18" s="247" t="s">
        <v>1604</v>
      </c>
    </row>
    <row r="19" spans="1:6" ht="18" x14ac:dyDescent="0.25">
      <c r="A19" s="240" t="s">
        <v>725</v>
      </c>
      <c r="B19" s="242">
        <f>SUM(B17:B18)</f>
        <v>908656.71</v>
      </c>
    </row>
    <row r="21" spans="1:6" ht="18.75" thickBot="1" x14ac:dyDescent="0.3">
      <c r="A21" s="240" t="s">
        <v>1568</v>
      </c>
    </row>
    <row r="22" spans="1:6" ht="18.75" thickTop="1" x14ac:dyDescent="0.25">
      <c r="A22" s="240" t="s">
        <v>1569</v>
      </c>
      <c r="B22" s="246">
        <f>B14-B19</f>
        <v>134330.39999999991</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568329.09999999974</v>
      </c>
      <c r="F31" s="238" t="s">
        <v>1584</v>
      </c>
    </row>
    <row r="33" spans="1:6" ht="15" x14ac:dyDescent="0.2">
      <c r="A33" s="238" t="s">
        <v>1798</v>
      </c>
      <c r="B33" s="241">
        <f>'DOE25'!G477</f>
        <v>675146.54999999958</v>
      </c>
      <c r="F33" s="238" t="s">
        <v>1585</v>
      </c>
    </row>
    <row r="36" spans="1:6" ht="15" x14ac:dyDescent="0.2">
      <c r="A36" s="238" t="s">
        <v>1571</v>
      </c>
      <c r="B36" s="252">
        <v>71540.77</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M38" sqref="M3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Exeter Region Cooperative</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14893741.609999998</v>
      </c>
      <c r="C9" s="167">
        <f>'DOE25'!G198+'DOE25'!G216+'DOE25'!G234+'DOE25'!G277+'DOE25'!G296+'DOE25'!G315</f>
        <v>7126086.7358148787</v>
      </c>
    </row>
    <row r="10" spans="1:3" x14ac:dyDescent="0.2">
      <c r="A10" t="s">
        <v>775</v>
      </c>
      <c r="B10" s="177">
        <v>14557493.1</v>
      </c>
      <c r="C10" s="177">
        <v>6965204.6600000001</v>
      </c>
    </row>
    <row r="11" spans="1:3" x14ac:dyDescent="0.2">
      <c r="A11" t="s">
        <v>776</v>
      </c>
      <c r="B11" s="177">
        <v>51869.84</v>
      </c>
      <c r="C11" s="177">
        <v>24817.74</v>
      </c>
    </row>
    <row r="12" spans="1:3" x14ac:dyDescent="0.2">
      <c r="A12" t="s">
        <v>777</v>
      </c>
      <c r="B12" s="177">
        <v>284378.67</v>
      </c>
      <c r="C12" s="177">
        <v>136064.34</v>
      </c>
    </row>
    <row r="13" spans="1:3" x14ac:dyDescent="0.2">
      <c r="A13" t="str">
        <f>IF(B9=B13,IF(C9=C13,"Check Total OK","Check Total Error"),"Check Total Error")</f>
        <v>Check Total Error</v>
      </c>
      <c r="B13" s="169">
        <f>SUM(B10:B12)</f>
        <v>14893741.609999999</v>
      </c>
      <c r="C13" s="169">
        <f>SUM(C10:C12)</f>
        <v>7126086.7400000002</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5161467.93</v>
      </c>
      <c r="C18" s="167">
        <f>'DOE25'!G199+'DOE25'!G217+'DOE25'!G235+'DOE25'!G278+'DOE25'!G297+'DOE25'!G316</f>
        <v>2543280.4400000004</v>
      </c>
    </row>
    <row r="19" spans="1:3" x14ac:dyDescent="0.2">
      <c r="A19" t="s">
        <v>775</v>
      </c>
      <c r="B19" s="177">
        <v>2965673.36</v>
      </c>
      <c r="C19" s="177">
        <v>1461316.65</v>
      </c>
    </row>
    <row r="20" spans="1:3" x14ac:dyDescent="0.2">
      <c r="A20" t="s">
        <v>776</v>
      </c>
      <c r="B20" s="177">
        <v>1485990.37</v>
      </c>
      <c r="C20" s="177">
        <v>732212.29</v>
      </c>
    </row>
    <row r="21" spans="1:3" x14ac:dyDescent="0.2">
      <c r="A21" t="s">
        <v>777</v>
      </c>
      <c r="B21" s="177">
        <v>709804.2</v>
      </c>
      <c r="C21" s="177">
        <v>349751.5</v>
      </c>
    </row>
    <row r="22" spans="1:3" x14ac:dyDescent="0.2">
      <c r="A22" t="str">
        <f>IF(B18=B22,IF(C18=C22,"Check Total OK","Check Total Error"),"Check Total Error")</f>
        <v>Check Total OK</v>
      </c>
      <c r="B22" s="169">
        <f>SUM(B19:B21)</f>
        <v>5161467.9300000006</v>
      </c>
      <c r="C22" s="169">
        <f>SUM(C19:C21)</f>
        <v>2543280.44</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1920615.72</v>
      </c>
      <c r="C27" s="172">
        <f>'DOE25'!G200+'DOE25'!G218+'DOE25'!G236+'DOE25'!G279+'DOE25'!G298+'DOE25'!G317</f>
        <v>923584.04</v>
      </c>
    </row>
    <row r="28" spans="1:3" x14ac:dyDescent="0.2">
      <c r="A28" t="s">
        <v>775</v>
      </c>
      <c r="B28" s="177">
        <v>1297647.21</v>
      </c>
      <c r="C28" s="177">
        <v>624011.48</v>
      </c>
    </row>
    <row r="29" spans="1:3" x14ac:dyDescent="0.2">
      <c r="A29" t="s">
        <v>776</v>
      </c>
      <c r="B29" s="177">
        <v>151660.21</v>
      </c>
      <c r="C29" s="177">
        <v>72930.23</v>
      </c>
    </row>
    <row r="30" spans="1:3" x14ac:dyDescent="0.2">
      <c r="A30" t="s">
        <v>777</v>
      </c>
      <c r="B30" s="177">
        <v>471308.3</v>
      </c>
      <c r="C30" s="177">
        <v>226642.33</v>
      </c>
    </row>
    <row r="31" spans="1:3" x14ac:dyDescent="0.2">
      <c r="A31" t="str">
        <f>IF(B27=B31,IF(C27=C31,"Check Total OK","Check Total Error"),"Check Total Error")</f>
        <v>Check Total OK</v>
      </c>
      <c r="B31" s="169">
        <f>SUM(B28:B30)</f>
        <v>1920615.72</v>
      </c>
      <c r="C31" s="169">
        <f>SUM(C28:C30)</f>
        <v>923584.03999999992</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719552.61</v>
      </c>
      <c r="C36" s="173">
        <f>'DOE25'!G201+'DOE25'!G219+'DOE25'!G237+'DOE25'!G280+'DOE25'!G299+'DOE25'!G318</f>
        <v>344722.57767317141</v>
      </c>
    </row>
    <row r="37" spans="1:3" x14ac:dyDescent="0.2">
      <c r="A37" t="s">
        <v>775</v>
      </c>
      <c r="B37" s="177"/>
      <c r="C37" s="177"/>
    </row>
    <row r="38" spans="1:3" x14ac:dyDescent="0.2">
      <c r="A38" t="s">
        <v>776</v>
      </c>
      <c r="B38" s="177"/>
      <c r="C38" s="177"/>
    </row>
    <row r="39" spans="1:3" x14ac:dyDescent="0.2">
      <c r="A39" t="s">
        <v>777</v>
      </c>
      <c r="B39" s="177">
        <v>719552.61</v>
      </c>
      <c r="C39" s="177">
        <v>344722.58</v>
      </c>
    </row>
    <row r="40" spans="1:3" x14ac:dyDescent="0.2">
      <c r="A40" t="str">
        <f>IF(B36=B40,IF(C36=C40,"Check Total OK","Check Total Error"),"Check Total Error")</f>
        <v>Check Total Error</v>
      </c>
      <c r="B40" s="169">
        <f>SUM(B37:B39)</f>
        <v>719552.61</v>
      </c>
      <c r="C40" s="169">
        <f>SUM(C37:C39)</f>
        <v>344722.58</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Exeter Region Cooperative</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37327172.263488054</v>
      </c>
      <c r="D5" s="19">
        <f>SUM('DOE25'!L198:L201)+SUM('DOE25'!L216:L219)+SUM('DOE25'!L234:L237)-F5-G5-H5</f>
        <v>37176468.503488056</v>
      </c>
      <c r="E5" s="180"/>
      <c r="F5" s="181"/>
      <c r="G5" s="19">
        <f>SUM('DOE25'!J198:J201)+SUM('DOE25'!J216:J219)+SUM('DOE25'!J234:J237)</f>
        <v>122843.98</v>
      </c>
      <c r="H5" s="19">
        <f>SUM('DOE25'!K198:K201)+SUM('DOE25'!K216:K219)+SUM('DOE25'!K234:K237)</f>
        <v>27859.78</v>
      </c>
      <c r="I5" s="192"/>
    </row>
    <row r="6" spans="1:9" x14ac:dyDescent="0.2">
      <c r="A6" s="31">
        <v>2100</v>
      </c>
      <c r="B6" t="s">
        <v>796</v>
      </c>
      <c r="C6" s="206">
        <f t="shared" si="0"/>
        <v>4681099.2677715458</v>
      </c>
      <c r="D6" s="19">
        <f>'DOE25'!L203+'DOE25'!L221+'DOE25'!L239-F6-G6-H6</f>
        <v>4680098.2677715458</v>
      </c>
      <c r="E6" s="180"/>
      <c r="F6" s="181"/>
      <c r="G6" s="19">
        <f>'DOE25'!J203+'DOE25'!J221+'DOE25'!J239</f>
        <v>1001</v>
      </c>
      <c r="H6" s="19">
        <f>'DOE25'!K203+'DOE25'!K221+'DOE25'!K239</f>
        <v>0</v>
      </c>
      <c r="I6" s="192"/>
    </row>
    <row r="7" spans="1:9" x14ac:dyDescent="0.2">
      <c r="A7" s="31">
        <v>2200</v>
      </c>
      <c r="B7" t="s">
        <v>820</v>
      </c>
      <c r="C7" s="206">
        <f t="shared" si="0"/>
        <v>3249688.0800000005</v>
      </c>
      <c r="D7" s="19">
        <f>'DOE25'!L204+'DOE25'!L222+'DOE25'!L240-F7-G7-H7</f>
        <v>2533892.8700000006</v>
      </c>
      <c r="E7" s="180"/>
      <c r="F7" s="181">
        <v>66844.759999999995</v>
      </c>
      <c r="G7" s="19">
        <f>'DOE25'!J204+'DOE25'!J222+'DOE25'!J240</f>
        <v>590767.55000000005</v>
      </c>
      <c r="H7" s="19">
        <f>'DOE25'!K204+'DOE25'!K222+'DOE25'!K240</f>
        <v>58182.9</v>
      </c>
      <c r="I7" s="192"/>
    </row>
    <row r="8" spans="1:9" x14ac:dyDescent="0.2">
      <c r="A8" s="31">
        <v>2300</v>
      </c>
      <c r="B8" t="s">
        <v>797</v>
      </c>
      <c r="C8" s="206">
        <f t="shared" si="0"/>
        <v>1566114.8843411373</v>
      </c>
      <c r="D8" s="180"/>
      <c r="E8" s="19">
        <f>'DOE25'!L205+'DOE25'!L223+'DOE25'!L241-F8-G8-H8-D9-D11</f>
        <v>1566114.8843411373</v>
      </c>
      <c r="F8" s="181"/>
      <c r="G8" s="19">
        <f>'DOE25'!J205+'DOE25'!J223+'DOE25'!J241</f>
        <v>0</v>
      </c>
      <c r="H8" s="19">
        <f>'DOE25'!K205+'DOE25'!K223+'DOE25'!K241</f>
        <v>0</v>
      </c>
      <c r="I8" s="192"/>
    </row>
    <row r="9" spans="1:9" ht="14.25" x14ac:dyDescent="0.2">
      <c r="A9" s="31">
        <v>2310</v>
      </c>
      <c r="B9" s="71" t="s">
        <v>887</v>
      </c>
      <c r="C9" s="206">
        <f t="shared" si="0"/>
        <v>77205.070000000007</v>
      </c>
      <c r="D9" s="181">
        <v>77205.070000000007</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2738240.8909326335</v>
      </c>
      <c r="D12" s="19">
        <f>'DOE25'!L206+'DOE25'!L224+'DOE25'!L242-F12-G12-H12</f>
        <v>2664292.1309326333</v>
      </c>
      <c r="E12" s="180"/>
      <c r="F12" s="181">
        <v>57774.89</v>
      </c>
      <c r="G12" s="19">
        <f>'DOE25'!J206+'DOE25'!J224+'DOE25'!J242</f>
        <v>4903.74</v>
      </c>
      <c r="H12" s="19">
        <f>'DOE25'!K206+'DOE25'!K224+'DOE25'!K242</f>
        <v>11270.130000000001</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5453345.150309328</v>
      </c>
      <c r="D14" s="19">
        <f>'DOE25'!L208+'DOE25'!L226+'DOE25'!L244-F14-G14-H14</f>
        <v>5390056.0603093281</v>
      </c>
      <c r="E14" s="180"/>
      <c r="F14" s="181">
        <v>47520</v>
      </c>
      <c r="G14" s="19">
        <f>'DOE25'!J208+'DOE25'!J226+'DOE25'!J244</f>
        <v>15769.09</v>
      </c>
      <c r="H14" s="19">
        <f>'DOE25'!K208+'DOE25'!K226+'DOE25'!K244</f>
        <v>0</v>
      </c>
      <c r="I14" s="192"/>
    </row>
    <row r="15" spans="1:9" x14ac:dyDescent="0.2">
      <c r="A15" s="31">
        <v>2700</v>
      </c>
      <c r="B15" t="s">
        <v>799</v>
      </c>
      <c r="C15" s="206">
        <f t="shared" si="0"/>
        <v>3142549.0794210858</v>
      </c>
      <c r="D15" s="19">
        <f>'DOE25'!L209+'DOE25'!L227+'DOE25'!L245-F15-G15-H15</f>
        <v>1797538.6494210858</v>
      </c>
      <c r="E15" s="180"/>
      <c r="F15" s="181">
        <v>1345010.43</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263562.64</v>
      </c>
      <c r="D17" s="19">
        <f>'DOE25'!L252-F17-G17-H17</f>
        <v>263562.64</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4546340</v>
      </c>
      <c r="D25" s="180"/>
      <c r="E25" s="180"/>
      <c r="F25" s="191"/>
      <c r="G25" s="180"/>
      <c r="H25" s="180"/>
      <c r="I25" s="190">
        <f>'DOE25'!L261+'DOE25'!L262+'DOE25'!L342+'DOE25'!L343</f>
        <v>4546340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510140.25</v>
      </c>
      <c r="D29" s="212">
        <f>'DOE25'!L359+'DOE25'!L360+'DOE25'!L361-'DOE25'!I368-F29-G29-H29-F39</f>
        <v>469940.65</v>
      </c>
      <c r="E29" s="180"/>
      <c r="F29" s="180"/>
      <c r="G29" s="19">
        <f>'DOE25'!J359+'DOE25'!J360+'DOE25'!J361</f>
        <v>13806.050000000001</v>
      </c>
      <c r="H29" s="19">
        <f>'DOE25'!K359+'DOE25'!K360+'DOE25'!K361</f>
        <v>26393.55</v>
      </c>
      <c r="I29" s="192"/>
    </row>
    <row r="30" spans="1:9" x14ac:dyDescent="0.2">
      <c r="A30" s="31"/>
      <c r="C30" s="207"/>
      <c r="D30" s="19"/>
      <c r="F30" s="201"/>
      <c r="G30" s="19"/>
      <c r="H30" s="19"/>
      <c r="I30" s="192"/>
    </row>
    <row r="31" spans="1:9" x14ac:dyDescent="0.2">
      <c r="A31" s="31" t="s">
        <v>817</v>
      </c>
      <c r="B31" t="s">
        <v>816</v>
      </c>
      <c r="C31" s="206">
        <f>SUM(D31:I31)</f>
        <v>1827651.8</v>
      </c>
      <c r="D31" s="19">
        <f>'DOE25'!L291+'DOE25'!L310+'DOE25'!L329+'DOE25'!L334+'DOE25'!L335+'DOE25'!L336-F31-G31-H31</f>
        <v>1693570.76</v>
      </c>
      <c r="E31" s="180"/>
      <c r="F31" s="181"/>
      <c r="G31" s="19">
        <f>'DOE25'!J291+'DOE25'!J310+'DOE25'!J329+'DOE25'!J334+'DOE25'!J335+'DOE25'!J336</f>
        <v>96247.950000000012</v>
      </c>
      <c r="H31" s="19">
        <f>'DOE25'!K291+'DOE25'!K310+'DOE25'!K329+'DOE25'!K334+'DOE25'!K335+'DOE25'!K336</f>
        <v>37833.089999999997</v>
      </c>
      <c r="I31" s="192"/>
    </row>
    <row r="32" spans="1:9" ht="12" thickBot="1" x14ac:dyDescent="0.25">
      <c r="C32" s="207"/>
      <c r="G32" s="188"/>
      <c r="H32" s="188"/>
      <c r="I32" s="194"/>
    </row>
    <row r="33" spans="1:9" ht="12" thickTop="1" x14ac:dyDescent="0.2">
      <c r="B33" t="s">
        <v>809</v>
      </c>
      <c r="D33" s="182">
        <f t="shared" ref="D33:I33" si="1">SUM(D5:D31)</f>
        <v>56746625.601922654</v>
      </c>
      <c r="E33" s="182">
        <f t="shared" si="1"/>
        <v>1566114.8843411373</v>
      </c>
      <c r="F33" s="182">
        <f t="shared" si="1"/>
        <v>1517150.0799999998</v>
      </c>
      <c r="G33" s="182">
        <f t="shared" si="1"/>
        <v>845339.3600000001</v>
      </c>
      <c r="H33" s="182">
        <f t="shared" si="1"/>
        <v>161539.45000000001</v>
      </c>
      <c r="I33" s="182">
        <f t="shared" si="1"/>
        <v>4546340</v>
      </c>
    </row>
    <row r="34" spans="1:9" ht="12" thickBot="1" x14ac:dyDescent="0.25"/>
    <row r="35" spans="1:9" ht="12" thickBot="1" x14ac:dyDescent="0.25">
      <c r="B35" s="188" t="s">
        <v>830</v>
      </c>
      <c r="D35" s="189">
        <f>E33</f>
        <v>1566114.8843411373</v>
      </c>
      <c r="E35" s="185"/>
      <c r="F35" s="295" t="s">
        <v>1608</v>
      </c>
      <c r="G35" s="296"/>
      <c r="H35" s="296"/>
      <c r="I35" s="297"/>
    </row>
    <row r="36" spans="1:9" ht="12" thickTop="1" x14ac:dyDescent="0.2">
      <c r="B36" t="s">
        <v>810</v>
      </c>
      <c r="D36" s="19">
        <f>D33</f>
        <v>56746625.601922654</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4" zoomScale="80" zoomScaleNormal="80" workbookViewId="0">
      <selection activeCell="I50" sqref="I5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Exeter Region Cooperative</v>
      </c>
      <c r="B2">
        <f>'DOE25'!B2</f>
        <v>172</v>
      </c>
      <c r="J2" s="224" t="s">
        <v>1808</v>
      </c>
      <c r="K2" s="309">
        <f>SUM('DOE25'!L198:L201)+SUM('DOE25'!L216:L219)+SUM('DOE25'!L234:L237)+SUM('DOE25'!L277:L280)+SUM('DOE25'!L296:L299)+SUM('DOE25'!L315:L318)</f>
        <v>38393095.503488056</v>
      </c>
      <c r="L2" s="309">
        <f>'DOE25'!L203+'DOE25'!L221+'DOE25'!L239+'DOE25'!L282+'DOE25'!L301+'DOE25'!L320</f>
        <v>4767942.5877715461</v>
      </c>
      <c r="M2" s="309">
        <f>'DOE25'!L204+'DOE25'!L222+'DOE25'!L240+'DOE25'!L283+'DOE25'!L302+'DOE25'!L321</f>
        <v>3551994.39</v>
      </c>
      <c r="N2" s="309">
        <f>'DOE25'!L206+'DOE25'!L224+'DOE25'!L242+'DOE25'!L285+'DOE25'!L304+'DOE25'!L323</f>
        <v>2738240.8909326335</v>
      </c>
      <c r="O2" s="309">
        <f>'Salaries-Benefits'!B10+'Salaries-Benefits'!B12+'Salaries-Benefits'!B19+'Salaries-Benefits'!B21+'Salaries-Benefits'!B28+'Salaries-Benefits'!B30+'Salaries-Benefits'!B37+'Salaries-Benefits'!B39</f>
        <v>21005857.449999999</v>
      </c>
      <c r="P2" s="309">
        <f>'Salaries-Benefits'!B11+'Salaries-Benefits'!B20+'Salaries-Benefits'!B29+'Salaries-Benefits'!B38</f>
        <v>1689520.4200000002</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-38393095.503488056</v>
      </c>
      <c r="L3" s="311">
        <f t="shared" ref="L3:P3" si="0">L21+L33+L43-L2</f>
        <v>-4767942.5877715461</v>
      </c>
      <c r="M3" s="311">
        <f t="shared" si="0"/>
        <v>-3551994.39</v>
      </c>
      <c r="N3" s="311">
        <f t="shared" si="0"/>
        <v>-2738240.8909326335</v>
      </c>
      <c r="O3" s="311">
        <f t="shared" si="0"/>
        <v>-21005857.449999999</v>
      </c>
      <c r="P3" s="311">
        <f t="shared" si="0"/>
        <v>-1689520.4200000002</v>
      </c>
      <c r="Q3" s="310"/>
      <c r="R3" s="306"/>
      <c r="S3" s="215"/>
      <c r="T3" s="215"/>
      <c r="U3" s="216"/>
    </row>
    <row r="4" spans="1:21" ht="55.5" customHeight="1" thickBot="1" x14ac:dyDescent="0.25">
      <c r="A4" s="224" t="s">
        <v>1522</v>
      </c>
      <c r="B4" s="224" t="s">
        <v>1523</v>
      </c>
      <c r="C4" s="224" t="s">
        <v>896</v>
      </c>
      <c r="D4" s="224" t="s">
        <v>786</v>
      </c>
      <c r="E4" s="224" t="s">
        <v>786</v>
      </c>
      <c r="F4" s="228">
        <f>SUM(F5:F20)</f>
        <v>0</v>
      </c>
      <c r="G4" s="229">
        <f>'DOE25'!L212+'DOE25'!L291</f>
        <v>0</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
      </c>
      <c r="B6" s="230" t="str">
        <f>IFERROR(VLOOKUP(A6,'School Tables'!$C$3:$D$365,2,FALSE),"")</f>
        <v/>
      </c>
      <c r="C6" s="223" t="str">
        <f>IFERROR(INDEX('School Tables'!$B$3:$B$365,MATCH('School Level Expenditures'!B6,'School Tables'!$D$3:$D$365,0)),"")</f>
        <v/>
      </c>
      <c r="D6" s="220"/>
      <c r="E6" s="220"/>
      <c r="F6" s="232">
        <f t="shared" ref="F6:F20" si="1">D6+E6</f>
        <v>0</v>
      </c>
      <c r="G6" s="223"/>
      <c r="H6" s="223"/>
      <c r="J6" t="str">
        <f>A6</f>
        <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0</v>
      </c>
      <c r="E21" s="262">
        <f>SUM(E5:E20)</f>
        <v>0</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25022641.349999998</v>
      </c>
      <c r="G24" s="229">
        <f>'DOE25'!L230+'DOE25'!L310</f>
        <v>25022641.348422635</v>
      </c>
      <c r="H24" s="264">
        <f>F24-G24</f>
        <v>1.5773624181747437E-3</v>
      </c>
      <c r="I24" s="313" t="str">
        <f>IF(H24=0,"","ISSUES!! Please review pages 8 and 12 totals in comparison with total on this page")</f>
        <v>ISSUES!! Please review pages 8 and 12 totals in comparison with total on this page</v>
      </c>
      <c r="J24" s="224" t="s">
        <v>1536</v>
      </c>
      <c r="K24" s="224"/>
      <c r="L24" s="224"/>
      <c r="M24" s="224" t="str">
        <f>IF(H24=0,"","ISSUES!! Please review page 8 and 12 totals in comparison with total on this page")</f>
        <v>ISSUES!! Please review page 8 and 12 totals in comparison with total on this page</v>
      </c>
      <c r="N24" s="224"/>
      <c r="O24" s="224"/>
      <c r="P24" s="224"/>
      <c r="Q24" s="224"/>
    </row>
    <row r="25" spans="1:17" x14ac:dyDescent="0.2">
      <c r="A25" t="s">
        <v>1540</v>
      </c>
      <c r="B25" s="230">
        <v>99999</v>
      </c>
      <c r="C25" s="223" t="s">
        <v>1540</v>
      </c>
      <c r="D25" s="220">
        <v>703324.93</v>
      </c>
      <c r="E25" s="220"/>
      <c r="F25" s="232">
        <f>D25+E25</f>
        <v>703324.93</v>
      </c>
      <c r="G25" s="223"/>
      <c r="H25" s="223"/>
      <c r="J25" s="223"/>
      <c r="K25" s="223"/>
      <c r="L25" s="224"/>
      <c r="M25" s="223"/>
      <c r="N25" s="223"/>
      <c r="O25" s="223"/>
      <c r="P25" s="223"/>
      <c r="Q25" s="223"/>
    </row>
    <row r="26" spans="1:17" x14ac:dyDescent="0.2">
      <c r="A26" t="str" cm="1">
        <f t="array" ref="A26">IFERROR(INDEX('School Tables'!$L$4:$R$75,'School Tables'!$U4,3),"")</f>
        <v>Cooperative Middle School</v>
      </c>
      <c r="B26" s="230">
        <f>IFERROR(VLOOKUP(A26,'School Tables'!$N$4:$O$75,2,FALSE),"")</f>
        <v>20590</v>
      </c>
      <c r="C26" s="223" t="str">
        <f>IFERROR(INDEX('School Tables'!$M$4:$M$75,MATCH('School Level Expenditures'!A26,'School Tables'!$N$4:$N$75,0)),"")</f>
        <v>Exeter Region Cooperative</v>
      </c>
      <c r="D26" s="220">
        <v>23717240.93</v>
      </c>
      <c r="E26" s="220">
        <v>602075.49</v>
      </c>
      <c r="F26" s="232">
        <f t="shared" ref="F26:F32" si="4">D26+E26</f>
        <v>24319316.419999998</v>
      </c>
      <c r="G26" s="223"/>
      <c r="H26" s="223"/>
      <c r="J26" t="str">
        <f t="shared" ref="J26:J32" si="5">A26</f>
        <v>Cooperative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24420565.859999999</v>
      </c>
      <c r="E33" s="262">
        <f>SUM(E25:E32)</f>
        <v>602075.49</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34722783.880000003</v>
      </c>
      <c r="G36" s="229">
        <f>'DOE25'!L248+'DOE25'!L329</f>
        <v>34722783.877841145</v>
      </c>
      <c r="H36" s="264">
        <f>F36-G36</f>
        <v>2.1588578820228577E-3</v>
      </c>
      <c r="I36" s="313" t="str">
        <f>IF(H36=0,"","ISSUES!! Please review pages 9 and 13 totals in comparison with total on this page")</f>
        <v>ISSUES!! Please review pages 9 and 13 totals in comparison with total on this page</v>
      </c>
      <c r="J36" s="224" t="s">
        <v>1538</v>
      </c>
      <c r="K36" s="224"/>
      <c r="L36" s="224"/>
      <c r="M36" s="224" t="str">
        <f>IF(H36=0,"","ISSUES!! Please review page 9 and 13 totals in comparison with total on this page")</f>
        <v>ISSUES!! Please review page 9 and 13 totals in comparison with total on this page</v>
      </c>
      <c r="N36" s="224"/>
      <c r="O36" s="224"/>
      <c r="P36" s="224"/>
      <c r="Q36" s="224"/>
    </row>
    <row r="37" spans="1:18" x14ac:dyDescent="0.2">
      <c r="A37" t="s">
        <v>1540</v>
      </c>
      <c r="B37" s="230">
        <v>99999</v>
      </c>
      <c r="C37" s="223" t="s">
        <v>1540</v>
      </c>
      <c r="D37" s="220">
        <v>1561867.84</v>
      </c>
      <c r="E37" s="220"/>
      <c r="F37" s="232">
        <f t="shared" ref="F37:F42" si="7">D37+E37</f>
        <v>1561867.84</v>
      </c>
      <c r="G37" s="223"/>
      <c r="H37" s="223"/>
      <c r="J37" s="223"/>
      <c r="K37" s="223"/>
      <c r="L37" s="224"/>
      <c r="M37" s="223"/>
      <c r="N37" s="223"/>
      <c r="O37" s="223"/>
      <c r="P37" s="223"/>
      <c r="Q37" s="223"/>
    </row>
    <row r="38" spans="1:18" x14ac:dyDescent="0.2">
      <c r="A38" t="str" cm="1">
        <f t="array" ref="A38">IFERROR(INDEX('School Tables'!$W$4:$AC$100,'School Tables'!$AF4,3),"")</f>
        <v>Exeter High School</v>
      </c>
      <c r="B38" s="230">
        <f>IFERROR(VLOOKUP(A38,'School Tables'!$Y$4:$Z$100,2,FALSE),"")</f>
        <v>20600</v>
      </c>
      <c r="C38" s="223" t="str">
        <f>IFERROR(INDEX('School Tables'!$X$4:$X$100,MATCH('School Level Expenditures'!A38,'School Tables'!$Y$4:$Y$100,0)),"")</f>
        <v>Exeter Region Cooperative</v>
      </c>
      <c r="D38" s="220">
        <f>33814848.83-D37+86843.42</f>
        <v>32339824.41</v>
      </c>
      <c r="E38" s="220">
        <v>821091.63</v>
      </c>
      <c r="F38" s="232">
        <f t="shared" si="7"/>
        <v>33160916.039999999</v>
      </c>
      <c r="G38" s="223"/>
      <c r="H38" s="223"/>
      <c r="J38" t="str">
        <f t="shared" ref="J38:J42" si="8">A38</f>
        <v>Exeter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33901692.25</v>
      </c>
      <c r="E43" s="263">
        <f>SUM(E37:E42)</f>
        <v>821091.63</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06" zoomScale="80" zoomScaleNormal="80" workbookViewId="0">
      <selection activeCell="L127" sqref="L12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Exeter Region Cooperative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5329050.5</v>
      </c>
      <c r="D8" s="73">
        <f>'DOE25'!G9</f>
        <v>0.01</v>
      </c>
      <c r="E8" s="73">
        <f>'DOE25'!H9</f>
        <v>353205.63999999996</v>
      </c>
      <c r="F8" s="73">
        <f>'DOE25'!I9</f>
        <v>716737.32</v>
      </c>
      <c r="G8" s="73">
        <f>'DOE25'!J9</f>
        <v>1832909.55</v>
      </c>
      <c r="H8" s="13">
        <f>SUM(C8:G8)</f>
        <v>8231903.0199999996</v>
      </c>
      <c r="I8" s="90"/>
    </row>
    <row r="9" spans="1:9" x14ac:dyDescent="0.2">
      <c r="A9" s="1" t="s">
        <v>140</v>
      </c>
      <c r="B9" s="6">
        <v>110</v>
      </c>
      <c r="C9" s="73">
        <f>'DOE25'!F10</f>
        <v>34921.360000000001</v>
      </c>
      <c r="D9" s="73">
        <f>'DOE25'!G10</f>
        <v>0</v>
      </c>
      <c r="E9" s="73">
        <f>'DOE25'!H10</f>
        <v>0</v>
      </c>
      <c r="F9" s="73">
        <f>'DOE25'!I10</f>
        <v>0</v>
      </c>
      <c r="G9" s="73">
        <f>'DOE25'!J10</f>
        <v>0</v>
      </c>
      <c r="H9" s="13">
        <f t="shared" ref="H9:H18" si="0">SUM(C9:G9)</f>
        <v>34921.360000000001</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11567.3</v>
      </c>
      <c r="D11" s="73">
        <f>'DOE25'!G12</f>
        <v>633343.71</v>
      </c>
      <c r="E11" s="73">
        <f>'DOE25'!H12</f>
        <v>170414.72</v>
      </c>
      <c r="F11" s="73">
        <f>'DOE25'!I12</f>
        <v>0</v>
      </c>
      <c r="G11" s="73">
        <f>'DOE25'!J12</f>
        <v>0</v>
      </c>
      <c r="H11" s="13">
        <f t="shared" si="0"/>
        <v>815325.73</v>
      </c>
      <c r="I11" s="90"/>
    </row>
    <row r="12" spans="1:9" x14ac:dyDescent="0.2">
      <c r="A12" s="1" t="s">
        <v>143</v>
      </c>
      <c r="B12" s="6">
        <v>140</v>
      </c>
      <c r="C12" s="73">
        <f>'DOE25'!F13</f>
        <v>169605.08</v>
      </c>
      <c r="D12" s="73">
        <f>'DOE25'!G13</f>
        <v>211227.41</v>
      </c>
      <c r="E12" s="73">
        <f>'DOE25'!H13</f>
        <v>43613.61</v>
      </c>
      <c r="F12" s="73">
        <f>'DOE25'!I13</f>
        <v>58045.34</v>
      </c>
      <c r="G12" s="73">
        <f>'DOE25'!J13</f>
        <v>0</v>
      </c>
      <c r="H12" s="13">
        <f t="shared" si="0"/>
        <v>482491.43999999994</v>
      </c>
      <c r="I12" s="90"/>
    </row>
    <row r="13" spans="1:9" x14ac:dyDescent="0.2">
      <c r="A13" s="1" t="s">
        <v>144</v>
      </c>
      <c r="B13" s="6">
        <v>150</v>
      </c>
      <c r="C13" s="73">
        <f>'DOE25'!F14</f>
        <v>19896.97</v>
      </c>
      <c r="D13" s="73">
        <f>'DOE25'!G14</f>
        <v>2975</v>
      </c>
      <c r="E13" s="73">
        <f>'DOE25'!H14</f>
        <v>0</v>
      </c>
      <c r="F13" s="73">
        <f>'DOE25'!I14</f>
        <v>0</v>
      </c>
      <c r="G13" s="73">
        <f>'DOE25'!J14</f>
        <v>0</v>
      </c>
      <c r="H13" s="13">
        <f t="shared" si="0"/>
        <v>22871.97</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36933</v>
      </c>
      <c r="D16" s="73">
        <f>'DOE25'!G17</f>
        <v>0</v>
      </c>
      <c r="E16" s="73">
        <f>'DOE25'!H17</f>
        <v>0</v>
      </c>
      <c r="F16" s="73">
        <f>'DOE25'!I17</f>
        <v>0</v>
      </c>
      <c r="G16" s="73">
        <f>'DOE25'!J17</f>
        <v>0</v>
      </c>
      <c r="H16" s="13">
        <f t="shared" si="0"/>
        <v>36933</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5601974.21</v>
      </c>
      <c r="D18" s="38">
        <f>SUM(D8:D17)</f>
        <v>847546.13</v>
      </c>
      <c r="E18" s="38">
        <f>SUM(E8:E17)</f>
        <v>567233.97</v>
      </c>
      <c r="F18" s="38">
        <f>SUM(F8:F17)</f>
        <v>774782.65999999992</v>
      </c>
      <c r="G18" s="38">
        <f>SUM(G8:G17)</f>
        <v>1832909.55</v>
      </c>
      <c r="H18" s="38">
        <f t="shared" si="0"/>
        <v>9624446.5199999996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828543.41</v>
      </c>
      <c r="D21" s="73">
        <f>'DOE25'!G22</f>
        <v>0</v>
      </c>
      <c r="E21" s="73">
        <f>'DOE25'!H22</f>
        <v>43671.3</v>
      </c>
      <c r="F21" s="73">
        <f>'DOE25'!I22</f>
        <v>0</v>
      </c>
      <c r="G21" s="73">
        <f>'DOE25'!J22</f>
        <v>0</v>
      </c>
      <c r="H21" s="13">
        <f t="shared" ref="H21:H31" si="1">SUM(C21:G21)</f>
        <v>872214.71000000008</v>
      </c>
      <c r="I21" s="90"/>
    </row>
    <row r="22" spans="1:9" x14ac:dyDescent="0.2">
      <c r="A22" s="1" t="s">
        <v>151</v>
      </c>
      <c r="B22" s="6">
        <v>410</v>
      </c>
      <c r="C22" s="73">
        <f>'DOE25'!F23</f>
        <v>1520770.24</v>
      </c>
      <c r="D22" s="73">
        <f>'DOE25'!G23</f>
        <v>1156.3599999999999</v>
      </c>
      <c r="E22" s="73">
        <f>'DOE25'!H23</f>
        <v>0</v>
      </c>
      <c r="F22" s="73">
        <f>'DOE25'!I23</f>
        <v>0</v>
      </c>
      <c r="G22" s="73">
        <f>'DOE25'!J23</f>
        <v>0</v>
      </c>
      <c r="H22" s="13">
        <f t="shared" si="1"/>
        <v>1521926.6</v>
      </c>
      <c r="I22" s="90"/>
    </row>
    <row r="23" spans="1:9" x14ac:dyDescent="0.2">
      <c r="A23" s="1" t="s">
        <v>152</v>
      </c>
      <c r="B23" s="6">
        <v>420</v>
      </c>
      <c r="C23" s="73">
        <f>'DOE25'!F24</f>
        <v>35100.400000000001</v>
      </c>
      <c r="D23" s="73">
        <f>'DOE25'!G24</f>
        <v>13105.8</v>
      </c>
      <c r="E23" s="73">
        <f>'DOE25'!H24</f>
        <v>0</v>
      </c>
      <c r="F23" s="73">
        <f>'DOE25'!I24</f>
        <v>7132</v>
      </c>
      <c r="G23" s="73">
        <f>'DOE25'!J24</f>
        <v>0</v>
      </c>
      <c r="H23" s="13">
        <f t="shared" si="1"/>
        <v>55338.2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51833.05</v>
      </c>
      <c r="D27" s="73">
        <f>'DOE25'!G28</f>
        <v>0</v>
      </c>
      <c r="E27" s="73">
        <f>'DOE25'!H28</f>
        <v>0</v>
      </c>
      <c r="F27" s="73">
        <f>'DOE25'!I28</f>
        <v>0</v>
      </c>
      <c r="G27" s="23" t="s">
        <v>288</v>
      </c>
      <c r="H27" s="13">
        <f t="shared" si="1"/>
        <v>51833.05</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158137.41</v>
      </c>
      <c r="E29" s="73">
        <f>'DOE25'!H30</f>
        <v>0</v>
      </c>
      <c r="F29" s="73">
        <f>'DOE25'!I30</f>
        <v>0</v>
      </c>
      <c r="G29" s="23" t="s">
        <v>288</v>
      </c>
      <c r="H29" s="13">
        <f t="shared" si="1"/>
        <v>158137.41</v>
      </c>
      <c r="I29" s="90"/>
    </row>
    <row r="30" spans="1:9" ht="12" thickBot="1" x14ac:dyDescent="0.25">
      <c r="A30" s="1" t="s">
        <v>159</v>
      </c>
      <c r="B30" s="56">
        <v>490</v>
      </c>
      <c r="C30" s="73">
        <f>'DOE25'!F31</f>
        <v>46269.06</v>
      </c>
      <c r="D30" s="73">
        <f>'DOE25'!G31</f>
        <v>0.01</v>
      </c>
      <c r="E30" s="73">
        <f>'DOE25'!H31</f>
        <v>1820.79</v>
      </c>
      <c r="F30" s="73">
        <f>'DOE25'!I31</f>
        <v>0</v>
      </c>
      <c r="G30" s="73">
        <f>'DOE25'!J31</f>
        <v>0</v>
      </c>
      <c r="H30" s="13">
        <f t="shared" si="1"/>
        <v>48089.86</v>
      </c>
      <c r="I30" s="90"/>
    </row>
    <row r="31" spans="1:9" ht="12" thickTop="1" x14ac:dyDescent="0.2">
      <c r="A31" s="35" t="s">
        <v>160</v>
      </c>
      <c r="B31" s="2"/>
      <c r="C31" s="38">
        <f>SUM(C21:C30)</f>
        <v>2482516.1599999997</v>
      </c>
      <c r="D31" s="38">
        <f>SUM(D21:D30)</f>
        <v>172399.58000000002</v>
      </c>
      <c r="E31" s="38">
        <f>SUM(E21:E30)</f>
        <v>45492.090000000004</v>
      </c>
      <c r="F31" s="38">
        <f>SUM(F21:F30)</f>
        <v>7132</v>
      </c>
      <c r="G31" s="38">
        <f>SUM(G21:G30)</f>
        <v>0</v>
      </c>
      <c r="H31" s="38">
        <f t="shared" si="1"/>
        <v>2707539.8299999996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36933</v>
      </c>
      <c r="D35" s="73">
        <f>'DOE25'!G36</f>
        <v>0</v>
      </c>
      <c r="E35" s="73">
        <f>'DOE25'!H36</f>
        <v>0</v>
      </c>
      <c r="F35" s="73">
        <f>'DOE25'!I36</f>
        <v>0</v>
      </c>
      <c r="G35" s="23" t="s">
        <v>288</v>
      </c>
      <c r="H35" s="13">
        <f t="shared" si="2"/>
        <v>36933</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200000</v>
      </c>
      <c r="D43" s="73">
        <f>'DOE25'!G44</f>
        <v>0</v>
      </c>
      <c r="E43" s="73">
        <f>'DOE25'!H44</f>
        <v>0</v>
      </c>
      <c r="F43" s="73">
        <f>'DOE25'!I44</f>
        <v>0</v>
      </c>
      <c r="G43" s="23" t="s">
        <v>288</v>
      </c>
      <c r="H43" s="13">
        <f t="shared" si="2"/>
        <v>200000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675146.55</v>
      </c>
      <c r="E47" s="73">
        <f>'DOE25'!H48</f>
        <v>521741.88</v>
      </c>
      <c r="F47" s="73">
        <f>'DOE25'!I48</f>
        <v>767650.66</v>
      </c>
      <c r="G47" s="73">
        <f>'DOE25'!J48</f>
        <v>1832909.55</v>
      </c>
      <c r="H47" s="13">
        <f t="shared" si="2"/>
        <v>3797448.6400000006</v>
      </c>
      <c r="I47" s="90"/>
    </row>
    <row r="48" spans="1:9" x14ac:dyDescent="0.2">
      <c r="A48" s="1" t="s">
        <v>881</v>
      </c>
      <c r="B48" s="6">
        <v>753</v>
      </c>
      <c r="C48" s="73">
        <f>'DOE25'!F49</f>
        <v>105347.54</v>
      </c>
      <c r="D48" s="73">
        <f>'DOE25'!G49</f>
        <v>0</v>
      </c>
      <c r="E48" s="73">
        <f>'DOE25'!H49</f>
        <v>0</v>
      </c>
      <c r="F48" s="73">
        <f>'DOE25'!I49</f>
        <v>0</v>
      </c>
      <c r="G48" s="73">
        <f>'DOE25'!J49</f>
        <v>0</v>
      </c>
      <c r="H48" s="13">
        <f t="shared" si="2"/>
        <v>105347.54</v>
      </c>
      <c r="I48" s="90"/>
    </row>
    <row r="49" spans="1:9" ht="12" thickBot="1" x14ac:dyDescent="0.25">
      <c r="A49" s="28" t="s">
        <v>882</v>
      </c>
      <c r="B49" s="56">
        <v>770</v>
      </c>
      <c r="C49" s="73">
        <f>'DOE25'!F50</f>
        <v>2777177.51</v>
      </c>
      <c r="D49" s="23" t="s">
        <v>288</v>
      </c>
      <c r="E49" s="23" t="s">
        <v>288</v>
      </c>
      <c r="F49" s="23" t="s">
        <v>288</v>
      </c>
      <c r="G49" s="23" t="s">
        <v>288</v>
      </c>
      <c r="H49" s="13">
        <f t="shared" si="2"/>
        <v>2777177.51</v>
      </c>
      <c r="I49" s="90"/>
    </row>
    <row r="50" spans="1:9" ht="12.75" thickTop="1" thickBot="1" x14ac:dyDescent="0.25">
      <c r="A50" s="35" t="s">
        <v>883</v>
      </c>
      <c r="B50" s="44"/>
      <c r="C50" s="38">
        <f>SUM(C34:C49)</f>
        <v>3119458.05</v>
      </c>
      <c r="D50" s="38">
        <f>SUM(D34:D49)</f>
        <v>675146.55</v>
      </c>
      <c r="E50" s="38">
        <f>SUM(E34:E49)</f>
        <v>521741.88</v>
      </c>
      <c r="F50" s="38">
        <f>SUM(F34:F49)</f>
        <v>767650.66</v>
      </c>
      <c r="G50" s="38">
        <f>SUM(G34:G49)</f>
        <v>1832909.55</v>
      </c>
      <c r="H50" s="38">
        <f t="shared" si="2"/>
        <v>6916906.6899999995</v>
      </c>
      <c r="I50" s="90"/>
    </row>
    <row r="51" spans="1:9" ht="12" thickTop="1" x14ac:dyDescent="0.2">
      <c r="A51" s="35" t="s">
        <v>884</v>
      </c>
      <c r="B51" s="2"/>
      <c r="C51" s="38">
        <f>C50+C31</f>
        <v>5601974.209999999</v>
      </c>
      <c r="D51" s="38">
        <f>D50+D31</f>
        <v>847546.13000000012</v>
      </c>
      <c r="E51" s="38">
        <f>E50+E31</f>
        <v>567233.97</v>
      </c>
      <c r="F51" s="38">
        <f>F50+F31</f>
        <v>774782.66</v>
      </c>
      <c r="G51" s="38">
        <f>G50+G31</f>
        <v>1832909.55</v>
      </c>
      <c r="H51" s="38">
        <f t="shared" si="2"/>
        <v>9624446.5199999996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46435633</v>
      </c>
      <c r="D56" s="73">
        <f>'DOE25'!G60</f>
        <v>0</v>
      </c>
      <c r="E56" s="73">
        <f>'DOE25'!H60</f>
        <v>0</v>
      </c>
      <c r="F56" s="73">
        <f>'DOE25'!I60</f>
        <v>0</v>
      </c>
      <c r="G56" s="73">
        <f>'DOE25'!J60</f>
        <v>0</v>
      </c>
      <c r="H56" s="13">
        <f t="shared" ref="H56:H63" si="3">SUM(C56:G56)</f>
        <v>46435633</v>
      </c>
      <c r="I56"/>
    </row>
    <row r="57" spans="1:9" x14ac:dyDescent="0.2">
      <c r="A57" s="1" t="s">
        <v>164</v>
      </c>
      <c r="B57" s="6" t="s">
        <v>165</v>
      </c>
      <c r="C57" s="73">
        <f>'DOE25'!F79</f>
        <v>1135919.8099999998</v>
      </c>
      <c r="D57" s="23" t="s">
        <v>288</v>
      </c>
      <c r="E57" s="73">
        <f>'DOE25'!H79</f>
        <v>0</v>
      </c>
      <c r="F57" s="23" t="s">
        <v>288</v>
      </c>
      <c r="G57" s="23" t="s">
        <v>288</v>
      </c>
      <c r="H57" s="13">
        <f t="shared" si="3"/>
        <v>1135919.8099999998</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177300.33</v>
      </c>
      <c r="D59" s="73">
        <f>'DOE25'!G96</f>
        <v>74.23</v>
      </c>
      <c r="E59" s="73">
        <f>'DOE25'!H96</f>
        <v>0</v>
      </c>
      <c r="F59" s="73">
        <f>'DOE25'!I96</f>
        <v>4931.91</v>
      </c>
      <c r="G59" s="73">
        <f>'DOE25'!J96</f>
        <v>20402.259999999998</v>
      </c>
      <c r="H59" s="13">
        <f t="shared" si="3"/>
        <v>202708.73</v>
      </c>
      <c r="I59"/>
    </row>
    <row r="60" spans="1:9" x14ac:dyDescent="0.2">
      <c r="A60" s="1" t="s">
        <v>170</v>
      </c>
      <c r="B60" s="22" t="s">
        <v>171</v>
      </c>
      <c r="C60" s="23" t="s">
        <v>288</v>
      </c>
      <c r="D60" s="73">
        <f>'DOE25'!G97</f>
        <v>693774.82</v>
      </c>
      <c r="E60" s="23" t="s">
        <v>288</v>
      </c>
      <c r="F60" s="23" t="s">
        <v>288</v>
      </c>
      <c r="G60" s="23" t="s">
        <v>288</v>
      </c>
      <c r="H60" s="13">
        <f t="shared" si="3"/>
        <v>693774.82</v>
      </c>
      <c r="I60"/>
    </row>
    <row r="61" spans="1:9" ht="12" thickBot="1" x14ac:dyDescent="0.25">
      <c r="A61" s="1" t="s">
        <v>172</v>
      </c>
      <c r="B61" s="22" t="s">
        <v>173</v>
      </c>
      <c r="C61" s="73">
        <f>SUM('DOE25'!F98:F110)</f>
        <v>757877.1</v>
      </c>
      <c r="D61" s="73">
        <f>SUM('DOE25'!G98:G110)</f>
        <v>80999.02</v>
      </c>
      <c r="E61" s="73">
        <f>SUM('DOE25'!H98:H110)</f>
        <v>0</v>
      </c>
      <c r="F61" s="73">
        <f>SUM('DOE25'!I98:I110)</f>
        <v>0</v>
      </c>
      <c r="G61" s="73">
        <f>SUM('DOE25'!J98:J110)</f>
        <v>0</v>
      </c>
      <c r="H61" s="13">
        <f t="shared" si="3"/>
        <v>838876.12</v>
      </c>
      <c r="I61"/>
    </row>
    <row r="62" spans="1:9" ht="12.75" thickTop="1" thickBot="1" x14ac:dyDescent="0.25">
      <c r="A62" s="28" t="s">
        <v>174</v>
      </c>
      <c r="B62" s="6"/>
      <c r="C62" s="93">
        <f>SUM(C57:C61)</f>
        <v>2071097.2399999998</v>
      </c>
      <c r="D62" s="93">
        <f>SUM(D57:D61)</f>
        <v>774848.07</v>
      </c>
      <c r="E62" s="93">
        <f>SUM(E57:E61)</f>
        <v>0</v>
      </c>
      <c r="F62" s="93">
        <f>SUM(F57:F61)</f>
        <v>4931.91</v>
      </c>
      <c r="G62" s="93">
        <f>SUM(G57:G61)</f>
        <v>20402.259999999998</v>
      </c>
      <c r="H62" s="13">
        <f t="shared" si="3"/>
        <v>2871279.4799999995</v>
      </c>
      <c r="I62"/>
    </row>
    <row r="63" spans="1:9" ht="12" thickTop="1" x14ac:dyDescent="0.2">
      <c r="A63" s="28" t="s">
        <v>175</v>
      </c>
      <c r="B63" s="6"/>
      <c r="C63" s="21">
        <f>C56+C62</f>
        <v>48506730.240000002</v>
      </c>
      <c r="D63" s="21">
        <f>D56+D62</f>
        <v>774848.07</v>
      </c>
      <c r="E63" s="21">
        <f>E56+E62</f>
        <v>0</v>
      </c>
      <c r="F63" s="21">
        <f>F56+F62</f>
        <v>4931.91</v>
      </c>
      <c r="G63" s="21">
        <f>G56+G62</f>
        <v>20402.259999999998</v>
      </c>
      <c r="H63" s="13">
        <f t="shared" si="3"/>
        <v>49306912.479999997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6473718.5499999998</v>
      </c>
      <c r="D66" s="23" t="s">
        <v>288</v>
      </c>
      <c r="E66" s="23" t="s">
        <v>288</v>
      </c>
      <c r="F66" s="23" t="s">
        <v>288</v>
      </c>
      <c r="G66" s="23" t="s">
        <v>288</v>
      </c>
      <c r="H66" s="13">
        <f t="shared" ref="H66:H81" si="4">SUM(C66:G66)</f>
        <v>6473718.5499999998</v>
      </c>
      <c r="I66"/>
    </row>
    <row r="67" spans="1:9" x14ac:dyDescent="0.2">
      <c r="A67" s="1" t="s">
        <v>770</v>
      </c>
      <c r="B67" s="6">
        <v>3112</v>
      </c>
      <c r="C67" s="73">
        <f>'DOE25'!F118</f>
        <v>4158162</v>
      </c>
      <c r="D67" s="23"/>
      <c r="E67" s="23"/>
      <c r="F67" s="23"/>
      <c r="G67" s="23"/>
      <c r="H67" s="13">
        <f t="shared" si="4"/>
        <v>4158162</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42445.22</v>
      </c>
      <c r="D69" s="73">
        <f>'DOE25'!G120</f>
        <v>0</v>
      </c>
      <c r="E69" s="73">
        <f>'DOE25'!H120</f>
        <v>0</v>
      </c>
      <c r="F69" s="73">
        <f>'DOE25'!I120</f>
        <v>0</v>
      </c>
      <c r="G69" s="73">
        <f>'DOE25'!J120</f>
        <v>0</v>
      </c>
      <c r="H69" s="13">
        <f t="shared" si="4"/>
        <v>42445.22</v>
      </c>
      <c r="I69"/>
    </row>
    <row r="70" spans="1:9" ht="12" thickTop="1" x14ac:dyDescent="0.2">
      <c r="A70" s="28" t="s">
        <v>252</v>
      </c>
      <c r="B70" s="2"/>
      <c r="C70" s="97">
        <f>SUM(C66:C69)</f>
        <v>10674325.770000001</v>
      </c>
      <c r="D70" s="97">
        <f>D69</f>
        <v>0</v>
      </c>
      <c r="E70" s="97">
        <f>E69</f>
        <v>0</v>
      </c>
      <c r="F70" s="97">
        <f>F69</f>
        <v>0</v>
      </c>
      <c r="G70" s="97">
        <f>G69</f>
        <v>0</v>
      </c>
      <c r="H70" s="13">
        <f t="shared" si="4"/>
        <v>10674325.770000001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942746.96</v>
      </c>
      <c r="D72" s="23" t="s">
        <v>288</v>
      </c>
      <c r="E72" s="23" t="s">
        <v>288</v>
      </c>
      <c r="F72" s="73">
        <f>'DOE25'!I123</f>
        <v>0</v>
      </c>
      <c r="G72" s="23" t="s">
        <v>288</v>
      </c>
      <c r="H72" s="13">
        <f t="shared" si="4"/>
        <v>942746.96</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729360.22</v>
      </c>
      <c r="D75" s="23" t="s">
        <v>288</v>
      </c>
      <c r="E75" s="23" t="s">
        <v>288</v>
      </c>
      <c r="F75" s="23" t="s">
        <v>288</v>
      </c>
      <c r="G75" s="23" t="s">
        <v>288</v>
      </c>
      <c r="H75" s="13">
        <f t="shared" si="4"/>
        <v>729360.22</v>
      </c>
      <c r="I75"/>
    </row>
    <row r="76" spans="1:9" x14ac:dyDescent="0.2">
      <c r="A76" s="1" t="s">
        <v>257</v>
      </c>
      <c r="B76" s="6" t="s">
        <v>179</v>
      </c>
      <c r="C76" s="73">
        <f>SUM('DOE25'!F127:F130)</f>
        <v>933261.14</v>
      </c>
      <c r="D76" s="23" t="s">
        <v>288</v>
      </c>
      <c r="E76" s="73">
        <f>SUM('DOE25'!H127:H130)</f>
        <v>0</v>
      </c>
      <c r="F76" s="73">
        <f>SUM('DOE25'!I127:I130)</f>
        <v>0</v>
      </c>
      <c r="G76" s="23" t="s">
        <v>288</v>
      </c>
      <c r="H76" s="13">
        <f t="shared" si="4"/>
        <v>933261.14</v>
      </c>
      <c r="I76"/>
    </row>
    <row r="77" spans="1:9" ht="12" thickBot="1" x14ac:dyDescent="0.25">
      <c r="A77" s="1" t="s">
        <v>258</v>
      </c>
      <c r="B77" s="6" t="s">
        <v>180</v>
      </c>
      <c r="C77" s="73">
        <f>SUM('DOE25'!F131:F135)</f>
        <v>0</v>
      </c>
      <c r="D77" s="73">
        <f>SUM('DOE25'!G131:G135)</f>
        <v>11093.85</v>
      </c>
      <c r="E77" s="73">
        <f>SUM('DOE25'!H131:H135)</f>
        <v>0</v>
      </c>
      <c r="F77" s="73">
        <f>SUM('DOE25'!I131:I135)</f>
        <v>0</v>
      </c>
      <c r="G77" s="73">
        <f>SUM('DOE25'!J131:J135)</f>
        <v>0</v>
      </c>
      <c r="H77" s="13">
        <f t="shared" si="4"/>
        <v>11093.85</v>
      </c>
      <c r="I77"/>
    </row>
    <row r="78" spans="1:9" ht="12.75" thickTop="1" thickBot="1" x14ac:dyDescent="0.25">
      <c r="A78" s="28" t="s">
        <v>259</v>
      </c>
      <c r="B78" s="6"/>
      <c r="C78" s="93">
        <f>SUM(C72:C77)</f>
        <v>2605368.3199999998</v>
      </c>
      <c r="D78" s="93">
        <f>SUM(D72:D77)</f>
        <v>11093.85</v>
      </c>
      <c r="E78" s="93">
        <f>SUM(E72:E77)</f>
        <v>0</v>
      </c>
      <c r="F78" s="93">
        <f>SUM(F72:F77)</f>
        <v>0</v>
      </c>
      <c r="G78" s="93">
        <f>SUM(G72:G77)</f>
        <v>0</v>
      </c>
      <c r="H78" s="13">
        <f t="shared" si="4"/>
        <v>2616462.17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13279694.090000002</v>
      </c>
      <c r="D81" s="93">
        <f>SUM(D79:D80)+D78+D70</f>
        <v>11093.85</v>
      </c>
      <c r="E81" s="93">
        <f>SUM(E79:E80)+E78+E70</f>
        <v>0</v>
      </c>
      <c r="F81" s="93">
        <f>SUM(F79:F80)+F78+F70</f>
        <v>0</v>
      </c>
      <c r="G81" s="93">
        <f>SUM(G79:G80)+G78+G70</f>
        <v>0</v>
      </c>
      <c r="H81" s="93">
        <f t="shared" si="4"/>
        <v>13290787.940000001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94521.22</v>
      </c>
      <c r="D88" s="253">
        <f>SUM('DOE25'!G153:G162)</f>
        <v>257045.19</v>
      </c>
      <c r="E88" s="253">
        <f>SUM('DOE25'!H153:H162)</f>
        <v>1740808.38</v>
      </c>
      <c r="F88" s="253">
        <f>SUM('DOE25'!I153:I162)</f>
        <v>0</v>
      </c>
      <c r="G88" s="23" t="s">
        <v>288</v>
      </c>
      <c r="H88" s="13">
        <f t="shared" si="5"/>
        <v>2092374.79</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94521.22</v>
      </c>
      <c r="D91" s="94">
        <f>SUM(D85:D90)</f>
        <v>257045.19</v>
      </c>
      <c r="E91" s="94">
        <f>SUM(E85:E90)</f>
        <v>1740808.38</v>
      </c>
      <c r="F91" s="94">
        <f>SUM(F85:F90)</f>
        <v>0</v>
      </c>
      <c r="G91" s="23" t="s">
        <v>288</v>
      </c>
      <c r="H91" s="13">
        <f t="shared" si="5"/>
        <v>2092374.79</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13">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150000</v>
      </c>
      <c r="D99" s="73">
        <f>'DOE25'!G186</f>
        <v>0</v>
      </c>
      <c r="E99" s="73">
        <f>'DOE25'!H186</f>
        <v>0</v>
      </c>
      <c r="F99" s="73">
        <f>'DOE25'!I186</f>
        <v>0</v>
      </c>
      <c r="G99" s="23" t="s">
        <v>288</v>
      </c>
      <c r="H99" s="13">
        <f t="shared" si="5"/>
        <v>150000</v>
      </c>
    </row>
    <row r="100" spans="1:8" x14ac:dyDescent="0.2">
      <c r="A100" t="s">
        <v>757</v>
      </c>
      <c r="B100" s="31" t="s">
        <v>190</v>
      </c>
      <c r="C100" s="73">
        <f>SUM('DOE25'!F187:F188)</f>
        <v>6000</v>
      </c>
      <c r="D100" s="73">
        <f>SUM('DOE25'!G187:G188)</f>
        <v>0</v>
      </c>
      <c r="E100" s="73">
        <f>SUM('DOE25'!H187:H188)</f>
        <v>0</v>
      </c>
      <c r="F100" s="73">
        <f>SUM('DOE25'!I187:I188)</f>
        <v>0</v>
      </c>
      <c r="G100" s="23" t="s">
        <v>288</v>
      </c>
      <c r="H100" s="13">
        <f t="shared" si="5"/>
        <v>6000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156000</v>
      </c>
      <c r="D103" s="68">
        <f>SUM(D93:D102)</f>
        <v>0</v>
      </c>
      <c r="E103" s="68">
        <f>SUM(E93:E102)</f>
        <v>0</v>
      </c>
      <c r="F103" s="68">
        <f>SUM(F93:F102)</f>
        <v>0</v>
      </c>
      <c r="G103" s="68">
        <f>SUM(G93:G102)</f>
        <v>0</v>
      </c>
      <c r="H103" s="68">
        <f t="shared" si="5"/>
        <v>156000</v>
      </c>
    </row>
    <row r="104" spans="1:8" ht="12.75" thickTop="1" thickBot="1" x14ac:dyDescent="0.25">
      <c r="A104" s="32" t="s">
        <v>761</v>
      </c>
      <c r="C104" s="68">
        <f>C63+C81+C91+C103</f>
        <v>62036945.550000004</v>
      </c>
      <c r="D104" s="68">
        <f>D63+D81+D91+D103</f>
        <v>1042987.1099999999</v>
      </c>
      <c r="E104" s="68">
        <f>E63+E81+E91+E103</f>
        <v>1740808.38</v>
      </c>
      <c r="F104" s="68">
        <f>F63+F81+F91+F103</f>
        <v>4931.91</v>
      </c>
      <c r="G104" s="68">
        <f>G63+G81+G103</f>
        <v>20402.259999999998</v>
      </c>
      <c r="H104" s="68">
        <f t="shared" si="5"/>
        <v>64846075.210000001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22378704.485814881</v>
      </c>
      <c r="D109" s="23" t="s">
        <v>288</v>
      </c>
      <c r="E109" s="73">
        <f>('DOE25'!L277)+('DOE25'!L296)+('DOE25'!L315)</f>
        <v>133310.59999999998</v>
      </c>
      <c r="F109" s="23" t="s">
        <v>288</v>
      </c>
      <c r="G109" s="23" t="s">
        <v>288</v>
      </c>
      <c r="H109" s="13">
        <f t="shared" ref="H109:H115" si="6">SUM(C109:G109)</f>
        <v>22512015.085814882</v>
      </c>
    </row>
    <row r="110" spans="1:8" x14ac:dyDescent="0.2">
      <c r="A110" t="s">
        <v>198</v>
      </c>
      <c r="B110" s="31" t="s">
        <v>199</v>
      </c>
      <c r="C110" s="73">
        <f>('DOE25'!L199)+('DOE25'!L217)+('DOE25'!L235)</f>
        <v>10646520.48</v>
      </c>
      <c r="D110" s="23" t="s">
        <v>288</v>
      </c>
      <c r="E110" s="73">
        <f>('DOE25'!L278)+('DOE25'!L297)+('DOE25'!L316)</f>
        <v>713596.4</v>
      </c>
      <c r="F110" s="23" t="s">
        <v>288</v>
      </c>
      <c r="G110" s="23" t="s">
        <v>288</v>
      </c>
      <c r="H110" s="13">
        <f t="shared" si="6"/>
        <v>11360116.880000001</v>
      </c>
    </row>
    <row r="111" spans="1:8" x14ac:dyDescent="0.2">
      <c r="A111" t="s">
        <v>200</v>
      </c>
      <c r="B111" s="31" t="s">
        <v>165</v>
      </c>
      <c r="C111" s="73">
        <f>('DOE25'!L200)+('DOE25'!L218)+('DOE25'!L236)</f>
        <v>2996463.3299999996</v>
      </c>
      <c r="D111" s="23" t="s">
        <v>288</v>
      </c>
      <c r="E111" s="73">
        <f>('DOE25'!L279)+('DOE25'!L298)+('DOE25'!L317)</f>
        <v>219016.24000000002</v>
      </c>
      <c r="F111" s="23" t="s">
        <v>288</v>
      </c>
      <c r="G111" s="23" t="s">
        <v>288</v>
      </c>
      <c r="H111" s="13">
        <f t="shared" si="6"/>
        <v>3215479.57</v>
      </c>
    </row>
    <row r="112" spans="1:8" x14ac:dyDescent="0.2">
      <c r="A112" t="s">
        <v>201</v>
      </c>
      <c r="B112" s="31" t="s">
        <v>167</v>
      </c>
      <c r="C112" s="73">
        <f>('DOE25'!L201)+('DOE25'!L219)+('DOE25'!L237)</f>
        <v>1305483.9676731713</v>
      </c>
      <c r="D112" s="23" t="s">
        <v>288</v>
      </c>
      <c r="E112" s="73">
        <f>+('DOE25'!L280)+('DOE25'!L299)+('DOE25'!L318)</f>
        <v>0</v>
      </c>
      <c r="F112" s="23" t="s">
        <v>288</v>
      </c>
      <c r="G112" s="23" t="s">
        <v>288</v>
      </c>
      <c r="H112" s="13">
        <f t="shared" si="6"/>
        <v>1305483.9676731713</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263562.64</v>
      </c>
      <c r="D114" s="23" t="s">
        <v>288</v>
      </c>
      <c r="E114" s="73">
        <f>+ SUM('DOE25'!L334:L336)</f>
        <v>317641.26</v>
      </c>
      <c r="F114" s="23" t="s">
        <v>288</v>
      </c>
      <c r="G114" s="23" t="s">
        <v>288</v>
      </c>
      <c r="H114" s="13">
        <f t="shared" si="6"/>
        <v>581203.9</v>
      </c>
    </row>
    <row r="115" spans="1:8" ht="12.75" thickTop="1" thickBot="1" x14ac:dyDescent="0.25">
      <c r="A115" s="32" t="s">
        <v>205</v>
      </c>
      <c r="C115" s="68">
        <f>SUM(C109:C114)</f>
        <v>37590734.903488055</v>
      </c>
      <c r="D115" s="68">
        <f>SUM(D109:D114)</f>
        <v>0</v>
      </c>
      <c r="E115" s="68">
        <f>SUM(E109:E114)</f>
        <v>1383564.5</v>
      </c>
      <c r="F115" s="68">
        <f>SUM(F109:F114)</f>
        <v>0</v>
      </c>
      <c r="G115" s="68">
        <f>SUM(G109:G114)</f>
        <v>0</v>
      </c>
      <c r="H115" s="68">
        <f t="shared" si="6"/>
        <v>38974299.403488055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4681099.2677715458</v>
      </c>
      <c r="D118" s="23" t="s">
        <v>288</v>
      </c>
      <c r="E118" s="73">
        <f>+('DOE25'!L282)+('DOE25'!L301)+('DOE25'!L320)</f>
        <v>86843.319999999992</v>
      </c>
      <c r="F118" s="23" t="s">
        <v>288</v>
      </c>
      <c r="G118" s="23" t="s">
        <v>288</v>
      </c>
      <c r="H118" s="13">
        <f t="shared" ref="H118:H145" si="7">SUM(C118:G118)</f>
        <v>4767942.5877715461</v>
      </c>
    </row>
    <row r="119" spans="1:8" x14ac:dyDescent="0.2">
      <c r="A119" t="s">
        <v>208</v>
      </c>
      <c r="B119" s="31" t="s">
        <v>209</v>
      </c>
      <c r="C119" s="73">
        <f>('DOE25'!L204)+('DOE25'!L222)+('DOE25'!L240)</f>
        <v>3249688.08</v>
      </c>
      <c r="D119" s="23" t="s">
        <v>288</v>
      </c>
      <c r="E119" s="73">
        <f>+('DOE25'!L283)+('DOE25'!L302)+('DOE25'!L321)</f>
        <v>302306.31000000006</v>
      </c>
      <c r="F119" s="23" t="s">
        <v>288</v>
      </c>
      <c r="G119" s="23" t="s">
        <v>288</v>
      </c>
      <c r="H119" s="13">
        <f t="shared" si="7"/>
        <v>3551994.39</v>
      </c>
    </row>
    <row r="120" spans="1:8" x14ac:dyDescent="0.2">
      <c r="A120" t="s">
        <v>210</v>
      </c>
      <c r="B120" s="31" t="s">
        <v>211</v>
      </c>
      <c r="C120" s="73">
        <f>('DOE25'!L205)+('DOE25'!L223)+('DOE25'!L241)</f>
        <v>1643319.9543411373</v>
      </c>
      <c r="D120" s="23" t="s">
        <v>288</v>
      </c>
      <c r="E120" s="73">
        <f>+('DOE25'!L284)+('DOE25'!L303)+('DOE25'!L322)</f>
        <v>0</v>
      </c>
      <c r="F120" s="23" t="s">
        <v>288</v>
      </c>
      <c r="G120" s="23" t="s">
        <v>288</v>
      </c>
      <c r="H120" s="13">
        <f t="shared" si="7"/>
        <v>1643319.9543411373</v>
      </c>
    </row>
    <row r="121" spans="1:8" x14ac:dyDescent="0.2">
      <c r="A121" t="s">
        <v>212</v>
      </c>
      <c r="B121" s="31" t="s">
        <v>213</v>
      </c>
      <c r="C121" s="73">
        <f>('DOE25'!L206)+('DOE25'!L224)+('DOE25'!L242)</f>
        <v>2738240.8909326335</v>
      </c>
      <c r="D121" s="23" t="s">
        <v>288</v>
      </c>
      <c r="E121" s="73">
        <f>+('DOE25'!L285)+('DOE25'!L304)+('DOE25'!L323)</f>
        <v>0</v>
      </c>
      <c r="F121" s="23" t="s">
        <v>288</v>
      </c>
      <c r="G121" s="23" t="s">
        <v>288</v>
      </c>
      <c r="H121" s="13">
        <f t="shared" si="7"/>
        <v>2738240.8909326335</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5453345.150309328</v>
      </c>
      <c r="D123" s="23" t="s">
        <v>288</v>
      </c>
      <c r="E123" s="73">
        <f>+('DOE25'!L287)+('DOE25'!L306)+('DOE25'!L325)</f>
        <v>25000</v>
      </c>
      <c r="F123" s="23" t="s">
        <v>288</v>
      </c>
      <c r="G123" s="23" t="s">
        <v>288</v>
      </c>
      <c r="H123" s="13">
        <f t="shared" si="7"/>
        <v>5478345.150309328</v>
      </c>
    </row>
    <row r="124" spans="1:8" x14ac:dyDescent="0.2">
      <c r="A124" t="s">
        <v>218</v>
      </c>
      <c r="B124" s="31" t="s">
        <v>219</v>
      </c>
      <c r="C124" s="73">
        <f>('DOE25'!L209)+('DOE25'!L227)+('DOE25'!L245+'DOE25'!L255)</f>
        <v>3142549.0794210858</v>
      </c>
      <c r="D124" s="23" t="s">
        <v>288</v>
      </c>
      <c r="E124" s="73">
        <f>+('DOE25'!L288)+('DOE25'!L307)+('DOE25'!L326)</f>
        <v>0</v>
      </c>
      <c r="F124" s="23" t="s">
        <v>288</v>
      </c>
      <c r="G124" s="23" t="s">
        <v>288</v>
      </c>
      <c r="H124" s="13">
        <f t="shared" si="7"/>
        <v>3142549.0794210858</v>
      </c>
    </row>
    <row r="125" spans="1:8" x14ac:dyDescent="0.2">
      <c r="A125" t="s">
        <v>220</v>
      </c>
      <c r="B125" s="31" t="s">
        <v>221</v>
      </c>
      <c r="C125" s="73">
        <f>('DOE25'!L210)+('DOE25'!L228)+('DOE25'!L246)</f>
        <v>0</v>
      </c>
      <c r="D125" s="23" t="s">
        <v>288</v>
      </c>
      <c r="E125" s="73">
        <f>+('DOE25'!L289)+('DOE25'!L308)+('DOE25'!L327)</f>
        <v>29937.67</v>
      </c>
      <c r="F125" s="23" t="s">
        <v>288</v>
      </c>
      <c r="G125" s="23" t="s">
        <v>288</v>
      </c>
      <c r="H125" s="13">
        <f t="shared" si="7"/>
        <v>29937.67</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908656.71</v>
      </c>
      <c r="E127" s="23" t="s">
        <v>288</v>
      </c>
      <c r="F127" s="23" t="s">
        <v>288</v>
      </c>
      <c r="G127" s="23" t="s">
        <v>288</v>
      </c>
      <c r="H127" s="13">
        <f t="shared" si="7"/>
        <v>908656.71</v>
      </c>
    </row>
    <row r="128" spans="1:8" ht="12.75" thickTop="1" thickBot="1" x14ac:dyDescent="0.25">
      <c r="A128" s="32" t="s">
        <v>226</v>
      </c>
      <c r="C128" s="68">
        <f>SUM(C118:C127)</f>
        <v>20908242.42277573</v>
      </c>
      <c r="D128" s="68">
        <f>SUM(D118:D127)</f>
        <v>908656.71</v>
      </c>
      <c r="E128" s="68">
        <f>SUM(E118:E127)</f>
        <v>444087.30000000005</v>
      </c>
      <c r="F128" s="68">
        <f>SUM(F118:F127)</f>
        <v>0</v>
      </c>
      <c r="G128" s="68">
        <f>SUM(G118:G127)</f>
        <v>0</v>
      </c>
      <c r="H128" s="68">
        <f t="shared" si="7"/>
        <v>22260986.432775732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68116.5</v>
      </c>
      <c r="G130" s="23" t="s">
        <v>288</v>
      </c>
      <c r="H130" s="13">
        <f t="shared" si="7"/>
        <v>68116.5</v>
      </c>
    </row>
    <row r="131" spans="1:8" x14ac:dyDescent="0.2">
      <c r="A131" t="s">
        <v>229</v>
      </c>
      <c r="B131" s="31">
        <v>5110</v>
      </c>
      <c r="C131" s="73">
        <f>'DOE25'!L261</f>
        <v>2170840.4900000002</v>
      </c>
      <c r="D131" s="23" t="s">
        <v>288</v>
      </c>
      <c r="E131" s="92">
        <f>'DOE25'!L342</f>
        <v>0</v>
      </c>
      <c r="F131" s="23" t="s">
        <v>288</v>
      </c>
      <c r="G131" s="23" t="s">
        <v>288</v>
      </c>
      <c r="H131" s="13">
        <f t="shared" si="7"/>
        <v>2170840.4900000002</v>
      </c>
    </row>
    <row r="132" spans="1:8" x14ac:dyDescent="0.2">
      <c r="A132" t="s">
        <v>230</v>
      </c>
      <c r="B132" s="31">
        <v>5120</v>
      </c>
      <c r="C132" s="73">
        <f>'DOE25'!L262</f>
        <v>2375499.5099999998</v>
      </c>
      <c r="D132" s="23" t="s">
        <v>288</v>
      </c>
      <c r="E132" s="92">
        <f>'DOE25'!L343</f>
        <v>0</v>
      </c>
      <c r="F132" s="23" t="s">
        <v>288</v>
      </c>
      <c r="G132" s="23" t="s">
        <v>288</v>
      </c>
      <c r="H132" s="13">
        <f t="shared" si="7"/>
        <v>2375499.5099999998</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8326.9</v>
      </c>
      <c r="D138" s="23" t="s">
        <v>288</v>
      </c>
      <c r="E138" s="23" t="s">
        <v>288</v>
      </c>
      <c r="F138" s="23" t="s">
        <v>288</v>
      </c>
      <c r="G138" s="23" t="s">
        <v>288</v>
      </c>
      <c r="H138" s="13">
        <f t="shared" si="7"/>
        <v>8326.9</v>
      </c>
    </row>
    <row r="139" spans="1:8" x14ac:dyDescent="0.2">
      <c r="A139" t="s">
        <v>239</v>
      </c>
      <c r="B139" s="31">
        <v>5252</v>
      </c>
      <c r="C139" s="73">
        <f>'DOE25'!L402</f>
        <v>12075.36</v>
      </c>
      <c r="D139" s="23" t="s">
        <v>288</v>
      </c>
      <c r="E139" s="23" t="s">
        <v>288</v>
      </c>
      <c r="F139" s="23" t="s">
        <v>288</v>
      </c>
      <c r="G139" s="23" t="s">
        <v>288</v>
      </c>
      <c r="H139" s="13">
        <f t="shared" si="7"/>
        <v>12075.36</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-20402.260000000002</v>
      </c>
      <c r="D141" s="23" t="s">
        <v>288</v>
      </c>
      <c r="E141" s="23" t="s">
        <v>288</v>
      </c>
      <c r="F141" s="23" t="s">
        <v>288</v>
      </c>
      <c r="G141" s="23" t="s">
        <v>288</v>
      </c>
      <c r="H141" s="13">
        <f t="shared" si="7"/>
        <v>-20402.260000000002</v>
      </c>
    </row>
    <row r="142" spans="1:8" x14ac:dyDescent="0.2">
      <c r="A142" t="s">
        <v>241</v>
      </c>
      <c r="B142" s="31">
        <v>5310</v>
      </c>
      <c r="C142" s="92">
        <f>'DOE25'!L269</f>
        <v>162500</v>
      </c>
      <c r="D142" s="23" t="s">
        <v>288</v>
      </c>
      <c r="E142" s="92">
        <f>'DOE25'!L350</f>
        <v>0</v>
      </c>
      <c r="F142" s="23" t="s">
        <v>288</v>
      </c>
      <c r="G142" s="23" t="s">
        <v>288</v>
      </c>
      <c r="H142" s="13">
        <f t="shared" si="7"/>
        <v>162500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4708840.0000000009</v>
      </c>
      <c r="D144" s="98">
        <f>SUM(D130:D143)</f>
        <v>0</v>
      </c>
      <c r="E144" s="98">
        <f>SUM(E130:E143)</f>
        <v>0</v>
      </c>
      <c r="F144" s="98">
        <f>SUM(F130:F143)</f>
        <v>68116.5</v>
      </c>
      <c r="G144" s="98">
        <f>SUM(G130:G143)</f>
        <v>0</v>
      </c>
      <c r="H144" s="98">
        <f t="shared" si="7"/>
        <v>4776956.5000000009</v>
      </c>
    </row>
    <row r="145" spans="1:9" ht="12.75" thickTop="1" thickBot="1" x14ac:dyDescent="0.25">
      <c r="A145" s="32" t="s">
        <v>244</v>
      </c>
      <c r="C145" s="68">
        <f>(C115+C128+C144)</f>
        <v>63207817.326263785</v>
      </c>
      <c r="D145" s="68">
        <f>(D115+D128+D144)</f>
        <v>908656.71</v>
      </c>
      <c r="E145" s="68">
        <f>(E115+E128+E144)</f>
        <v>1827651.8</v>
      </c>
      <c r="F145" s="68">
        <f>(F115+F128+F144)</f>
        <v>68116.5</v>
      </c>
      <c r="G145" s="68">
        <f>(G115+G128+G144)</f>
        <v>0</v>
      </c>
      <c r="H145" s="68">
        <f t="shared" si="7"/>
        <v>66012242.336263783</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20</v>
      </c>
      <c r="D151" s="110">
        <f>'DOE25'!H491</f>
        <v>0</v>
      </c>
      <c r="E151" s="110">
        <f>'DOE25'!I491</f>
        <v>0</v>
      </c>
      <c r="F151" s="110">
        <f>'DOE25'!J491</f>
        <v>0</v>
      </c>
      <c r="G151" s="23" t="s">
        <v>288</v>
      </c>
    </row>
    <row r="152" spans="1:9" x14ac:dyDescent="0.2">
      <c r="A152" s="21" t="s">
        <v>28</v>
      </c>
      <c r="B152" s="109" t="str">
        <f>'DOE25'!F492</f>
        <v>08/03</v>
      </c>
      <c r="C152" s="109" t="str">
        <f>'DOE25'!G492</f>
        <v>02/20</v>
      </c>
      <c r="D152" s="109">
        <f>'DOE25'!H492</f>
        <v>0</v>
      </c>
      <c r="E152" s="109">
        <f>'DOE25'!I492</f>
        <v>0</v>
      </c>
      <c r="F152" s="109">
        <f>'DOE25'!J492</f>
        <v>0</v>
      </c>
      <c r="G152" s="23" t="s">
        <v>288</v>
      </c>
    </row>
    <row r="153" spans="1:9" x14ac:dyDescent="0.2">
      <c r="A153" s="21" t="s">
        <v>29</v>
      </c>
      <c r="B153" s="109" t="str">
        <f>'DOE25'!F493</f>
        <v>08/15/23</v>
      </c>
      <c r="C153" s="109" t="str">
        <f>'DOE25'!G493</f>
        <v>02/15/40</v>
      </c>
      <c r="D153" s="109">
        <f>'DOE25'!H493</f>
        <v>0</v>
      </c>
      <c r="E153" s="109">
        <f>'DOE25'!I493</f>
        <v>0</v>
      </c>
      <c r="F153" s="109">
        <f>'DOE25'!J493</f>
        <v>0</v>
      </c>
      <c r="G153" s="23" t="s">
        <v>288</v>
      </c>
    </row>
    <row r="154" spans="1:9" x14ac:dyDescent="0.2">
      <c r="A154" s="21" t="s">
        <v>30</v>
      </c>
      <c r="B154" s="19">
        <f>'DOE25'!F494</f>
        <v>42695000</v>
      </c>
      <c r="C154" s="19">
        <f>'DOE25'!G494</f>
        <v>17800000</v>
      </c>
      <c r="D154" s="19">
        <f>'DOE25'!H494</f>
        <v>0</v>
      </c>
      <c r="E154" s="19">
        <f>'DOE25'!I494</f>
        <v>0</v>
      </c>
      <c r="F154" s="19">
        <f>'DOE25'!J494</f>
        <v>0</v>
      </c>
      <c r="G154" s="23" t="s">
        <v>288</v>
      </c>
    </row>
    <row r="155" spans="1:9" x14ac:dyDescent="0.2">
      <c r="A155" s="21" t="s">
        <v>31</v>
      </c>
      <c r="B155" s="19">
        <f>'DOE25'!F495</f>
        <v>3.7</v>
      </c>
      <c r="C155" s="19">
        <f>'DOE25'!G495</f>
        <v>2.15</v>
      </c>
      <c r="D155" s="19">
        <f>'DOE25'!H495</f>
        <v>0</v>
      </c>
      <c r="E155" s="19">
        <f>'DOE25'!I495</f>
        <v>0</v>
      </c>
      <c r="F155" s="19">
        <f>'DOE25'!J495</f>
        <v>0</v>
      </c>
      <c r="G155" s="23" t="s">
        <v>288</v>
      </c>
    </row>
    <row r="156" spans="1:9" x14ac:dyDescent="0.2">
      <c r="A156" s="21" t="s">
        <v>32</v>
      </c>
      <c r="B156" s="19">
        <f>'DOE25'!F496</f>
        <v>2671792.8199999998</v>
      </c>
      <c r="C156" s="19">
        <f>'DOE25'!G496</f>
        <v>14440000</v>
      </c>
      <c r="D156" s="19">
        <f>'DOE25'!H496</f>
        <v>0</v>
      </c>
      <c r="E156" s="19">
        <f>'DOE25'!I496</f>
        <v>0</v>
      </c>
      <c r="F156" s="19">
        <f>'DOE25'!J496</f>
        <v>0</v>
      </c>
      <c r="G156" s="96">
        <f>SUM(B156:F156)</f>
        <v>17111792.82</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1365840.49</v>
      </c>
      <c r="C158" s="19">
        <f>'DOE25'!G498</f>
        <v>805000</v>
      </c>
      <c r="D158" s="19">
        <f>'DOE25'!H498</f>
        <v>0</v>
      </c>
      <c r="E158" s="19">
        <f>'DOE25'!I498</f>
        <v>0</v>
      </c>
      <c r="F158" s="19">
        <f>'DOE25'!J498</f>
        <v>0</v>
      </c>
      <c r="G158" s="96">
        <f t="shared" si="8"/>
        <v>2170840.4900000002</v>
      </c>
    </row>
    <row r="159" spans="1:9" x14ac:dyDescent="0.2">
      <c r="A159" s="21" t="s">
        <v>35</v>
      </c>
      <c r="B159" s="19">
        <f>'DOE25'!F499</f>
        <v>1305652.33</v>
      </c>
      <c r="C159" s="19">
        <f>'DOE25'!G499</f>
        <v>13635000</v>
      </c>
      <c r="D159" s="19">
        <f>'DOE25'!H499</f>
        <v>0</v>
      </c>
      <c r="E159" s="19">
        <f>'DOE25'!I499</f>
        <v>0</v>
      </c>
      <c r="F159" s="19">
        <f>'DOE25'!J499</f>
        <v>0</v>
      </c>
      <c r="G159" s="96">
        <f t="shared" si="8"/>
        <v>14940652.33</v>
      </c>
    </row>
    <row r="160" spans="1:9" x14ac:dyDescent="0.2">
      <c r="A160" s="21" t="s">
        <v>36</v>
      </c>
      <c r="B160" s="19">
        <f>'DOE25'!F500</f>
        <v>1948147.67</v>
      </c>
      <c r="C160" s="19">
        <f>'DOE25'!G500</f>
        <v>3789540</v>
      </c>
      <c r="D160" s="19">
        <f>'DOE25'!H500</f>
        <v>0</v>
      </c>
      <c r="E160" s="19">
        <f>'DOE25'!I500</f>
        <v>0</v>
      </c>
      <c r="F160" s="19">
        <f>'DOE25'!J500</f>
        <v>0</v>
      </c>
      <c r="G160" s="96">
        <f t="shared" si="8"/>
        <v>5737687.6699999999</v>
      </c>
    </row>
    <row r="161" spans="1:7" x14ac:dyDescent="0.2">
      <c r="A161" s="21" t="s">
        <v>37</v>
      </c>
      <c r="B161" s="19">
        <f>'DOE25'!F501</f>
        <v>3253800</v>
      </c>
      <c r="C161" s="19">
        <f>'DOE25'!G501</f>
        <v>17424540</v>
      </c>
      <c r="D161" s="19">
        <f>'DOE25'!H501</f>
        <v>0</v>
      </c>
      <c r="E161" s="19">
        <f>'DOE25'!I501</f>
        <v>0</v>
      </c>
      <c r="F161" s="19">
        <f>'DOE25'!J501</f>
        <v>0</v>
      </c>
      <c r="G161" s="96">
        <f t="shared" si="8"/>
        <v>20678340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Exeter Region Cooperative</v>
      </c>
    </row>
    <row r="3" spans="1:4" x14ac:dyDescent="0.2">
      <c r="B3" s="137" t="s">
        <v>1799</v>
      </c>
    </row>
    <row r="4" spans="1:4" x14ac:dyDescent="0.2">
      <c r="B4" t="s">
        <v>61</v>
      </c>
      <c r="C4" s="129">
        <f>IF('DOE25'!F666+'DOE25'!F671=0,0,ROUND('DOE25'!F673,0))</f>
        <v>0</v>
      </c>
    </row>
    <row r="5" spans="1:4" x14ac:dyDescent="0.2">
      <c r="B5" t="s">
        <v>700</v>
      </c>
      <c r="C5" s="129">
        <f>IF('DOE25'!G666+'DOE25'!G671=0,0,ROUND('DOE25'!G673,0))</f>
        <v>23813</v>
      </c>
    </row>
    <row r="6" spans="1:4" x14ac:dyDescent="0.2">
      <c r="B6" t="s">
        <v>62</v>
      </c>
      <c r="C6" s="129">
        <f>IF('DOE25'!H666+'DOE25'!H671=0,0,ROUND('DOE25'!H673,0))</f>
        <v>20118</v>
      </c>
    </row>
    <row r="7" spans="1:4" x14ac:dyDescent="0.2">
      <c r="B7" t="s">
        <v>701</v>
      </c>
      <c r="C7" s="129">
        <f>IF('DOE25'!I666+'DOE25'!I671=0,0,ROUND('DOE25'!I673,0))</f>
        <v>21532</v>
      </c>
    </row>
    <row r="9" spans="1:4" x14ac:dyDescent="0.2">
      <c r="A9" s="136" t="s">
        <v>94</v>
      </c>
      <c r="B9" s="137" t="s">
        <v>1800</v>
      </c>
      <c r="C9" s="131" t="s">
        <v>720</v>
      </c>
      <c r="D9" s="131" t="s">
        <v>721</v>
      </c>
    </row>
    <row r="10" spans="1:4" x14ac:dyDescent="0.2">
      <c r="A10">
        <v>1100</v>
      </c>
      <c r="B10" t="s">
        <v>702</v>
      </c>
      <c r="C10" s="129">
        <f>ROUND('DOE25'!L198+'DOE25'!L216+'DOE25'!L234+'DOE25'!L277+'DOE25'!L296+'DOE25'!L315,0)</f>
        <v>22512015</v>
      </c>
      <c r="D10" s="132">
        <f>ROUND((C10/$C$28)*100,1)</f>
        <v>35.700000000000003</v>
      </c>
    </row>
    <row r="11" spans="1:4" x14ac:dyDescent="0.2">
      <c r="A11">
        <v>1200</v>
      </c>
      <c r="B11" t="s">
        <v>703</v>
      </c>
      <c r="C11" s="129">
        <f>ROUND('DOE25'!L199+'DOE25'!L217+'DOE25'!L235+'DOE25'!L278+'DOE25'!L297+'DOE25'!L316,0)</f>
        <v>11360117</v>
      </c>
      <c r="D11" s="132">
        <f>ROUND((C11/$C$28)*100,1)</f>
        <v>18</v>
      </c>
    </row>
    <row r="12" spans="1:4" x14ac:dyDescent="0.2">
      <c r="A12">
        <v>1300</v>
      </c>
      <c r="B12" t="s">
        <v>704</v>
      </c>
      <c r="C12" s="129">
        <f>ROUND('DOE25'!L200+'DOE25'!L218+'DOE25'!L236+'DOE25'!L279+'DOE25'!L298+'DOE25'!L317,0)</f>
        <v>3215480</v>
      </c>
      <c r="D12" s="132">
        <f>ROUND((C12/$C$28)*100,1)</f>
        <v>5.0999999999999996</v>
      </c>
    </row>
    <row r="13" spans="1:4" x14ac:dyDescent="0.2">
      <c r="A13">
        <v>1400</v>
      </c>
      <c r="B13" t="s">
        <v>705</v>
      </c>
      <c r="C13" s="129">
        <f>ROUND('DOE25'!L201+'DOE25'!L219+'DOE25'!L237+'DOE25'!L280+'DOE25'!L299+'DOE25'!L318,0)</f>
        <v>1305484</v>
      </c>
      <c r="D13" s="132">
        <f>ROUND((C13/$C$28)*100,1)</f>
        <v>2.1</v>
      </c>
    </row>
    <row r="14" spans="1:4" x14ac:dyDescent="0.2">
      <c r="D14" s="132"/>
    </row>
    <row r="15" spans="1:4" x14ac:dyDescent="0.2">
      <c r="A15">
        <v>2100</v>
      </c>
      <c r="B15" t="s">
        <v>706</v>
      </c>
      <c r="C15" s="129">
        <f>ROUND('DOE25'!L203+'DOE25'!L221+'DOE25'!L239+'DOE25'!L282+'DOE25'!L301+'DOE25'!L320,0)</f>
        <v>4767943</v>
      </c>
      <c r="D15" s="132">
        <f t="shared" ref="D15:D27" si="0">ROUND((C15/$C$28)*100,1)</f>
        <v>7.6</v>
      </c>
    </row>
    <row r="16" spans="1:4" x14ac:dyDescent="0.2">
      <c r="A16">
        <v>2200</v>
      </c>
      <c r="B16" t="s">
        <v>707</v>
      </c>
      <c r="C16" s="129">
        <f>ROUND('DOE25'!L204+'DOE25'!L222+'DOE25'!L240+'DOE25'!L283+'DOE25'!L302+'DOE25'!L321,0)</f>
        <v>3551994</v>
      </c>
      <c r="D16" s="132">
        <f t="shared" si="0"/>
        <v>5.6</v>
      </c>
    </row>
    <row r="17" spans="1:4" x14ac:dyDescent="0.2">
      <c r="A17" s="133" t="s">
        <v>723</v>
      </c>
      <c r="B17" t="s">
        <v>738</v>
      </c>
      <c r="C17" s="129">
        <f>ROUND('DOE25'!L205+'DOE25'!L210+'DOE25'!L223+'DOE25'!L228+'DOE25'!L241+'DOE25'!L246+'DOE25'!L284+'DOE25'!L289+'DOE25'!L303+'DOE25'!L308+'DOE25'!L322+'DOE25'!L327,0)</f>
        <v>1673258</v>
      </c>
      <c r="D17" s="132">
        <f t="shared" si="0"/>
        <v>2.7</v>
      </c>
    </row>
    <row r="18" spans="1:4" x14ac:dyDescent="0.2">
      <c r="A18">
        <v>2400</v>
      </c>
      <c r="B18" t="s">
        <v>711</v>
      </c>
      <c r="C18" s="129">
        <f>ROUND('DOE25'!L206+'DOE25'!L224+'DOE25'!L242+'DOE25'!L285+'DOE25'!L304+'DOE25'!L323,0)</f>
        <v>2738241</v>
      </c>
      <c r="D18" s="132">
        <f t="shared" si="0"/>
        <v>4.3</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5478345</v>
      </c>
      <c r="D20" s="132">
        <f t="shared" si="0"/>
        <v>8.6999999999999993</v>
      </c>
    </row>
    <row r="21" spans="1:4" x14ac:dyDescent="0.2">
      <c r="A21">
        <v>2700</v>
      </c>
      <c r="B21" t="s">
        <v>710</v>
      </c>
      <c r="C21" s="129">
        <f>ROUND('DOE25'!L209+'DOE25'!L227+'DOE25'!L245+'DOE25'!L288+'DOE25'!L307+'DOE25'!L326,0)</f>
        <v>3142549</v>
      </c>
      <c r="D21" s="132">
        <f t="shared" si="0"/>
        <v>5</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581204</v>
      </c>
      <c r="D24" s="132">
        <f t="shared" si="0"/>
        <v>0.9</v>
      </c>
    </row>
    <row r="25" spans="1:4" x14ac:dyDescent="0.2">
      <c r="A25">
        <v>5120</v>
      </c>
      <c r="B25" t="s">
        <v>716</v>
      </c>
      <c r="C25" s="129">
        <f>ROUND('DOE25'!L262+'DOE25'!L343,0)</f>
        <v>2375500</v>
      </c>
      <c r="D25" s="132">
        <f t="shared" si="0"/>
        <v>3.8</v>
      </c>
    </row>
    <row r="26" spans="1:4" x14ac:dyDescent="0.2">
      <c r="A26" s="133" t="s">
        <v>717</v>
      </c>
      <c r="B26" t="s">
        <v>718</v>
      </c>
      <c r="C26" s="129">
        <f>'DOE25'!L269+'DOE25'!L270+'DOE25'!L350+'DOE25'!L351</f>
        <v>162500</v>
      </c>
      <c r="D26" s="132">
        <f t="shared" si="0"/>
        <v>0.3</v>
      </c>
    </row>
    <row r="27" spans="1:4" x14ac:dyDescent="0.2">
      <c r="A27">
        <v>3100</v>
      </c>
      <c r="B27" t="s">
        <v>11</v>
      </c>
      <c r="C27" s="129">
        <f>ROUND('DOE25'!L363-'DOE25'!L362,0)-SUM('DOE25'!G97:G110)</f>
        <v>133883.16000000003</v>
      </c>
      <c r="D27" s="132">
        <f t="shared" si="0"/>
        <v>0.2</v>
      </c>
    </row>
    <row r="28" spans="1:4" x14ac:dyDescent="0.2">
      <c r="B28" s="136" t="s">
        <v>719</v>
      </c>
      <c r="C28" s="130">
        <f>SUM(C10:C27)</f>
        <v>62998513.159999996</v>
      </c>
      <c r="D28" s="134">
        <f>ROUND(SUM(D10:D27),0)</f>
        <v>100</v>
      </c>
    </row>
    <row r="29" spans="1:4" x14ac:dyDescent="0.2">
      <c r="A29">
        <v>4000</v>
      </c>
      <c r="B29" t="s">
        <v>724</v>
      </c>
      <c r="C29" s="129">
        <f>ROUND('DOE25'!L256+'DOE25'!L337+'DOE25'!L375+'DOE25'!L376+'DOE25'!L377+'DOE25'!L378+'DOE25'!L379+'DOE25'!L380+'DOE25'!L381,0)</f>
        <v>68117</v>
      </c>
    </row>
    <row r="30" spans="1:4" x14ac:dyDescent="0.2">
      <c r="B30" s="136" t="s">
        <v>725</v>
      </c>
      <c r="C30" s="130">
        <f>SUM(C28:C29)</f>
        <v>63066630.159999996</v>
      </c>
    </row>
    <row r="31" spans="1:4" x14ac:dyDescent="0.2">
      <c r="B31" s="32"/>
      <c r="C31" s="130"/>
    </row>
    <row r="32" spans="1:4" x14ac:dyDescent="0.2">
      <c r="A32">
        <v>5100</v>
      </c>
      <c r="B32" s="32" t="s">
        <v>726</v>
      </c>
      <c r="C32" s="130">
        <f>ROUND('DOE25'!L261+'DOE25'!L342,0)</f>
        <v>2170840</v>
      </c>
    </row>
    <row r="34" spans="1:4" x14ac:dyDescent="0.2">
      <c r="A34" s="136" t="s">
        <v>94</v>
      </c>
      <c r="B34" s="137" t="s">
        <v>1801</v>
      </c>
      <c r="C34" s="131" t="s">
        <v>720</v>
      </c>
      <c r="D34" s="131" t="s">
        <v>721</v>
      </c>
    </row>
    <row r="35" spans="1:4" x14ac:dyDescent="0.2">
      <c r="A35">
        <v>1100</v>
      </c>
      <c r="B35" s="71" t="s">
        <v>727</v>
      </c>
      <c r="C35" s="129">
        <f>ROUND('DOE25'!F60+'DOE25'!G60+'DOE25'!H60+'DOE25'!I60+'DOE25'!J60,0)</f>
        <v>46435633</v>
      </c>
      <c r="D35" s="132">
        <f t="shared" ref="D35:D40" si="1">ROUND((C35/$C$41)*100,1)</f>
        <v>72.7</v>
      </c>
    </row>
    <row r="36" spans="1:4" x14ac:dyDescent="0.2">
      <c r="B36" s="71" t="s">
        <v>739</v>
      </c>
      <c r="C36" s="129">
        <f>SUM('DOE25'!F112:J112)-SUM('DOE25'!G97:G110)+('DOE25'!F175+'DOE25'!F176+'DOE25'!I175+'DOE25'!I176)-C35</f>
        <v>2096505.6399999931</v>
      </c>
      <c r="D36" s="132">
        <f t="shared" si="1"/>
        <v>3.3</v>
      </c>
    </row>
    <row r="37" spans="1:4" x14ac:dyDescent="0.2">
      <c r="A37" s="133" t="s">
        <v>834</v>
      </c>
      <c r="B37" s="71" t="s">
        <v>728</v>
      </c>
      <c r="C37" s="129">
        <f>ROUND('DOE25'!F117+'DOE25'!F118,0)</f>
        <v>10631881</v>
      </c>
      <c r="D37" s="132">
        <f t="shared" si="1"/>
        <v>16.600000000000001</v>
      </c>
    </row>
    <row r="38" spans="1:4" x14ac:dyDescent="0.2">
      <c r="A38" s="133" t="s">
        <v>734</v>
      </c>
      <c r="B38" s="71" t="s">
        <v>729</v>
      </c>
      <c r="C38" s="129">
        <f>ROUND(SUM('DOE25'!F140:J140)-SUM('DOE25'!F117:F119),0)</f>
        <v>2658907</v>
      </c>
      <c r="D38" s="132">
        <f t="shared" si="1"/>
        <v>4.2</v>
      </c>
    </row>
    <row r="39" spans="1:4" x14ac:dyDescent="0.2">
      <c r="A39">
        <v>4000</v>
      </c>
      <c r="B39" s="71" t="s">
        <v>730</v>
      </c>
      <c r="C39" s="129">
        <f>ROUND('DOE25'!F170+'DOE25'!G170+'DOE25'!H170+'DOE25'!I170,0)</f>
        <v>2092375</v>
      </c>
      <c r="D39" s="132">
        <f t="shared" si="1"/>
        <v>3.3</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63915301.639999993</v>
      </c>
      <c r="D41" s="134">
        <f>SUM(D35:D40)</f>
        <v>100.1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T23" sqref="T23"/>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Exeter Region Cooperative</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t="s">
        <v>1818</v>
      </c>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t="s">
        <v>1819</v>
      </c>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t="str">
        <f>IFERROR(SMALL($I$4:$I$325,ROWS($I$4:I4)),"")</f>
        <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10</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18</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f>IF('School Level Expenditures'!$B$2='School Tables'!L13,'School Tables'!S13,"")</f>
        <v>10</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f>IF('School Level Expenditures'!$B$2='School Tables'!W21,'School Tables'!AD21,"")</f>
        <v>18</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2023-08-29T19:18:47Z</cp:lastPrinted>
  <dcterms:created xsi:type="dcterms:W3CDTF">1997-12-04T19:04:30Z</dcterms:created>
  <dcterms:modified xsi:type="dcterms:W3CDTF">2023-12-28T16:45:25Z</dcterms:modified>
</cp:coreProperties>
</file>