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8F7720EA-F04D-4277-84E3-7C835FE5E8B8}"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H88" i="2" s="1"/>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C125" i="2" s="1"/>
  <c r="H125" i="2" s="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C121" i="2" s="1"/>
  <c r="G14" i="13"/>
  <c r="H14" i="13"/>
  <c r="L208" i="1"/>
  <c r="L226" i="1"/>
  <c r="L244" i="1"/>
  <c r="G15" i="13"/>
  <c r="H15" i="13"/>
  <c r="L209" i="1"/>
  <c r="L227" i="1"/>
  <c r="L245" i="1"/>
  <c r="G652" i="1" s="1"/>
  <c r="J652" i="1" s="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C13" i="10"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0" i="2"/>
  <c r="E124"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51" i="1"/>
  <c r="H653" i="1"/>
  <c r="G654" i="1"/>
  <c r="H654" i="1"/>
  <c r="H655" i="1"/>
  <c r="H656" i="1"/>
  <c r="I170" i="1"/>
  <c r="G646" i="1" l="1"/>
  <c r="F409" i="1"/>
  <c r="H644" i="1" s="1"/>
  <c r="D6" i="13"/>
  <c r="C6" i="13" s="1"/>
  <c r="L2" i="14"/>
  <c r="L3" i="14" s="1"/>
  <c r="E13" i="13"/>
  <c r="C13" i="13" s="1"/>
  <c r="H102" i="2"/>
  <c r="H100" i="2"/>
  <c r="H98" i="2"/>
  <c r="H73" i="2"/>
  <c r="H23" i="2"/>
  <c r="H15" i="2"/>
  <c r="H11" i="2"/>
  <c r="H38" i="2"/>
  <c r="H43" i="2"/>
  <c r="H47" i="2"/>
  <c r="H112" i="2"/>
  <c r="H89" i="2"/>
  <c r="H72" i="2"/>
  <c r="H59" i="2"/>
  <c r="H34" i="2"/>
  <c r="M2" i="14"/>
  <c r="M3" i="14" s="1"/>
  <c r="H29" i="2"/>
  <c r="H27" i="2"/>
  <c r="H24" i="2"/>
  <c r="H12" i="2"/>
  <c r="H8" i="2"/>
  <c r="K2" i="14"/>
  <c r="K3" i="14" s="1"/>
  <c r="D15" i="13"/>
  <c r="C15" i="13" s="1"/>
  <c r="H121" i="2"/>
  <c r="C12" i="10"/>
  <c r="H120" i="2"/>
  <c r="H132" i="2"/>
  <c r="H36" i="2"/>
  <c r="H44" i="2"/>
  <c r="H48" i="2"/>
  <c r="H77" i="2"/>
  <c r="H101" i="2"/>
  <c r="D144" i="2"/>
  <c r="H134" i="2"/>
  <c r="H97" i="2"/>
  <c r="H93" i="2"/>
  <c r="H87" i="2"/>
  <c r="H61" i="2"/>
  <c r="H26" i="2"/>
  <c r="H22" i="2"/>
  <c r="J112" i="1"/>
  <c r="J194" i="1" s="1"/>
  <c r="G647" i="1" s="1"/>
  <c r="H57" i="2"/>
  <c r="E121" i="2"/>
  <c r="N2" i="14"/>
  <c r="N3" i="14" s="1"/>
  <c r="H96" i="2"/>
  <c r="H99" i="2"/>
  <c r="H79" i="2"/>
  <c r="H76" i="2"/>
  <c r="H58" i="2"/>
  <c r="G409" i="1"/>
  <c r="H646" i="1" s="1"/>
  <c r="J646" i="1" s="1"/>
  <c r="H137" i="2"/>
  <c r="H35" i="2"/>
  <c r="H13" i="2"/>
  <c r="H9" i="2"/>
  <c r="H131" i="2"/>
  <c r="E119" i="2"/>
  <c r="H119" i="2" s="1"/>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91" i="2" s="1"/>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H50" i="2" s="1"/>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F194" i="1" s="1"/>
  <c r="G63" i="2"/>
  <c r="J619" i="1"/>
  <c r="G42" i="2"/>
  <c r="G50" i="2" s="1"/>
  <c r="J51" i="1"/>
  <c r="G16" i="2"/>
  <c r="G18" i="2" s="1"/>
  <c r="J19" i="1"/>
  <c r="G622" i="1" s="1"/>
  <c r="F546" i="1"/>
  <c r="H435" i="1"/>
  <c r="D103" i="2"/>
  <c r="I140" i="1"/>
  <c r="A22" i="12"/>
  <c r="J653" i="1"/>
  <c r="G572" i="1"/>
  <c r="I435" i="1"/>
  <c r="G435" i="1"/>
  <c r="I664" i="1"/>
  <c r="E51" i="2" l="1"/>
  <c r="D128" i="2"/>
  <c r="D145" i="2" s="1"/>
  <c r="H127" i="2"/>
  <c r="H103" i="2"/>
  <c r="C81" i="2"/>
  <c r="H81" i="2" s="1"/>
  <c r="H78" i="2"/>
  <c r="I662" i="1"/>
  <c r="H21" i="2"/>
  <c r="H85" i="2"/>
  <c r="H31" i="2"/>
  <c r="H62" i="2"/>
  <c r="H42" i="2"/>
  <c r="E128" i="2"/>
  <c r="H18" i="2"/>
  <c r="H16" i="2"/>
  <c r="M24" i="14"/>
  <c r="F661" i="1"/>
  <c r="E115" i="2"/>
  <c r="H109" i="2"/>
  <c r="F144" i="2"/>
  <c r="H130" i="2"/>
  <c r="H661" i="1"/>
  <c r="H665" i="1" s="1"/>
  <c r="H194" i="1"/>
  <c r="G630" i="1" s="1"/>
  <c r="J630" i="1" s="1"/>
  <c r="H649" i="1"/>
  <c r="J649" i="1" s="1"/>
  <c r="C141" i="2"/>
  <c r="F51" i="2"/>
  <c r="G36" i="14"/>
  <c r="H36" i="14" s="1"/>
  <c r="E104" i="2"/>
  <c r="C36" i="10"/>
  <c r="L435" i="1"/>
  <c r="G639" i="1" s="1"/>
  <c r="J639" i="1" s="1"/>
  <c r="F665" i="1"/>
  <c r="F670"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H51" i="2" s="1"/>
  <c r="G632" i="1"/>
  <c r="J632" i="1" s="1"/>
  <c r="G194" i="1"/>
  <c r="G629" i="1" s="1"/>
  <c r="J629" i="1" s="1"/>
  <c r="G627" i="1"/>
  <c r="J627" i="1" s="1"/>
  <c r="J52" i="1"/>
  <c r="H622" i="1" s="1"/>
  <c r="J622" i="1" s="1"/>
  <c r="C38" i="10"/>
  <c r="C104" i="2" l="1"/>
  <c r="H104" i="2" s="1"/>
  <c r="H63" i="2"/>
  <c r="C144" i="2"/>
  <c r="C145"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<sst xmlns="http://schemas.openxmlformats.org/spreadsheetml/2006/main" count="6568" uniqueCount="1823">
  <si>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</si>
  <si>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</si>
  <si>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</si>
  <si>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</si>
  <si>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</si>
  <si>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</si>
  <si>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</si>
  <si>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</si>
  <si>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</si>
  <si>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</si>
  <si>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</si>
  <si>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</si>
  <si>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</si>
  <si>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</si>
  <si>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</si>
  <si>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</si>
  <si>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</si>
  <si>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</si>
  <si>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</si>
  <si>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</si>
  <si>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</si>
  <si>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</si>
  <si>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</si>
  <si>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</si>
  <si>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</si>
  <si>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</si>
  <si>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</si>
  <si>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</si>
  <si>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</si>
  <si>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</si>
  <si>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</si>
  <si>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</si>
  <si>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</si>
  <si>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</si>
  <si>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</si>
  <si>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</si>
  <si>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</si>
  <si>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</si>
  <si>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</si>
  <si>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</si>
  <si>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</si>
  <si>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</si>
  <si>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</si>
  <si>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</si>
  <si>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</si>
  <si>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</si>
  <si>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</si>
  <si>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</si>
  <si>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</si>
  <si>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</si>
  <si>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</si>
  <si>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</si>
  <si>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</si>
  <si>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</si>
  <si>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</si>
  <si>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</si>
  <si>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</si>
  <si>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</si>
  <si>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</si>
  <si>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</si>
  <si>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</si>
  <si>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</si>
  <si>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</si>
  <si>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</si>
  <si>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</si>
  <si>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</si>
  <si>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</si>
  <si>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</si>
  <si>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</si>
  <si>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</si>
  <si>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</si>
  <si>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</si>
  <si>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</si>
  <si>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</si>
  <si>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</si>
  <si>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</si>
  <si>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</si>
  <si>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</si>
  <si>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</si>
  <si>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</si>
  <si>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</si>
  <si>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</si>
  <si>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</si>
  <si>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</si>
  <si>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</si>
  <si>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</si>
  <si>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</si>
  <si>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</si>
  <si>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</si>
  <si>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</si>
  <si>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</si>
  <si>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</si>
  <si>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</si>
  <si>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</si>
  <si>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</si>
  <si>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</si>
  <si>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</si>
  <si>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</si>
  <si>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</si>
  <si>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</si>
  <si>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</si>
  <si>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</si>
  <si>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</si>
  <si>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</si>
  <si>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</si>
  <si>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</si>
  <si>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</si>
  <si>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</si>
  <si>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</si>
  <si>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</si>
  <si>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</si>
  <si>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</si>
  <si>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</si>
  <si>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</si>
  <si>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</si>
  <si>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</si>
  <si>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</si>
  <si>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</si>
  <si>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</si>
  <si>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</si>
  <si>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</si>
  <si>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</si>
  <si>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</si>
  <si>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</si>
  <si>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</si>
  <si>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</si>
  <si>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</si>
  <si>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</si>
  <si>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</si>
  <si>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</si>
  <si>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</si>
  <si>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</si>
  <si>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</si>
  <si>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</si>
  <si>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</si>
  <si>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</si>
  <si>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</si>
  <si>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</si>
  <si>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</si>
  <si>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</si>
  <si>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</si>
  <si>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</si>
  <si>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</si>
  <si>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</si>
  <si>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</si>
  <si>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</si>
  <si>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</si>
  <si>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</si>
  <si>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</si>
  <si>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</si>
  <si>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</si>
  <si>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</si>
  <si>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</si>
  <si>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</si>
  <si>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</si>
  <si>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</si>
  <si>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</si>
  <si>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</si>
  <si>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</si>
  <si>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</si>
  <si>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</si>
  <si>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</si>
  <si>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</si>
  <si>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</si>
  <si>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</si>
  <si>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</si>
  <si>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</si>
  <si>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</si>
  <si>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</si>
  <si>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</si>
  <si>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</si>
  <si>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</si>
  <si>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</si>
  <si>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</si>
  <si>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</si>
  <si>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</si>
  <si>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</si>
  <si>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</si>
  <si>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</si>
  <si>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</si>
  <si>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</si>
  <si>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</si>
  <si>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</si>
  <si>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</si>
  <si>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</si>
  <si>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</si>
  <si>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</si>
  <si>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</si>
  <si>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</si>
  <si>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</si>
  <si>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</si>
  <si>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</si>
  <si>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</si>
  <si>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</si>
  <si>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</si>
  <si>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</si>
  <si>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</si>
  <si>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</si>
  <si>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</si>
  <si>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</si>
  <si>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</si>
  <si>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</si>
  <si>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</si>
  <si>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</si>
  <si>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</si>
  <si>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</si>
  <si>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</si>
  <si>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</si>
  <si>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</si>
  <si>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</si>
  <si>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</si>
  <si>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</si>
  <si>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</si>
  <si>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</si>
  <si>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</si>
  <si>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</si>
  <si>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</si>
  <si>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</si>
  <si>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</si>
  <si>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</si>
  <si>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</si>
  <si>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</si>
  <si>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</si>
  <si>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</si>
  <si>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</si>
  <si>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</si>
  <si>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</si>
  <si>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</si>
  <si>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</si>
  <si>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</si>
  <si>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</si>
  <si>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</si>
  <si>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</si>
  <si>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</si>
  <si>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</si>
  <si>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</si>
  <si>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</si>
  <si>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</si>
  <si>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</si>
  <si>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</si>
  <si>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</si>
  <si>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</si>
  <si>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</si>
  <si>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</si>
  <si>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</si>
  <si>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</si>
  <si>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</si>
  <si>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</si>
  <si>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</si>
  <si>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</si>
  <si>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</si>
  <si>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</si>
  <si>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</si>
  <si>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</si>
  <si>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</si>
  <si>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</si>
  <si>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</si>
  <si>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</si>
  <si>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</si>
  <si>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</si>
  <si>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</si>
  <si>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</si>
  <si>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</si>
  <si>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</si>
  <si>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</si>
  <si>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</si>
  <si>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</si>
  <si>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</si>
  <si>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</si>
  <si>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</si>
  <si>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</si>
  <si>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</si>
  <si>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</si>
  <si>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</si>
  <si>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</si>
  <si>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</si>
  <si>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</si>
  <si>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</si>
  <si>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</si>
  <si>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</si>
  <si>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</si>
  <si>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</si>
  <si>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</si>
  <si>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</si>
  <si>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</si>
  <si>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</si>
  <si>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</si>
  <si>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</si>
  <si>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</si>
  <si>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</si>
  <si>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</si>
  <si>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</si>
  <si>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</si>
  <si>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</si>
  <si>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</si>
  <si>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</si>
  <si>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</si>
  <si>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</si>
  <si>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</si>
  <si>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</si>
  <si>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</si>
  <si>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</si>
  <si>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</si>
  <si>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</si>
  <si>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</si>
  <si>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</si>
  <si>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</si>
  <si>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</si>
  <si>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</si>
  <si>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</si>
  <si>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</si>
  <si>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</si>
  <si>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</si>
  <si>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</si>
  <si>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</si>
  <si>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</si>
  <si>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</si>
  <si>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</si>
  <si>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</si>
  <si>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</si>
  <si>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</si>
  <si>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</si>
  <si>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</si>
  <si>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</si>
  <si>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</si>
  <si>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</si>
  <si>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</si>
  <si>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</si>
  <si>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</si>
  <si>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</si>
  <si>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</si>
  <si>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</si>
  <si>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</si>
  <si>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</si>
  <si>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</si>
  <si>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</si>
  <si>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</si>
  <si>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</si>
  <si>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</si>
  <si>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</si>
  <si>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</si>
  <si>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</si>
  <si>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</si>
  <si>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</si>
  <si>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</si>
  <si>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</si>
  <si>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</si>
  <si>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</si>
  <si>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</si>
  <si>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</si>
  <si>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</si>
  <si>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</si>
  <si>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</si>
  <si>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</si>
  <si>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</si>
  <si>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</si>
  <si>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</si>
  <si>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</si>
  <si>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</si>
  <si>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</si>
  <si>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</si>
  <si>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</si>
  <si>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</si>
  <si>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</si>
  <si>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</si>
  <si>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</si>
  <si>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</si>
  <si>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</si>
  <si>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</si>
  <si>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</si>
  <si>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</si>
  <si>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</si>
  <si>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</si>
  <si>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</si>
  <si>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</si>
  <si>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</si>
  <si>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</si>
  <si>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</si>
  <si>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</si>
  <si>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</si>
  <si>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</si>
  <si>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</si>
  <si>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</si>
  <si>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</si>
  <si>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</si>
  <si>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</si>
  <si>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</si>
  <si>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</si>
  <si>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</si>
  <si>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</si>
  <si>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</si>
  <si>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</si>
  <si>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</si>
  <si>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</si>
  <si>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</si>
  <si>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</si>
  <si>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</si>
  <si>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</si>
  <si>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</si>
  <si>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</si>
  <si>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</si>
  <si>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</si>
  <si>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</si>
  <si>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</si>
  <si>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</si>
  <si>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</si>
  <si>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</si>
  <si>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</si>
  <si>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</si>
  <si>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</si>
  <si>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</si>
  <si>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</si>
  <si>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</si>
  <si>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</si>
  <si>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</si>
  <si>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</si>
  <si>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</si>
  <si>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</si>
  <si>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</si>
  <si>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</si>
  <si>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</si>
  <si>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</si>
  <si>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</si>
  <si>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</si>
  <si>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</si>
  <si>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</si>
  <si>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</si>
  <si>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</si>
  <si>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</si>
  <si>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</si>
  <si>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</si>
  <si>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</si>
  <si>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</si>
  <si>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</si>
  <si>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</si>
  <si>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</si>
  <si>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</si>
  <si>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</si>
  <si>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</si>
  <si>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</si>
  <si>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</si>
  <si>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</si>
  <si>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</si>
  <si>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</si>
  <si>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</si>
  <si>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</si>
  <si>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</si>
  <si>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</si>
  <si>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</si>
  <si>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</si>
  <si>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</si>
  <si>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</si>
  <si>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</si>
  <si>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</si>
  <si>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</si>
  <si>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</si>
  <si>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</si>
  <si>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</si>
  <si>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</si>
  <si>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</si>
  <si>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</si>
  <si>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</si>
  <si>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</si>
  <si>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</si>
  <si>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</si>
  <si>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</si>
  <si>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</si>
  <si>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</si>
  <si>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</si>
  <si>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</si>
  <si>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</si>
  <si>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</si>
  <si>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</si>
  <si>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</si>
  <si>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</si>
  <si>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</si>
  <si>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</si>
  <si>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</si>
  <si>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</si>
  <si>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</si>
  <si>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</si>
  <si>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</si>
  <si>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</si>
  <si>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</si>
  <si>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</si>
  <si>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</si>
  <si>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</si>
  <si>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</si>
  <si>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</si>
  <si>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</si>
  <si>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</si>
  <si>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</si>
  <si>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</si>
  <si>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</si>
  <si>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</si>
  <si>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</si>
  <si>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</si>
  <si>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</si>
  <si>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</si>
  <si>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</si>
  <si>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</si>
  <si>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</si>
  <si>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</si>
  <si>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</si>
  <si>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</si>
  <si>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</si>
  <si>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</si>
  <si>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</si>
  <si>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</si>
  <si>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</si>
  <si>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</si>
  <si>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</si>
  <si>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</si>
  <si>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</si>
  <si>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</si>
  <si>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</si>
  <si>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</si>
  <si>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</si>
  <si>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</si>
  <si>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</si>
  <si>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</si>
  <si>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</si>
  <si>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</si>
  <si>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</si>
  <si>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</si>
  <si>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</si>
  <si>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</si>
  <si>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</si>
  <si>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</si>
  <si>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</si>
  <si>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</si>
  <si>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</si>
  <si>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</si>
  <si>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</si>
  <si>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</si>
  <si>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</si>
  <si>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</si>
  <si>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</si>
  <si>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</si>
  <si>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</si>
  <si>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</si>
  <si>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</si>
  <si>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</si>
  <si>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</si>
  <si>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</si>
  <si>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</si>
  <si>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</si>
  <si>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</si>
  <si>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</si>
  <si>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</si>
  <si>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</si>
  <si>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</si>
  <si>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</si>
  <si>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</si>
  <si>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</si>
  <si>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</si>
  <si>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</si>
  <si>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</si>
  <si>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</si>
  <si>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</si>
  <si>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</si>
  <si>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</si>
  <si>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</si>
  <si>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</si>
  <si>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</si>
  <si>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</si>
  <si>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</si>
  <si>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</si>
  <si>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</si>
  <si>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</si>
  <si>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</si>
  <si>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</si>
  <si>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</si>
  <si>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</si>
  <si>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</si>
  <si>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</si>
  <si>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</si>
  <si>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</si>
  <si>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</si>
  <si>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</si>
  <si>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</si>
  <si>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</si>
  <si>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</si>
  <si>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</si>
  <si>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</si>
  <si>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</si>
  <si>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</si>
  <si>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</si>
  <si>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</si>
  <si>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</si>
  <si>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</si>
  <si>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</si>
  <si>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</si>
  <si>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</si>
  <si>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</si>
  <si>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</si>
  <si>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</si>
  <si>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</si>
  <si>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</si>
  <si>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</si>
  <si>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</si>
  <si>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</si>
  <si>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</si>
  <si>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</si>
  <si>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</si>
  <si>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</si>
  <si>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</si>
  <si>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</si>
  <si>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</si>
  <si>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</si>
  <si>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</si>
  <si>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</si>
  <si>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</si>
  <si>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</si>
  <si>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</si>
  <si>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</si>
  <si>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</si>
  <si>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</si>
  <si>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</si>
  <si>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</si>
  <si>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</si>
  <si>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</si>
  <si>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</si>
  <si>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</si>
  <si>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</si>
  <si>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</si>
  <si>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</si>
  <si>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</si>
  <si>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</si>
  <si>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</si>
  <si>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</si>
  <si>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</si>
  <si>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</si>
  <si>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</si>
  <si>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</si>
  <si>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</si>
  <si>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</si>
  <si>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</si>
  <si>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</si>
  <si>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</si>
  <si>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</si>
  <si>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</si>
  <si>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</si>
  <si>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</si>
  <si>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</si>
  <si>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</si>
  <si>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</si>
  <si>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</si>
  <si>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</si>
  <si>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</si>
  <si>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</si>
  <si>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</si>
  <si>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</si>
  <si>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</si>
  <si>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</si>
  <si>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</si>
  <si>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</si>
  <si>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</si>
  <si>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</si>
  <si>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</si>
  <si>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</si>
  <si>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</si>
  <si>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</si>
  <si>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</si>
  <si>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</si>
  <si>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</si>
  <si>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</si>
  <si>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</si>
  <si>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</si>
  <si>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</si>
  <si>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</si>
  <si>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</si>
  <si>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</si>
  <si>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</si>
  <si>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</si>
  <si>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</si>
  <si>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</si>
  <si>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</si>
  <si>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</si>
  <si>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</si>
  <si>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</si>
  <si>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</si>
  <si>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</si>
  <si>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</si>
  <si>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</si>
  <si>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</si>
  <si>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</si>
  <si>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</si>
  <si>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</si>
  <si>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</si>
  <si>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</si>
  <si>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</si>
  <si>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</si>
  <si>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</si>
  <si>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</si>
  <si>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</si>
  <si>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</si>
  <si>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</si>
  <si>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</si>
  <si>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</si>
  <si>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</si>
  <si>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</si>
  <si>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</si>
  <si>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</si>
  <si>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</si>
  <si>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</si>
  <si>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</si>
  <si>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</si>
  <si>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</si>
  <si>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</si>
  <si>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</si>
  <si>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</si>
  <si>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</si>
  <si>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</si>
  <si>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</si>
  <si>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</si>
  <si>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</si>
  <si>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</si>
  <si>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</si>
  <si>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</si>
  <si>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</si>
  <si>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</si>
  <si>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</si>
  <si>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</si>
  <si>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</si>
  <si>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</si>
  <si>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</si>
  <si>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</si>
  <si>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</si>
  <si>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</si>
  <si>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</si>
  <si>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</si>
  <si>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</si>
  <si>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</si>
  <si>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</si>
  <si>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</si>
  <si>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</si>
  <si>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</si>
  <si>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</si>
  <si>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</si>
  <si>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</si>
  <si>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</si>
  <si>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</si>
  <si>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</si>
  <si>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</si>
  <si>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</si>
  <si>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</si>
  <si>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</si>
  <si>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</si>
  <si>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</si>
  <si>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</si>
  <si>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</si>
  <si>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</si>
  <si>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</si>
  <si>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</si>
  <si>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</si>
  <si>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</si>
  <si>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</si>
  <si>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</si>
  <si>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</si>
  <si>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</si>
  <si>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</si>
  <si>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</si>
  <si>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</si>
  <si>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</si>
  <si>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</si>
  <si>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</si>
  <si>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</si>
  <si>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</si>
  <si>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</si>
  <si>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</si>
  <si>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</si>
  <si>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</si>
  <si>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</si>
  <si>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</si>
  <si>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</si>
  <si>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</si>
  <si>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</si>
  <si>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</si>
  <si>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</si>
  <si>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</si>
  <si>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</si>
  <si>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</si>
  <si>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</si>
  <si>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</si>
  <si>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</si>
  <si>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</si>
  <si>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</si>
  <si>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</si>
  <si>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</si>
  <si>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</si>
  <si>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</si>
  <si>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</si>
  <si>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</si>
  <si>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</si>
  <si>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</si>
  <si>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</si>
  <si>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</si>
  <si>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</si>
  <si>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</si>
  <si>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</si>
  <si>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</si>
  <si>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</si>
  <si>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</si>
  <si>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</si>
  <si>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</si>
  <si>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</si>
  <si>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</si>
  <si>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</si>
  <si>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</si>
  <si>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</si>
  <si>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</si>
  <si>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</si>
  <si>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</si>
  <si>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</si>
  <si>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</si>
  <si>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</si>
  <si>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</si>
  <si>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</si>
  <si>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</si>
  <si>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</si>
  <si>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</si>
  <si>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</si>
  <si>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</si>
  <si>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</si>
  <si>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</si>
  <si>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</si>
  <si>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</si>
  <si>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</si>
  <si>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</si>
  <si>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</si>
  <si>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</si>
  <si>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</si>
  <si>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</si>
  <si>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</si>
  <si>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</si>
  <si>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</si>
  <si>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</si>
  <si>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</si>
  <si>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</si>
  <si>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</si>
  <si>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</si>
  <si>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</si>
  <si>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</si>
  <si>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</si>
  <si>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</si>
  <si>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</si>
  <si>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</si>
  <si>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</si>
  <si>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</si>
  <si>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</si>
  <si>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</si>
  <si>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</si>
  <si>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</si>
  <si>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</si>
  <si>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</si>
  <si>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</si>
  <si>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</si>
  <si>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</si>
  <si>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</si>
  <si>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</si>
  <si>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</si>
  <si>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</si>
  <si>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</si>
  <si>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</si>
  <si>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</si>
  <si>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</si>
  <si>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</si>
  <si>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</si>
  <si>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</si>
  <si>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</si>
  <si>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</si>
  <si>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</si>
  <si>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</si>
  <si>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</si>
  <si>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</si>
  <si>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</si>
  <si>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</si>
  <si>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</si>
  <si>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</si>
  <si>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</si>
  <si>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</si>
  <si>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</si>
  <si>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</si>
  <si>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</si>
  <si>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</si>
  <si>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</si>
  <si>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</si>
  <si>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</si>
  <si>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</si>
  <si>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</si>
  <si>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</si>
  <si>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</si>
  <si>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</si>
  <si>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</si>
  <si>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</si>
  <si>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</si>
  <si>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</si>
  <si>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</si>
  <si>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</si>
  <si>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</si>
  <si>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</si>
  <si>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</si>
  <si>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</si>
  <si>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</si>
  <si>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</si>
  <si>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</si>
  <si>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</si>
  <si>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</si>
  <si>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</si>
  <si>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</si>
  <si>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</si>
  <si>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</si>
  <si>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</si>
  <si>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</si>
  <si>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</si>
  <si>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</si>
  <si>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</si>
  <si>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</si>
  <si>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</si>
  <si>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</si>
  <si>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</si>
  <si>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</si>
  <si>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</si>
  <si>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</si>
  <si>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</si>
  <si>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</si>
  <si>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</si>
  <si>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</si>
  <si>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</si>
  <si>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</si>
  <si>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</si>
  <si>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</si>
  <si>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</si>
  <si>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</si>
  <si>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</si>
  <si>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</si>
  <si>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</si>
  <si>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</si>
  <si>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</si>
  <si>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</si>
  <si>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</si>
  <si>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</si>
  <si>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</si>
  <si>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</si>
  <si>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</si>
  <si>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</si>
  <si>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</si>
  <si>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</si>
  <si>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</si>
  <si>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</si>
  <si>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</si>
  <si>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</si>
  <si>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</si>
  <si>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</si>
  <si>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</si>
  <si>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</si>
  <si>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</si>
  <si>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</si>
  <si>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</si>
  <si>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</si>
  <si>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</si>
  <si>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</si>
  <si>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</si>
  <si>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</si>
  <si>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</si>
  <si>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</si>
  <si>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</si>
  <si>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</si>
  <si>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</si>
  <si>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</si>
  <si>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</si>
  <si>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</si>
  <si>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</si>
  <si>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</si>
  <si>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</si>
  <si>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</si>
  <si>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</si>
  <si>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</si>
  <si>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</si>
  <si>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</si>
  <si>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</si>
  <si>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</si>
  <si>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</si>
  <si>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</si>
  <si>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</si>
  <si>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</si>
  <si>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</si>
  <si>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</si>
  <si>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</si>
  <si>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</si>
  <si>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</si>
  <si>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</si>
  <si>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</si>
  <si>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</si>
  <si>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</si>
  <si>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</si>
  <si>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</si>
  <si>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</si>
  <si>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</si>
  <si>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</si>
  <si>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</si>
  <si>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</si>
  <si>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</si>
  <si>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</si>
  <si>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</si>
  <si>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</si>
  <si>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</si>
  <si>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</si>
  <si>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</si>
  <si>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</si>
  <si>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</si>
  <si>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</si>
  <si>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</si>
  <si>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</si>
  <si>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</si>
  <si>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</si>
  <si>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</si>
  <si>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</si>
  <si>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</si>
  <si>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</si>
  <si>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</si>
  <si>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</si>
  <si>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</si>
  <si>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</si>
  <si>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</si>
  <si>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</si>
  <si>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</si>
  <si>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</si>
  <si>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</si>
  <si>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</si>
  <si>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</si>
  <si>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</si>
  <si>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</si>
  <si>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</si>
  <si>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</si>
  <si>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</si>
  <si>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</si>
  <si>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</si>
  <si>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</si>
  <si>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</si>
  <si>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</si>
  <si>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</si>
  <si>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</si>
  <si>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</si>
  <si>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</si>
  <si>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</si>
  <si>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</si>
  <si>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</si>
  <si>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</si>
  <si>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</si>
  <si>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</si>
  <si>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</si>
  <si>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</si>
  <si>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</si>
  <si>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</si>
  <si>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</si>
  <si>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</si>
  <si>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</si>
  <si>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</si>
  <si>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</si>
  <si>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</si>
  <si>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</si>
  <si>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</si>
  <si>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</si>
  <si>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</si>
  <si>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</si>
  <si>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</si>
  <si>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</si>
  <si>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</si>
  <si>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</si>
  <si>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</si>
  <si>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</si>
  <si>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</si>
  <si>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</si>
  <si>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</si>
  <si>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</si>
  <si>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</si>
  <si>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</si>
  <si>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</si>
  <si>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</si>
  <si>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</si>
  <si>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</si>
  <si>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</si>
  <si>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</si>
  <si>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</si>
  <si>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</si>
  <si>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</si>
  <si>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</si>
  <si>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</si>
  <si>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</si>
  <si>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</si>
  <si>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</si>
  <si>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</si>
  <si>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</si>
  <si>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</si>
  <si>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</si>
  <si>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</si>
  <si>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</si>
  <si>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</si>
  <si>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</si>
  <si>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</si>
  <si>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</si>
  <si>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</si>
  <si>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</si>
  <si>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</si>
  <si>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</si>
  <si>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</si>
  <si>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</si>
  <si>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</si>
  <si>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</si>
  <si>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</si>
  <si>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</si>
  <si>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</si>
  <si>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</si>
  <si>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</si>
  <si>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</si>
  <si>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</si>
  <si>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</si>
  <si>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</si>
  <si>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</si>
  <si>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</si>
  <si>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</si>
  <si>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</si>
  <si>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</si>
  <si>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</si>
  <si>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</si>
  <si>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</si>
  <si>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</si>
  <si>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</si>
  <si>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</si>
  <si>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</si>
  <si>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</si>
  <si>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</si>
  <si>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</si>
  <si>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</si>
  <si>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</si>
  <si>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</si>
  <si>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</si>
  <si>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</si>
  <si>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</si>
  <si>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</si>
  <si>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</si>
  <si>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</si>
  <si>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</si>
  <si>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</si>
  <si>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</si>
  <si>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</si>
  <si>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</si>
  <si>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</si>
  <si>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</si>
  <si>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</si>
  <si>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</si>
  <si>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</si>
  <si>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</si>
  <si>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</si>
  <si>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</si>
  <si>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</si>
  <si>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</si>
  <si>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</si>
  <si>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</si>
  <si>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</si>
  <si>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</si>
  <si>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</si>
  <si>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</si>
  <si>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</si>
  <si>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</si>
  <si>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</si>
  <si>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</si>
  <si>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</si>
  <si>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</si>
  <si>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</si>
  <si>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</si>
  <si>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</si>
  <si>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</si>
  <si>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</si>
  <si>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</si>
  <si>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</si>
  <si>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</si>
  <si>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</si>
  <si>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</si>
  <si>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</si>
  <si>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</si>
  <si>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</si>
  <si>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</si>
  <si>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</si>
  <si>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</si>
  <si>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</si>
  <si>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</si>
  <si>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</si>
  <si>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</si>
  <si>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</si>
  <si>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</si>
  <si>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</si>
  <si>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</si>
  <si>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</si>
  <si>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</si>
  <si>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</si>
  <si>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</si>
  <si>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</si>
  <si>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</si>
  <si>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</si>
  <si>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</si>
  <si>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</si>
  <si>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</si>
  <si>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</si>
  <si>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</si>
  <si>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</si>
  <si>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</si>
  <si>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</si>
  <si>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</si>
  <si>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</si>
  <si>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</si>
  <si>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</si>
  <si>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</si>
  <si>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</si>
  <si>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</si>
  <si>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</si>
  <si>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</si>
  <si>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</si>
  <si>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</si>
  <si>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</si>
  <si>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</si>
  <si>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</si>
  <si>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</si>
  <si>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</si>
  <si>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</si>
  <si>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</si>
  <si>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</si>
  <si>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</si>
  <si>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</si>
  <si>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</si>
  <si>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</si>
  <si>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</si>
  <si>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</si>
  <si>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</si>
  <si>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</si>
  <si>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</si>
  <si>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</si>
  <si>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</si>
  <si>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</si>
  <si>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</si>
  <si>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</si>
  <si>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</si>
  <si>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</si>
  <si>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</si>
  <si>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</si>
  <si>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</si>
  <si>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</si>
  <si>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</si>
  <si>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</si>
  <si>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</si>
  <si>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</si>
  <si>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</si>
  <si>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</si>
  <si>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</si>
  <si>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</si>
  <si>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</si>
  <si>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</si>
  <si>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</si>
  <si>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</si>
  <si>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</si>
  <si>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</si>
  <si>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</si>
  <si>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</si>
  <si>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</si>
  <si>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</si>
  <si>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</si>
  <si>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</si>
  <si>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</si>
  <si>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</si>
  <si>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</si>
  <si>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</si>
  <si>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</si>
  <si>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</si>
  <si>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</si>
  <si>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</si>
  <si>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</si>
  <si>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</si>
  <si>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</si>
  <si>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</si>
  <si>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</si>
  <si>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</si>
  <si>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</si>
  <si>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</si>
  <si>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</si>
  <si>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</si>
  <si>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</si>
  <si>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</si>
  <si>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</si>
  <si>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</si>
  <si>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</si>
  <si>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</si>
  <si>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</si>
  <si>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</si>
  <si>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</si>
  <si>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</si>
  <si>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</si>
  <si>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</si>
  <si>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</si>
  <si>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</si>
  <si>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</si>
  <si>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</si>
  <si>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</si>
  <si>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</si>
  <si>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</si>
  <si>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</si>
  <si>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</si>
  <si>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</si>
  <si>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</si>
  <si>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</si>
  <si>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</si>
  <si>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</si>
  <si>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</si>
  <si>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</si>
  <si>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</si>
  <si>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</si>
  <si>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</si>
  <si>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</si>
  <si>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</si>
  <si>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</si>
  <si>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</si>
  <si>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</si>
  <si>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</si>
  <si>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</si>
  <si>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</si>
  <si>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</si>
  <si>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</si>
  <si>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</si>
  <si>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</si>
  <si>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</si>
  <si>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</si>
  <si>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</si>
  <si>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</si>
  <si>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</si>
  <si>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</si>
  <si>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</si>
  <si>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</si>
  <si>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</si>
  <si>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</si>
  <si>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</si>
  <si>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</si>
  <si>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</si>
  <si>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</si>
  <si>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</si>
  <si>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</si>
  <si>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</si>
  <si>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</si>
  <si>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</si>
  <si>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</si>
  <si>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</si>
  <si>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</si>
  <si>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</si>
  <si>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</si>
  <si>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</si>
  <si>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</si>
  <si>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</si>
  <si>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</si>
  <si>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</si>
  <si>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</si>
  <si>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</si>
  <si>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</si>
  <si>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</si>
  <si>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</si>
  <si>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</si>
  <si>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</si>
  <si>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</si>
  <si>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</si>
  <si>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</si>
  <si>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</si>
  <si>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</si>
  <si>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</si>
  <si>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</si>
  <si>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</si>
  <si>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</si>
  <si>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</si>
  <si>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</si>
  <si>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</si>
  <si>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</si>
  <si>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</si>
  <si>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</si>
  <si>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</si>
  <si>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</si>
  <si>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</si>
  <si>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</si>
  <si>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</si>
  <si>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</si>
  <si>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</si>
  <si>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</si>
  <si>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</si>
  <si>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</si>
  <si>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</si>
  <si>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</si>
  <si>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</si>
  <si>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</si>
  <si>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</si>
  <si>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</si>
  <si>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</si>
  <si>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</si>
  <si>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</si>
  <si>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</si>
  <si>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</si>
  <si>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</si>
  <si>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</si>
  <si>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</si>
  <si>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</si>
  <si>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</si>
  <si>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</si>
  <si>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</si>
  <si>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</si>
  <si>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</si>
  <si>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</si>
  <si>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</si>
  <si>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</si>
  <si>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</si>
  <si>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</si>
  <si>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</si>
  <si>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</si>
  <si>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</si>
  <si>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</si>
  <si>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</si>
  <si>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</si>
  <si>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</si>
  <si>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</si>
  <si>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</si>
  <si>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</si>
  <si>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</si>
  <si>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</si>
  <si>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</si>
  <si>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</si>
  <si>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</si>
  <si>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</si>
  <si>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</si>
  <si>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</si>
  <si>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</si>
  <si>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</si>
  <si>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</si>
  <si>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</si>
  <si>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</si>
  <si>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</si>
  <si>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</si>
  <si>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</si>
  <si>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</si>
  <si>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</si>
  <si>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</si>
  <si>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</si>
  <si>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</si>
  <si>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</si>
  <si>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</si>
  <si>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</si>
  <si>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</si>
  <si>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</si>
  <si>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</si>
  <si>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</si>
  <si>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</si>
  <si>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</si>
  <si>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</si>
  <si>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</si>
  <si>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</si>
  <si>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</si>
  <si>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</si>
  <si>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</si>
  <si>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</si>
  <si>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</si>
  <si>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</si>
  <si>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</si>
  <si>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</si>
  <si>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</si>
  <si>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</si>
  <si>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</si>
  <si>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</si>
  <si>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</si>
  <si>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</si>
  <si>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</si>
  <si>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</si>
  <si>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</si>
  <si>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</si>
  <si>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</si>
  <si>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</si>
  <si>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</si>
  <si>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</si>
  <si>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</si>
  <si>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</si>
  <si>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</si>
  <si>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</si>
  <si>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</si>
  <si>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</si>
  <si>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</si>
  <si>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</si>
  <si>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</si>
  <si>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</si>
  <si>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</si>
  <si>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</si>
  <si>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</si>
  <si>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</si>
  <si>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</si>
  <si>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</si>
  <si>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</si>
  <si>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</si>
  <si>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</si>
  <si>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</si>
  <si>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</si>
  <si>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</si>
  <si>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</si>
  <si>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</si>
  <si>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</si>
  <si>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</si>
  <si>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</si>
  <si>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</si>
  <si>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</si>
  <si>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</si>
  <si>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</si>
  <si>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</si>
  <si>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</si>
  <si>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</si>
  <si>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</si>
  <si>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</si>
  <si>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</si>
  <si>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</si>
  <si>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</si>
  <si>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</si>
  <si>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</si>
  <si>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</si>
  <si>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</si>
  <si>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</si>
  <si>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</si>
  <si>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</si>
  <si>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</si>
  <si>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</si>
  <si>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</si>
  <si>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</si>
  <si>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</si>
  <si>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</si>
  <si>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</si>
  <si>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</si>
  <si>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</si>
  <si>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</si>
  <si>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</si>
  <si>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</si>
  <si>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</si>
  <si>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</si>
  <si>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</si>
  <si>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</si>
  <si>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</si>
  <si>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</si>
  <si>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</si>
  <si>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</si>
  <si>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</si>
  <si>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</si>
  <si>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</si>
  <si>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</si>
  <si>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</si>
  <si>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</si>
  <si>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</si>
  <si>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</si>
  <si>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</si>
  <si>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</si>
  <si>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</si>
  <si>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</si>
  <si>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</si>
  <si>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</si>
  <si>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</si>
  <si>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</si>
  <si>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</si>
  <si>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</si>
  <si>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</si>
  <si>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</si>
  <si>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</si>
  <si>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</si>
  <si>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</si>
  <si>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</si>
  <si>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</si>
  <si>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</si>
  <si>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</si>
  <si>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</si>
  <si>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</si>
  <si>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</si>
  <si>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</si>
  <si>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</si>
  <si>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</si>
  <si>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</si>
  <si>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</si>
  <si>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</si>
  <si>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</si>
  <si>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</si>
  <si>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</si>
  <si>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</si>
  <si>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</si>
  <si>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</si>
  <si>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</si>
  <si>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</si>
  <si>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</si>
  <si>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</si>
  <si>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</si>
  <si>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</si>
  <si>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</si>
  <si>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</si>
  <si>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</si>
  <si>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</si>
  <si>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</si>
  <si>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</si>
  <si>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</si>
  <si>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</si>
  <si>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</si>
  <si>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</si>
  <si>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</si>
  <si>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</si>
  <si>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</si>
  <si>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</si>
  <si>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</si>
  <si>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</si>
  <si>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</si>
  <si>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</si>
  <si>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</si>
  <si>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</si>
  <si>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</si>
  <si>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</si>
  <si>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</si>
  <si>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</si>
  <si>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</si>
  <si>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</si>
  <si>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</si>
  <si>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</si>
  <si>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</si>
  <si>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</si>
  <si>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</si>
  <si>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</si>
  <si>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</si>
  <si>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</si>
  <si>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</si>
  <si>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</si>
  <si>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</si>
  <si>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</si>
  <si>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</si>
  <si>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</si>
  <si>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</si>
  <si>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</si>
  <si>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</si>
  <si>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</si>
  <si>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</si>
  <si>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</si>
  <si>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</si>
  <si>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</si>
  <si>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</si>
  <si>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</si>
  <si>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</si>
  <si>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</si>
  <si>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</si>
  <si>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</si>
  <si>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</si>
  <si>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</si>
  <si>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</si>
  <si>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</si>
  <si>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</si>
  <si>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</si>
  <si>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</si>
  <si>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</si>
  <si>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</si>
  <si>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</si>
  <si>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</si>
  <si>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</si>
  <si>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</si>
  <si>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</si>
  <si>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</si>
  <si>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</si>
  <si>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</si>
  <si>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</si>
  <si>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</si>
  <si>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</si>
  <si>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</si>
  <si>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</si>
  <si>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</si>
  <si>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</si>
  <si>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</si>
  <si>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</si>
  <si>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</si>
  <si>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</si>
  <si>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</si>
  <si>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</si>
  <si>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</si>
  <si>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</si>
  <si>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</si>
  <si>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</si>
  <si>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</si>
  <si>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</si>
  <si>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</si>
  <si>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</si>
  <si>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</si>
  <si>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</si>
  <si>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</si>
  <si>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</si>
  <si>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</si>
  <si>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</si>
  <si>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</si>
  <si>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</si>
  <si>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</si>
  <si>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</si>
  <si>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</si>
  <si>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</si>
  <si>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</si>
  <si>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</si>
  <si>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</si>
  <si>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</si>
  <si>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</si>
  <si>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</si>
  <si>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</si>
  <si>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</si>
  <si>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</si>
  <si>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</si>
  <si>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</si>
  <si>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</si>
  <si>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</si>
  <si>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</si>
  <si>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</si>
  <si>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</si>
  <si>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</si>
  <si>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</si>
  <si>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</si>
  <si>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</si>
  <si>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</si>
  <si>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</si>
  <si>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</si>
  <si>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</si>
  <si>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</si>
  <si>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</si>
  <si>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</si>
  <si>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</si>
  <si>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</si>
  <si>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</si>
  <si>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</si>
  <si>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</si>
  <si>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</si>
  <si>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</si>
  <si>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</si>
  <si>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</si>
  <si>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</si>
  <si>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</si>
  <si>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</si>
  <si>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</si>
  <si>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</si>
  <si>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</si>
  <si>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</si>
  <si>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</si>
  <si>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</si>
  <si>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</si>
  <si>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</si>
  <si>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</si>
  <si>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</si>
  <si>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</si>
  <si>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</si>
  <si>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</si>
  <si>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</si>
  <si>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</si>
  <si>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</si>
  <si>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</si>
  <si>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</si>
  <si>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</si>
  <si>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</si>
  <si>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</si>
  <si>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</si>
  <si>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</si>
  <si>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</si>
  <si>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</si>
  <si>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</si>
  <si>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</si>
  <si>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</si>
  <si>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</si>
  <si>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</si>
  <si>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</si>
  <si>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</si>
  <si>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</si>
  <si>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</si>
  <si>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</si>
  <si>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</si>
  <si>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</si>
  <si>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</si>
  <si>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</si>
  <si>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</si>
  <si>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</si>
  <si>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</si>
  <si>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</si>
  <si>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</si>
  <si>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</si>
  <si>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</si>
  <si>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</si>
  <si>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</si>
  <si>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</si>
  <si>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</si>
  <si>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</si>
  <si>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</si>
  <si>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</si>
  <si>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</si>
  <si>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</si>
  <si>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</si>
  <si>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</si>
  <si>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</si>
  <si>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</si>
  <si>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</si>
  <si>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</si>
  <si>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</si>
  <si>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</si>
  <si>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</si>
  <si>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</si>
  <si>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</si>
  <si>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</si>
  <si>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</si>
  <si>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</si>
  <si>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</si>
  <si>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</si>
  <si>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</si>
  <si>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</si>
  <si>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</si>
  <si>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ARMY JROTC Revenue - historically netted against expense.  Not sure why the changed, but is consistent with</t>
  </si>
  <si>
    <t>grossing up expenses and revenues.</t>
  </si>
  <si>
    <t>During COVID a la carte options were limited if available.  FY 23 food service resumed to precovid programming</t>
  </si>
  <si>
    <t>so there were a la carte and caatering options.  Additionally, the district covers the cost of breakfast and this is included here.</t>
  </si>
  <si>
    <t>FY 22 all meals were free and federal reimbursement was at higher rate.  FY 23 meals are claimed based on free,</t>
  </si>
  <si>
    <t>reduced or paid status.  This difference accounts for the drop in the federal revenue.</t>
  </si>
  <si>
    <t>General Fund - FY 22 Audit Adjustments</t>
  </si>
  <si>
    <t>5 &amp; 7</t>
  </si>
  <si>
    <t>Related services include functions 2140-2160</t>
  </si>
  <si>
    <t xml:space="preserve">I know this varies from last year, but not sure what was included in prior year.  I included the SPED Director.  I'm not aware of </t>
  </si>
  <si>
    <t>other adminitrators that would be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</si>
</sst>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AppData\Local\Microsoft\Windows\INetCache\Content.Outlook\4L521D4Y\DOE-25%20FY2023%20version%202%2011.20.23.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24" zoomScaleNormal="124"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1025</v>
      </c>
      <c r="B2">
        <f>INDEX('School Tables'!$AH$3:$AH$209,MATCH('DOE25'!A2,'School Tables'!$AJ$3:$AJ$209,0))</f>
        <v>174</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2483043.38</v>
      </c>
      <c r="G9" s="18">
        <v>0</v>
      </c>
      <c r="H9" s="18">
        <v>113411.37</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108042.19</v>
      </c>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1216985.6299999999</v>
      </c>
      <c r="G12" s="18">
        <v>0</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23056.400000000001</v>
      </c>
      <c r="G13" s="18">
        <v>53158.81</v>
      </c>
      <c r="H13" s="18">
        <v>1194491.72</v>
      </c>
      <c r="I13" s="18"/>
      <c r="J13" s="13">
        <f>SUM(I443)</f>
        <v>3129432.88</v>
      </c>
      <c r="K13" s="23" t="s">
        <v>288</v>
      </c>
      <c r="L13" s="23" t="s">
        <v>288</v>
      </c>
      <c r="M13" s="8"/>
      <c r="N13" s="165"/>
    </row>
    <row r="14" spans="1:14" s="3" customFormat="1" ht="12.2" customHeight="1" x14ac:dyDescent="0.15">
      <c r="A14" s="1" t="s">
        <v>565</v>
      </c>
      <c r="B14" s="2" t="s">
        <v>289</v>
      </c>
      <c r="C14" s="6">
        <v>6</v>
      </c>
      <c r="D14" s="2" t="s">
        <v>428</v>
      </c>
      <c r="E14" s="6">
        <v>150</v>
      </c>
      <c r="F14" s="18">
        <v>7978.1</v>
      </c>
      <c r="G14" s="18">
        <v>0</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29758.81</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15513</v>
      </c>
      <c r="G17" s="18">
        <v>0</v>
      </c>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v>0</v>
      </c>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3746576.51</v>
      </c>
      <c r="G19" s="38">
        <f>SUM(G9:G18)</f>
        <v>82917.62</v>
      </c>
      <c r="H19" s="38">
        <f>SUM(H9:H18)</f>
        <v>1415945.28</v>
      </c>
      <c r="I19" s="38">
        <f>SUM(I9:I18)</f>
        <v>0</v>
      </c>
      <c r="J19" s="38">
        <f>SUM(J9:J18)</f>
        <v>3129432.88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0</v>
      </c>
      <c r="H22" s="18">
        <v>1181921</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v>0</v>
      </c>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94835.46</v>
      </c>
      <c r="G24" s="18">
        <v>0</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v>0</v>
      </c>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v>218890</v>
      </c>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1843284.73</v>
      </c>
      <c r="G28" s="18">
        <v>0</v>
      </c>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v>0</v>
      </c>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53158.81</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v>0</v>
      </c>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2157010.19</v>
      </c>
      <c r="G32" s="38">
        <f>SUM(G22:G31)</f>
        <v>53158.81</v>
      </c>
      <c r="H32" s="38">
        <f>SUM(H22:H31)</f>
        <v>1181921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29758.81</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15513</v>
      </c>
      <c r="G36" s="18">
        <v>0</v>
      </c>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0</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250000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0</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234024.28</v>
      </c>
      <c r="I48" s="18"/>
      <c r="J48" s="13">
        <f>SUM(I460)</f>
        <v>3129432.88</v>
      </c>
      <c r="K48" s="23" t="s">
        <v>288</v>
      </c>
      <c r="L48" s="23" t="s">
        <v>288</v>
      </c>
      <c r="M48" s="8"/>
      <c r="N48" s="165"/>
    </row>
    <row r="49" spans="1:14" s="3" customFormat="1" ht="12.2" customHeight="1" x14ac:dyDescent="0.15">
      <c r="A49" s="1" t="s">
        <v>858</v>
      </c>
      <c r="B49" s="2" t="s">
        <v>289</v>
      </c>
      <c r="C49" s="6">
        <v>34</v>
      </c>
      <c r="D49" s="2"/>
      <c r="E49" s="6">
        <v>753</v>
      </c>
      <c r="F49" s="18">
        <v>86830</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1237223.32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1589566.32</v>
      </c>
      <c r="G51" s="38">
        <f>SUM(G35:G50)</f>
        <v>29758.81</v>
      </c>
      <c r="H51" s="38">
        <f>SUM(H35:H50)</f>
        <v>234024.28</v>
      </c>
      <c r="I51" s="38">
        <f>SUM(I35:I50)</f>
        <v>0</v>
      </c>
      <c r="J51" s="38">
        <f>SUM(J35:J50)</f>
        <v>3129432.88</v>
      </c>
      <c r="K51" s="42" t="s">
        <v>288</v>
      </c>
      <c r="L51" s="42" t="s">
        <v>288</v>
      </c>
      <c r="N51" s="131"/>
    </row>
    <row r="52" spans="1:14" s="3" customFormat="1" ht="12.2" customHeight="1" thickTop="1" x14ac:dyDescent="0.15">
      <c r="A52" s="35" t="s">
        <v>455</v>
      </c>
      <c r="B52" s="36" t="s">
        <v>289</v>
      </c>
      <c r="C52" s="6">
        <v>37</v>
      </c>
      <c r="D52" s="36" t="s">
        <v>653</v>
      </c>
      <c r="E52" s="36"/>
      <c r="F52" s="38">
        <f>F51+F32</f>
        <v>3746576.51</v>
      </c>
      <c r="G52" s="38">
        <f>G51+G32</f>
        <v>82917.62</v>
      </c>
      <c r="H52" s="38">
        <f>H51+H32</f>
        <v>1415945.28</v>
      </c>
      <c r="I52" s="38">
        <f>I51+I32</f>
        <v>0</v>
      </c>
      <c r="J52" s="38">
        <f>J51+J32</f>
        <v>3129432.88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19474827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19474827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690821.93</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9172.01</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70293.72</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770287.66</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149086.66</v>
      </c>
      <c r="G96" s="18">
        <v>0</v>
      </c>
      <c r="H96" s="18"/>
      <c r="I96" s="18">
        <v>0</v>
      </c>
      <c r="J96" s="18">
        <v>25763.51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291808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234024.28</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245749.1</v>
      </c>
      <c r="G110" s="18"/>
      <c r="H110" s="18">
        <v>340740.38</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394835.76</v>
      </c>
      <c r="G111" s="38">
        <f>SUM(G96:G110)</f>
        <v>291808</v>
      </c>
      <c r="H111" s="38">
        <f>SUM(H96:H110)</f>
        <v>574764.66</v>
      </c>
      <c r="I111" s="38">
        <f>SUM(I96:I110)</f>
        <v>0</v>
      </c>
      <c r="J111" s="38">
        <f>SUM(J96:J110)</f>
        <v>25763.51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20639950.420000002</v>
      </c>
      <c r="G112" s="38">
        <f>G60+G111</f>
        <v>291808</v>
      </c>
      <c r="H112" s="38">
        <f>H60+H79+H94+H111</f>
        <v>574764.66</v>
      </c>
      <c r="I112" s="38">
        <f>I60+I111</f>
        <v>0</v>
      </c>
      <c r="J112" s="38">
        <f>J60+J111</f>
        <v>25763.51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9709527.9600000009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1457725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12067.53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11179320.49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57038.49</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273053.58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105398.37</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26953.200000000001</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19397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462443.64</v>
      </c>
      <c r="G136" s="38">
        <f>SUM(G123:G135)</f>
        <v>19397</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11641764.130000001</v>
      </c>
      <c r="G140" s="38">
        <f>G121+SUM(G136:G137)</f>
        <v>19397</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360124.32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178446.61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58436.22</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468472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349643.18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242089.54</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v>0</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1633044.5799999998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242089.54</v>
      </c>
      <c r="G163" s="38">
        <f>SUM(G150:G162)</f>
        <v>468472</v>
      </c>
      <c r="H163" s="38">
        <f>SUM(H150:H162)</f>
        <v>2579694.9099999997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67515.91</v>
      </c>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309605.45</v>
      </c>
      <c r="G170" s="38">
        <f>G147+G163+SUM(G164:G169)</f>
        <v>468472</v>
      </c>
      <c r="H170" s="38">
        <f>H147+H163+SUM(H164:H169)</f>
        <v>2579694.9099999997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500000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500000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15610.37</v>
      </c>
      <c r="G186" s="18">
        <v>0</v>
      </c>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15610.37</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15610.37</v>
      </c>
      <c r="G193" s="38">
        <f>G184+SUM(G189:G192)</f>
        <v>0</v>
      </c>
      <c r="H193" s="38">
        <f>+H184+SUM(H189:H192)</f>
        <v>0</v>
      </c>
      <c r="I193" s="38">
        <f>I178+I184+SUM(I189:I192)</f>
        <v>0</v>
      </c>
      <c r="J193" s="38">
        <f>J184</f>
        <v>500000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32606930.370000005</v>
      </c>
      <c r="G194" s="38">
        <f>G112+G140+G170+G193</f>
        <v>779677</v>
      </c>
      <c r="H194" s="38">
        <f>H112+H140+H170+H193</f>
        <v>3154459.57</v>
      </c>
      <c r="I194" s="38">
        <f>I112+I140+I170+I193</f>
        <v>0</v>
      </c>
      <c r="J194" s="38">
        <f>J112+J140+J193</f>
        <v>525763.51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5031414.0199999996</v>
      </c>
      <c r="G198" s="18">
        <v>2805293.56</v>
      </c>
      <c r="H198" s="18">
        <v>7463.12</v>
      </c>
      <c r="I198" s="18">
        <v>278215.53000000003</v>
      </c>
      <c r="J198" s="18">
        <v>72627.28</v>
      </c>
      <c r="K198" s="18">
        <v>4378.78</v>
      </c>
      <c r="L198" s="13">
        <f>SUM(F198:K198)</f>
        <v>8199392.290000001</v>
      </c>
      <c r="M198" s="8"/>
      <c r="N198" s="165"/>
    </row>
    <row r="199" spans="1:14" s="3" customFormat="1" ht="12.2" customHeight="1" x14ac:dyDescent="0.15">
      <c r="A199" s="1" t="s">
        <v>439</v>
      </c>
      <c r="B199" s="2" t="s">
        <v>341</v>
      </c>
      <c r="C199" s="2" t="s">
        <v>291</v>
      </c>
      <c r="D199" s="2" t="s">
        <v>431</v>
      </c>
      <c r="E199" s="6">
        <v>1200</v>
      </c>
      <c r="F199" s="18">
        <v>2619239.73</v>
      </c>
      <c r="G199" s="18">
        <v>1014857.53</v>
      </c>
      <c r="H199" s="18">
        <v>1212677.9400000002</v>
      </c>
      <c r="I199" s="18">
        <v>15012.130000000001</v>
      </c>
      <c r="J199" s="18">
        <v>4763.3499999999995</v>
      </c>
      <c r="K199" s="18">
        <v>146.02000000000001</v>
      </c>
      <c r="L199" s="13">
        <f>SUM(F199:K199)</f>
        <v>4866696.6999999993</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84225.02</v>
      </c>
      <c r="G201" s="18">
        <v>13841.48</v>
      </c>
      <c r="H201" s="18">
        <v>8100</v>
      </c>
      <c r="I201" s="18">
        <v>13689.91</v>
      </c>
      <c r="J201" s="18">
        <v>18669.55</v>
      </c>
      <c r="K201" s="18">
        <v>0</v>
      </c>
      <c r="L201" s="13">
        <f>SUM(F201:K201)</f>
        <v>138525.96</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930807.35</v>
      </c>
      <c r="G203" s="18">
        <v>522920.45</v>
      </c>
      <c r="H203" s="18">
        <v>48261.37</v>
      </c>
      <c r="I203" s="18">
        <v>19201.2</v>
      </c>
      <c r="J203" s="18">
        <v>2035.99</v>
      </c>
      <c r="K203" s="18">
        <v>0</v>
      </c>
      <c r="L203" s="13">
        <f t="shared" ref="L203:L209" si="0">SUM(F203:K203)</f>
        <v>1523226.36</v>
      </c>
      <c r="M203" s="8"/>
      <c r="N203" s="165"/>
    </row>
    <row r="204" spans="1:14" s="3" customFormat="1" ht="12.2" customHeight="1" x14ac:dyDescent="0.15">
      <c r="A204" s="1" t="s">
        <v>443</v>
      </c>
      <c r="B204" s="2" t="s">
        <v>341</v>
      </c>
      <c r="C204" s="2" t="s">
        <v>295</v>
      </c>
      <c r="D204" s="2" t="s">
        <v>431</v>
      </c>
      <c r="E204" s="6">
        <v>2200</v>
      </c>
      <c r="F204" s="18">
        <v>542384.19999999995</v>
      </c>
      <c r="G204" s="18">
        <v>239781.38</v>
      </c>
      <c r="H204" s="18">
        <v>141989.54999999999</v>
      </c>
      <c r="I204" s="18">
        <v>110266.98</v>
      </c>
      <c r="J204" s="18">
        <v>14340.650000000001</v>
      </c>
      <c r="K204" s="18">
        <v>16304.68</v>
      </c>
      <c r="L204" s="13">
        <f t="shared" si="0"/>
        <v>1065067.4399999997</v>
      </c>
      <c r="M204" s="8"/>
      <c r="N204" s="165"/>
    </row>
    <row r="205" spans="1:14" s="3" customFormat="1" ht="12.2" customHeight="1" x14ac:dyDescent="0.15">
      <c r="A205" s="1" t="s">
        <v>444</v>
      </c>
      <c r="B205" s="2" t="s">
        <v>341</v>
      </c>
      <c r="C205" s="2" t="s">
        <v>296</v>
      </c>
      <c r="D205" s="2" t="s">
        <v>431</v>
      </c>
      <c r="E205" s="6">
        <v>2300</v>
      </c>
      <c r="F205" s="18">
        <v>222978.05</v>
      </c>
      <c r="G205" s="18">
        <v>84261.9</v>
      </c>
      <c r="H205" s="18">
        <v>160152.1</v>
      </c>
      <c r="I205" s="18">
        <v>20363.329999999998</v>
      </c>
      <c r="J205" s="18">
        <v>1199.94</v>
      </c>
      <c r="K205" s="18">
        <v>5478.42</v>
      </c>
      <c r="L205" s="13">
        <f t="shared" si="0"/>
        <v>494433.73999999993</v>
      </c>
      <c r="M205" s="8"/>
      <c r="N205" s="165"/>
    </row>
    <row r="206" spans="1:14" s="3" customFormat="1" ht="12.2" customHeight="1" x14ac:dyDescent="0.15">
      <c r="A206" s="1" t="s">
        <v>445</v>
      </c>
      <c r="B206" s="2" t="s">
        <v>341</v>
      </c>
      <c r="C206" s="2" t="s">
        <v>297</v>
      </c>
      <c r="D206" s="2" t="s">
        <v>431</v>
      </c>
      <c r="E206" s="6">
        <v>2400</v>
      </c>
      <c r="F206" s="18">
        <v>822257.55</v>
      </c>
      <c r="G206" s="18">
        <v>365175.24</v>
      </c>
      <c r="H206" s="18">
        <v>48977.11</v>
      </c>
      <c r="I206" s="18">
        <v>10269.030000000001</v>
      </c>
      <c r="J206" s="18">
        <v>7903.74</v>
      </c>
      <c r="K206" s="18">
        <v>1463</v>
      </c>
      <c r="L206" s="13">
        <f t="shared" si="0"/>
        <v>1256045.6700000002</v>
      </c>
      <c r="M206" s="8"/>
      <c r="N206" s="165"/>
    </row>
    <row r="207" spans="1:14" s="3" customFormat="1" ht="12.2" customHeight="1" x14ac:dyDescent="0.15">
      <c r="A207" s="1" t="s">
        <v>446</v>
      </c>
      <c r="B207" s="2" t="s">
        <v>341</v>
      </c>
      <c r="C207" s="2" t="s">
        <v>298</v>
      </c>
      <c r="D207" s="2" t="s">
        <v>431</v>
      </c>
      <c r="E207" s="6">
        <v>2500</v>
      </c>
      <c r="F207" s="18">
        <v>177400.04</v>
      </c>
      <c r="G207" s="18">
        <v>83268.27</v>
      </c>
      <c r="H207" s="18">
        <v>2613.71</v>
      </c>
      <c r="I207" s="18">
        <v>28240.36</v>
      </c>
      <c r="J207" s="18">
        <v>294.56</v>
      </c>
      <c r="K207" s="18">
        <v>1196.3699999999999</v>
      </c>
      <c r="L207" s="13">
        <f t="shared" si="0"/>
        <v>293013.31</v>
      </c>
      <c r="M207" s="8"/>
      <c r="N207" s="165"/>
    </row>
    <row r="208" spans="1:14" s="3" customFormat="1" ht="12.2" customHeight="1" x14ac:dyDescent="0.15">
      <c r="A208" s="1" t="s">
        <v>447</v>
      </c>
      <c r="B208" s="2" t="s">
        <v>341</v>
      </c>
      <c r="C208" s="2" t="s">
        <v>299</v>
      </c>
      <c r="D208" s="2" t="s">
        <v>431</v>
      </c>
      <c r="E208" s="6">
        <v>2600</v>
      </c>
      <c r="F208" s="18">
        <v>827268.2</v>
      </c>
      <c r="G208" s="18">
        <v>379128.42000000004</v>
      </c>
      <c r="H208" s="18">
        <v>565087.68999999994</v>
      </c>
      <c r="I208" s="18">
        <v>429406.44</v>
      </c>
      <c r="J208" s="18">
        <v>14731.39</v>
      </c>
      <c r="K208" s="18">
        <v>0</v>
      </c>
      <c r="L208" s="13">
        <f t="shared" si="0"/>
        <v>2215622.14</v>
      </c>
      <c r="M208" s="8"/>
      <c r="N208" s="165"/>
    </row>
    <row r="209" spans="1:14" s="3" customFormat="1" ht="12.2" customHeight="1" x14ac:dyDescent="0.15">
      <c r="A209" s="1" t="s">
        <v>448</v>
      </c>
      <c r="B209" s="2" t="s">
        <v>341</v>
      </c>
      <c r="C209" s="2" t="s">
        <v>300</v>
      </c>
      <c r="D209" s="2" t="s">
        <v>431</v>
      </c>
      <c r="E209" s="6">
        <v>2700</v>
      </c>
      <c r="F209" s="18">
        <v>407418.84</v>
      </c>
      <c r="G209" s="18">
        <v>108274.81999999999</v>
      </c>
      <c r="H209" s="18">
        <v>329570.65000000002</v>
      </c>
      <c r="I209" s="18">
        <v>127105.93</v>
      </c>
      <c r="J209" s="18">
        <v>12135.93</v>
      </c>
      <c r="K209" s="18">
        <v>0</v>
      </c>
      <c r="L209" s="13">
        <f t="shared" si="0"/>
        <v>984506.17</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11665392.999999998</v>
      </c>
      <c r="G212" s="38">
        <f t="shared" si="1"/>
        <v>5616803.0499999998</v>
      </c>
      <c r="H212" s="38">
        <f t="shared" si="1"/>
        <v>2524893.2400000007</v>
      </c>
      <c r="I212" s="38">
        <f t="shared" si="1"/>
        <v>1051770.8400000001</v>
      </c>
      <c r="J212" s="38">
        <f t="shared" si="1"/>
        <v>148702.38</v>
      </c>
      <c r="K212" s="38">
        <f t="shared" si="1"/>
        <v>28967.27</v>
      </c>
      <c r="L212" s="38">
        <f t="shared" si="1"/>
        <v>21036529.780000001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1909200.83</v>
      </c>
      <c r="G234" s="18">
        <v>955342.24</v>
      </c>
      <c r="H234" s="18">
        <v>16507.61</v>
      </c>
      <c r="I234" s="18">
        <v>95642.5</v>
      </c>
      <c r="J234" s="18">
        <v>35919</v>
      </c>
      <c r="K234" s="18">
        <v>12326.41</v>
      </c>
      <c r="L234" s="13">
        <f>SUM(F234:K234)</f>
        <v>3024938.5900000003</v>
      </c>
      <c r="M234" s="8"/>
      <c r="N234" s="165"/>
    </row>
    <row r="235" spans="1:14" s="3" customFormat="1" ht="12.2" customHeight="1" x14ac:dyDescent="0.15">
      <c r="A235" s="1" t="s">
        <v>439</v>
      </c>
      <c r="B235" s="2" t="s">
        <v>350</v>
      </c>
      <c r="C235" s="2" t="s">
        <v>291</v>
      </c>
      <c r="D235" s="2" t="s">
        <v>431</v>
      </c>
      <c r="E235" s="6">
        <v>1200</v>
      </c>
      <c r="F235" s="18">
        <v>1093923.1100000001</v>
      </c>
      <c r="G235" s="18">
        <v>494379.5</v>
      </c>
      <c r="H235" s="18">
        <v>655420.16000000003</v>
      </c>
      <c r="I235" s="18">
        <v>14769.06</v>
      </c>
      <c r="J235" s="18">
        <v>2921.7400000000002</v>
      </c>
      <c r="K235" s="18">
        <v>146.21</v>
      </c>
      <c r="L235" s="13">
        <f>SUM(F235:K235)</f>
        <v>2261559.7800000003</v>
      </c>
      <c r="M235" s="8"/>
      <c r="N235" s="165"/>
    </row>
    <row r="236" spans="1:14" s="3" customFormat="1" ht="12.2" customHeight="1" x14ac:dyDescent="0.15">
      <c r="A236" s="1" t="s">
        <v>440</v>
      </c>
      <c r="B236" s="2" t="s">
        <v>350</v>
      </c>
      <c r="C236" s="2" t="s">
        <v>292</v>
      </c>
      <c r="D236" s="2" t="s">
        <v>431</v>
      </c>
      <c r="E236" s="6">
        <v>1300</v>
      </c>
      <c r="F236" s="18">
        <v>368850.21</v>
      </c>
      <c r="G236" s="18">
        <v>143970.21</v>
      </c>
      <c r="H236" s="18">
        <v>253922.64</v>
      </c>
      <c r="I236" s="18">
        <v>40218.83</v>
      </c>
      <c r="J236" s="18">
        <v>8635.2900000000009</v>
      </c>
      <c r="K236" s="18">
        <v>170</v>
      </c>
      <c r="L236" s="13">
        <f>SUM(F236:K236)</f>
        <v>815767.18</v>
      </c>
      <c r="M236" s="8"/>
      <c r="N236" s="165"/>
    </row>
    <row r="237" spans="1:14" s="3" customFormat="1" ht="12.2" customHeight="1" x14ac:dyDescent="0.15">
      <c r="A237" s="1" t="s">
        <v>441</v>
      </c>
      <c r="B237" s="2" t="s">
        <v>350</v>
      </c>
      <c r="C237" s="2" t="s">
        <v>293</v>
      </c>
      <c r="D237" s="2" t="s">
        <v>431</v>
      </c>
      <c r="E237" s="6">
        <v>1400</v>
      </c>
      <c r="F237" s="18">
        <v>186874.37</v>
      </c>
      <c r="G237" s="18">
        <v>52653.17</v>
      </c>
      <c r="H237" s="18">
        <v>40180.700000000004</v>
      </c>
      <c r="I237" s="18">
        <v>19329.57</v>
      </c>
      <c r="J237" s="18">
        <v>24399.97</v>
      </c>
      <c r="K237" s="18">
        <v>4953.3999999999996</v>
      </c>
      <c r="L237" s="13">
        <f>SUM(F237:K237)</f>
        <v>328391.18000000005</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465600.52</v>
      </c>
      <c r="G239" s="18">
        <v>254865.45</v>
      </c>
      <c r="H239" s="18">
        <v>82509.37</v>
      </c>
      <c r="I239" s="18">
        <v>4197.22</v>
      </c>
      <c r="J239" s="18">
        <v>954.64</v>
      </c>
      <c r="K239" s="18">
        <v>582</v>
      </c>
      <c r="L239" s="13">
        <f t="shared" ref="L239:L245" si="4">SUM(F239:K239)</f>
        <v>808709.2</v>
      </c>
      <c r="M239" s="8"/>
      <c r="N239" s="165"/>
    </row>
    <row r="240" spans="1:14" s="3" customFormat="1" ht="12.2" customHeight="1" x14ac:dyDescent="0.15">
      <c r="A240" s="1" t="s">
        <v>443</v>
      </c>
      <c r="B240" s="2" t="s">
        <v>350</v>
      </c>
      <c r="C240" s="2" t="s">
        <v>295</v>
      </c>
      <c r="D240" s="2" t="s">
        <v>431</v>
      </c>
      <c r="E240" s="6">
        <v>2200</v>
      </c>
      <c r="F240" s="18">
        <v>300500.78000000003</v>
      </c>
      <c r="G240" s="18">
        <v>133455.96</v>
      </c>
      <c r="H240" s="18">
        <v>75847.72</v>
      </c>
      <c r="I240" s="18">
        <v>55561.65</v>
      </c>
      <c r="J240" s="18">
        <v>6679.16</v>
      </c>
      <c r="K240" s="18">
        <v>8819.4599999999991</v>
      </c>
      <c r="L240" s="13">
        <f t="shared" si="4"/>
        <v>580864.73</v>
      </c>
      <c r="M240" s="8"/>
      <c r="N240" s="165"/>
    </row>
    <row r="241" spans="1:14" s="3" customFormat="1" ht="12.2" customHeight="1" x14ac:dyDescent="0.15">
      <c r="A241" s="1" t="s">
        <v>444</v>
      </c>
      <c r="B241" s="2" t="s">
        <v>350</v>
      </c>
      <c r="C241" s="2" t="s">
        <v>296</v>
      </c>
      <c r="D241" s="2" t="s">
        <v>431</v>
      </c>
      <c r="E241" s="6">
        <v>2300</v>
      </c>
      <c r="F241" s="18">
        <v>120612.46</v>
      </c>
      <c r="G241" s="18">
        <v>45578.64</v>
      </c>
      <c r="H241" s="18">
        <v>86628.889999999985</v>
      </c>
      <c r="I241" s="18">
        <v>11014.87</v>
      </c>
      <c r="J241" s="18">
        <v>649.05999999999995</v>
      </c>
      <c r="K241" s="18">
        <v>2963.36</v>
      </c>
      <c r="L241" s="13">
        <f t="shared" si="4"/>
        <v>267447.27999999997</v>
      </c>
      <c r="M241" s="8"/>
      <c r="N241" s="165"/>
    </row>
    <row r="242" spans="1:14" s="3" customFormat="1" ht="12.2" customHeight="1" x14ac:dyDescent="0.15">
      <c r="A242" s="1" t="s">
        <v>445</v>
      </c>
      <c r="B242" s="2" t="s">
        <v>350</v>
      </c>
      <c r="C242" s="2" t="s">
        <v>297</v>
      </c>
      <c r="D242" s="2" t="s">
        <v>431</v>
      </c>
      <c r="E242" s="6">
        <v>2400</v>
      </c>
      <c r="F242" s="18">
        <v>328467.94</v>
      </c>
      <c r="G242" s="18">
        <v>173450.73</v>
      </c>
      <c r="H242" s="18">
        <v>11156.52</v>
      </c>
      <c r="I242" s="18">
        <v>6057.91</v>
      </c>
      <c r="J242" s="18">
        <v>5760.55</v>
      </c>
      <c r="K242" s="18">
        <v>1160</v>
      </c>
      <c r="L242" s="13">
        <f t="shared" si="4"/>
        <v>526053.65</v>
      </c>
      <c r="M242" s="8"/>
      <c r="N242" s="165"/>
    </row>
    <row r="243" spans="1:14" s="3" customFormat="1" ht="12.2" customHeight="1" x14ac:dyDescent="0.15">
      <c r="A243" s="1" t="s">
        <v>446</v>
      </c>
      <c r="B243" s="2" t="s">
        <v>350</v>
      </c>
      <c r="C243" s="2" t="s">
        <v>298</v>
      </c>
      <c r="D243" s="2" t="s">
        <v>431</v>
      </c>
      <c r="E243" s="6">
        <v>2500</v>
      </c>
      <c r="F243" s="18">
        <v>95958.57</v>
      </c>
      <c r="G243" s="18">
        <v>45041.17</v>
      </c>
      <c r="H243" s="18">
        <v>1413.8000000000002</v>
      </c>
      <c r="I243" s="18">
        <v>15275.67</v>
      </c>
      <c r="J243" s="18">
        <v>159.33000000000001</v>
      </c>
      <c r="K243" s="18">
        <v>647.13</v>
      </c>
      <c r="L243" s="13">
        <f t="shared" si="4"/>
        <v>158495.66999999998</v>
      </c>
      <c r="M243" s="8"/>
      <c r="N243" s="165"/>
    </row>
    <row r="244" spans="1:14" s="3" customFormat="1" ht="12.2" customHeight="1" x14ac:dyDescent="0.15">
      <c r="A244" s="1" t="s">
        <v>447</v>
      </c>
      <c r="B244" s="2" t="s">
        <v>350</v>
      </c>
      <c r="C244" s="2" t="s">
        <v>299</v>
      </c>
      <c r="D244" s="2" t="s">
        <v>431</v>
      </c>
      <c r="E244" s="6">
        <v>2600</v>
      </c>
      <c r="F244" s="18">
        <v>428555.65</v>
      </c>
      <c r="G244" s="18">
        <v>194333.49</v>
      </c>
      <c r="H244" s="18">
        <v>271549.7</v>
      </c>
      <c r="I244" s="18">
        <v>224649.39</v>
      </c>
      <c r="J244" s="18">
        <v>12353.5</v>
      </c>
      <c r="K244" s="18">
        <v>0</v>
      </c>
      <c r="L244" s="13">
        <f t="shared" si="4"/>
        <v>1131441.73</v>
      </c>
      <c r="M244" s="8"/>
      <c r="N244" s="165"/>
    </row>
    <row r="245" spans="1:14" s="3" customFormat="1" ht="12.2" customHeight="1" x14ac:dyDescent="0.15">
      <c r="A245" s="1" t="s">
        <v>448</v>
      </c>
      <c r="B245" s="2" t="s">
        <v>350</v>
      </c>
      <c r="C245" s="2" t="s">
        <v>300</v>
      </c>
      <c r="D245" s="2" t="s">
        <v>431</v>
      </c>
      <c r="E245" s="6">
        <v>2700</v>
      </c>
      <c r="F245" s="18">
        <v>276862.67</v>
      </c>
      <c r="G245" s="18">
        <v>67940.67</v>
      </c>
      <c r="H245" s="18">
        <v>179590.14</v>
      </c>
      <c r="I245" s="18">
        <v>68753.67</v>
      </c>
      <c r="J245" s="18">
        <v>6564.53</v>
      </c>
      <c r="K245" s="18">
        <v>0</v>
      </c>
      <c r="L245" s="13">
        <f t="shared" si="4"/>
        <v>599711.68000000005</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5575407.1100000013</v>
      </c>
      <c r="G248" s="38">
        <f t="shared" si="5"/>
        <v>2561011.2299999995</v>
      </c>
      <c r="H248" s="38">
        <f t="shared" si="5"/>
        <v>1674727.25</v>
      </c>
      <c r="I248" s="38">
        <f t="shared" si="5"/>
        <v>555470.34000000008</v>
      </c>
      <c r="J248" s="38">
        <f t="shared" si="5"/>
        <v>104996.77</v>
      </c>
      <c r="K248" s="38">
        <f t="shared" si="5"/>
        <v>31767.969999999998</v>
      </c>
      <c r="L248" s="38">
        <f t="shared" si="5"/>
        <v>10503380.67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166726.6</v>
      </c>
      <c r="I256" s="18">
        <v>0</v>
      </c>
      <c r="J256" s="18">
        <v>0</v>
      </c>
      <c r="K256" s="18">
        <v>0</v>
      </c>
      <c r="L256" s="13">
        <f t="shared" si="6"/>
        <v>166726.6</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166726.6</v>
      </c>
      <c r="I257" s="38">
        <f t="shared" si="7"/>
        <v>0</v>
      </c>
      <c r="J257" s="38">
        <f t="shared" si="7"/>
        <v>0</v>
      </c>
      <c r="K257" s="38">
        <f t="shared" si="7"/>
        <v>0</v>
      </c>
      <c r="L257" s="38">
        <f>SUM(F257:K257)</f>
        <v>166726.6</v>
      </c>
      <c r="M257" s="8"/>
      <c r="N257" s="165"/>
    </row>
    <row r="258" spans="1:14" s="3" customFormat="1" ht="12.2" customHeight="1" thickTop="1" x14ac:dyDescent="0.15">
      <c r="A258" s="35" t="s">
        <v>462</v>
      </c>
      <c r="B258" s="37">
        <v>10</v>
      </c>
      <c r="C258" s="37">
        <v>8</v>
      </c>
      <c r="D258" s="36" t="s">
        <v>431</v>
      </c>
      <c r="E258" s="37"/>
      <c r="F258" s="38">
        <f t="shared" ref="F258:L258" si="8">F212+F230+F248+F257</f>
        <v>17240800.109999999</v>
      </c>
      <c r="G258" s="38">
        <f t="shared" si="8"/>
        <v>8177814.2799999993</v>
      </c>
      <c r="H258" s="38">
        <f t="shared" si="8"/>
        <v>4366347.09</v>
      </c>
      <c r="I258" s="38">
        <f t="shared" si="8"/>
        <v>1607241.1800000002</v>
      </c>
      <c r="J258" s="38">
        <f t="shared" si="8"/>
        <v>253699.15000000002</v>
      </c>
      <c r="K258" s="38">
        <f t="shared" si="8"/>
        <v>60735.24</v>
      </c>
      <c r="L258" s="38">
        <f t="shared" si="8"/>
        <v>31706637.050000004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100000</v>
      </c>
      <c r="L261" s="13">
        <f>SUM(F261:K261)</f>
        <v>100000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6900</v>
      </c>
      <c r="L262" s="13">
        <f>SUM(F262:K262)</f>
        <v>6900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500000</v>
      </c>
      <c r="L267" s="13">
        <f t="shared" si="9"/>
        <v>500000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606900</v>
      </c>
      <c r="L271" s="38">
        <f t="shared" si="9"/>
        <v>606900</v>
      </c>
      <c r="M271" s="8"/>
      <c r="N271" s="165"/>
    </row>
    <row r="272" spans="1:14" s="33" customFormat="1" ht="12.2" customHeight="1" thickTop="1" x14ac:dyDescent="0.2">
      <c r="A272" s="40" t="s">
        <v>464</v>
      </c>
      <c r="B272" s="37">
        <v>10</v>
      </c>
      <c r="C272" s="37">
        <v>18</v>
      </c>
      <c r="D272" s="36" t="s">
        <v>431</v>
      </c>
      <c r="E272" s="37"/>
      <c r="F272" s="39">
        <f t="shared" ref="F272:L272" si="11">F258+F271</f>
        <v>17240800.109999999</v>
      </c>
      <c r="G272" s="39">
        <f t="shared" si="11"/>
        <v>8177814.2799999993</v>
      </c>
      <c r="H272" s="39">
        <f t="shared" si="11"/>
        <v>4366347.09</v>
      </c>
      <c r="I272" s="39">
        <f t="shared" si="11"/>
        <v>1607241.1800000002</v>
      </c>
      <c r="J272" s="39">
        <f t="shared" si="11"/>
        <v>253699.15000000002</v>
      </c>
      <c r="K272" s="39">
        <f t="shared" si="11"/>
        <v>667635.24</v>
      </c>
      <c r="L272" s="39">
        <f t="shared" si="11"/>
        <v>32313537.050000004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522657.46</v>
      </c>
      <c r="G277" s="18">
        <v>213385.65</v>
      </c>
      <c r="H277" s="18">
        <v>33423.089999999997</v>
      </c>
      <c r="I277" s="18">
        <v>121625.63</v>
      </c>
      <c r="J277" s="18">
        <v>243336.63</v>
      </c>
      <c r="K277" s="18">
        <v>0</v>
      </c>
      <c r="L277" s="13">
        <f>SUM(F277:K277)</f>
        <v>1134428.46</v>
      </c>
      <c r="M277" s="8"/>
      <c r="N277" s="165"/>
    </row>
    <row r="278" spans="1:14" s="3" customFormat="1" ht="12.2" customHeight="1" x14ac:dyDescent="0.15">
      <c r="A278" s="1" t="s">
        <v>439</v>
      </c>
      <c r="B278" s="2" t="s">
        <v>357</v>
      </c>
      <c r="C278" s="2" t="s">
        <v>291</v>
      </c>
      <c r="D278" s="2" t="s">
        <v>431</v>
      </c>
      <c r="E278" s="6">
        <v>1200</v>
      </c>
      <c r="F278" s="18">
        <v>88691.010000000009</v>
      </c>
      <c r="G278" s="18">
        <v>36583.520000000004</v>
      </c>
      <c r="H278" s="18">
        <v>79967.240000000005</v>
      </c>
      <c r="I278" s="18">
        <v>12403.009999999998</v>
      </c>
      <c r="J278" s="18">
        <v>1189.2800000000002</v>
      </c>
      <c r="K278" s="18">
        <v>0</v>
      </c>
      <c r="L278" s="13">
        <f>SUM(F278:K278)</f>
        <v>218834.06000000003</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49645.89</v>
      </c>
      <c r="G280" s="18">
        <v>11996.579999999998</v>
      </c>
      <c r="H280" s="18">
        <v>0</v>
      </c>
      <c r="I280" s="18">
        <v>53.040000000000006</v>
      </c>
      <c r="J280" s="18">
        <v>0</v>
      </c>
      <c r="K280" s="18">
        <v>0</v>
      </c>
      <c r="L280" s="13">
        <f>SUM(F280:K280)</f>
        <v>61695.51</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193895.62</v>
      </c>
      <c r="G282" s="18">
        <v>90989.56</v>
      </c>
      <c r="H282" s="18">
        <v>15320.51</v>
      </c>
      <c r="I282" s="18">
        <v>563.33999999999992</v>
      </c>
      <c r="J282" s="18">
        <v>5421.9600000000009</v>
      </c>
      <c r="K282" s="18">
        <v>0</v>
      </c>
      <c r="L282" s="13">
        <f t="shared" ref="L282:L288" si="12">SUM(F282:K282)</f>
        <v>306190.99000000005</v>
      </c>
      <c r="M282" s="8"/>
      <c r="N282" s="165"/>
    </row>
    <row r="283" spans="1:14" s="3" customFormat="1" ht="12.2" customHeight="1" x14ac:dyDescent="0.15">
      <c r="A283" s="1" t="s">
        <v>443</v>
      </c>
      <c r="B283" s="2" t="s">
        <v>357</v>
      </c>
      <c r="C283" s="2" t="s">
        <v>295</v>
      </c>
      <c r="D283" s="2" t="s">
        <v>431</v>
      </c>
      <c r="E283" s="6">
        <v>2200</v>
      </c>
      <c r="F283" s="18">
        <v>37641.83</v>
      </c>
      <c r="G283" s="18">
        <v>10598.26</v>
      </c>
      <c r="H283" s="18">
        <v>117242.51999999999</v>
      </c>
      <c r="I283" s="18">
        <v>549.02</v>
      </c>
      <c r="J283" s="18">
        <v>0</v>
      </c>
      <c r="K283" s="18">
        <v>0</v>
      </c>
      <c r="L283" s="13">
        <f t="shared" si="12"/>
        <v>166031.62999999998</v>
      </c>
      <c r="M283" s="8"/>
      <c r="N283" s="165"/>
    </row>
    <row r="284" spans="1:14" s="3" customFormat="1" ht="12.2" customHeight="1" x14ac:dyDescent="0.15">
      <c r="A284" s="1" t="s">
        <v>444</v>
      </c>
      <c r="B284" s="2" t="s">
        <v>357</v>
      </c>
      <c r="C284" s="2" t="s">
        <v>296</v>
      </c>
      <c r="D284" s="2" t="s">
        <v>431</v>
      </c>
      <c r="E284" s="6">
        <v>2300</v>
      </c>
      <c r="F284" s="18">
        <v>13837.53</v>
      </c>
      <c r="G284" s="18">
        <v>5257</v>
      </c>
      <c r="H284" s="18">
        <v>40.68</v>
      </c>
      <c r="I284" s="18">
        <v>79.489999999999995</v>
      </c>
      <c r="J284" s="18">
        <v>0</v>
      </c>
      <c r="K284" s="18">
        <v>0</v>
      </c>
      <c r="L284" s="13">
        <f t="shared" si="12"/>
        <v>19214.7</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10892.77</v>
      </c>
      <c r="G286" s="18">
        <v>4164.57</v>
      </c>
      <c r="H286" s="18">
        <v>0</v>
      </c>
      <c r="I286" s="18">
        <v>0</v>
      </c>
      <c r="J286" s="18">
        <v>0</v>
      </c>
      <c r="K286" s="18">
        <v>0</v>
      </c>
      <c r="L286" s="13">
        <f t="shared" si="12"/>
        <v>15057.34</v>
      </c>
      <c r="M286" s="8"/>
      <c r="N286" s="165"/>
    </row>
    <row r="287" spans="1:14" s="3" customFormat="1" ht="12.2" customHeight="1" x14ac:dyDescent="0.15">
      <c r="A287" s="1" t="s">
        <v>447</v>
      </c>
      <c r="B287" s="2" t="s">
        <v>357</v>
      </c>
      <c r="C287" s="2" t="s">
        <v>299</v>
      </c>
      <c r="D287" s="2" t="s">
        <v>431</v>
      </c>
      <c r="E287" s="6">
        <v>2600</v>
      </c>
      <c r="F287" s="18">
        <v>0</v>
      </c>
      <c r="G287" s="18">
        <v>0</v>
      </c>
      <c r="H287" s="18">
        <v>19152.150000000001</v>
      </c>
      <c r="I287" s="18">
        <v>23736.47</v>
      </c>
      <c r="J287" s="18">
        <v>208964.41</v>
      </c>
      <c r="K287" s="18">
        <v>0</v>
      </c>
      <c r="L287" s="13">
        <f t="shared" si="12"/>
        <v>251853.03</v>
      </c>
      <c r="M287" s="8"/>
      <c r="N287" s="165"/>
    </row>
    <row r="288" spans="1:14" s="3" customFormat="1" ht="12.2" customHeight="1" x14ac:dyDescent="0.15">
      <c r="A288" s="1" t="s">
        <v>448</v>
      </c>
      <c r="B288" s="2" t="s">
        <v>357</v>
      </c>
      <c r="C288" s="2" t="s">
        <v>300</v>
      </c>
      <c r="D288" s="2" t="s">
        <v>431</v>
      </c>
      <c r="E288" s="6">
        <v>2700</v>
      </c>
      <c r="F288" s="18">
        <v>0</v>
      </c>
      <c r="G288" s="18">
        <v>0</v>
      </c>
      <c r="H288" s="18">
        <v>20863.450000000004</v>
      </c>
      <c r="I288" s="18">
        <v>0</v>
      </c>
      <c r="J288" s="18">
        <v>26492.03</v>
      </c>
      <c r="K288" s="18">
        <v>0</v>
      </c>
      <c r="L288" s="13">
        <f t="shared" si="12"/>
        <v>47355.48</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917262.11</v>
      </c>
      <c r="G291" s="39">
        <f t="shared" si="13"/>
        <v>372975.13999999996</v>
      </c>
      <c r="H291" s="39">
        <f t="shared" si="13"/>
        <v>286009.64</v>
      </c>
      <c r="I291" s="39">
        <f t="shared" si="13"/>
        <v>159010</v>
      </c>
      <c r="J291" s="39">
        <f t="shared" si="13"/>
        <v>485404.31000000006</v>
      </c>
      <c r="K291" s="39">
        <f t="shared" si="13"/>
        <v>0</v>
      </c>
      <c r="L291" s="38">
        <f t="shared" si="13"/>
        <v>2220661.1999999997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74094.37</v>
      </c>
      <c r="G315" s="18">
        <v>12480.63</v>
      </c>
      <c r="H315" s="18">
        <v>6072.91</v>
      </c>
      <c r="I315" s="18">
        <v>60271.64</v>
      </c>
      <c r="J315" s="18">
        <v>131624.75</v>
      </c>
      <c r="K315" s="18">
        <v>0</v>
      </c>
      <c r="L315" s="13">
        <f>SUM(F315:K315)</f>
        <v>284544.3</v>
      </c>
      <c r="M315" s="8"/>
      <c r="N315" s="165"/>
    </row>
    <row r="316" spans="1:14" s="3" customFormat="1" ht="12.2" customHeight="1" x14ac:dyDescent="0.15">
      <c r="A316" s="1" t="s">
        <v>439</v>
      </c>
      <c r="B316" s="2" t="s">
        <v>359</v>
      </c>
      <c r="C316" s="2" t="s">
        <v>291</v>
      </c>
      <c r="D316" s="2" t="s">
        <v>431</v>
      </c>
      <c r="E316" s="6">
        <v>1200</v>
      </c>
      <c r="F316" s="18">
        <v>23765.7</v>
      </c>
      <c r="G316" s="18">
        <v>10787.69</v>
      </c>
      <c r="H316" s="18">
        <v>43255.58</v>
      </c>
      <c r="I316" s="18">
        <v>6612.43</v>
      </c>
      <c r="J316" s="18">
        <v>78.64</v>
      </c>
      <c r="K316" s="18">
        <v>0</v>
      </c>
      <c r="L316" s="13">
        <f>SUM(F316:K316)</f>
        <v>84500.04</v>
      </c>
      <c r="M316" s="8"/>
      <c r="N316" s="165"/>
    </row>
    <row r="317" spans="1:14" s="3" customFormat="1" ht="12.2" customHeight="1" x14ac:dyDescent="0.15">
      <c r="A317" s="1" t="s">
        <v>440</v>
      </c>
      <c r="B317" s="2" t="s">
        <v>359</v>
      </c>
      <c r="C317" s="2" t="s">
        <v>292</v>
      </c>
      <c r="D317" s="2" t="s">
        <v>431</v>
      </c>
      <c r="E317" s="6">
        <v>1300</v>
      </c>
      <c r="F317" s="18">
        <v>35371.03</v>
      </c>
      <c r="G317" s="18">
        <v>3075.24</v>
      </c>
      <c r="H317" s="18">
        <v>11118.5</v>
      </c>
      <c r="I317" s="18">
        <v>6666.58</v>
      </c>
      <c r="J317" s="18">
        <v>6396.99</v>
      </c>
      <c r="K317" s="18">
        <v>5318.57</v>
      </c>
      <c r="L317" s="13">
        <f>SUM(F317:K317)</f>
        <v>67946.91</v>
      </c>
      <c r="M317" s="8"/>
      <c r="N317" s="165"/>
    </row>
    <row r="318" spans="1:14" s="3" customFormat="1" ht="12.2" customHeight="1" x14ac:dyDescent="0.15">
      <c r="A318" s="1" t="s">
        <v>441</v>
      </c>
      <c r="B318" s="2" t="s">
        <v>359</v>
      </c>
      <c r="C318" s="2" t="s">
        <v>293</v>
      </c>
      <c r="D318" s="2" t="s">
        <v>431</v>
      </c>
      <c r="E318" s="6">
        <v>1400</v>
      </c>
      <c r="F318" s="18">
        <v>15709.44</v>
      </c>
      <c r="G318" s="18">
        <v>3999.28</v>
      </c>
      <c r="H318" s="18">
        <v>0</v>
      </c>
      <c r="I318" s="18">
        <v>28.69</v>
      </c>
      <c r="J318" s="18">
        <v>0</v>
      </c>
      <c r="K318" s="18">
        <v>0</v>
      </c>
      <c r="L318" s="13">
        <f>SUM(F318:K318)</f>
        <v>19737.41</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137956.29999999999</v>
      </c>
      <c r="G320" s="18">
        <v>64945.479999999996</v>
      </c>
      <c r="H320" s="18">
        <v>8129.75</v>
      </c>
      <c r="I320" s="18">
        <v>304.72000000000003</v>
      </c>
      <c r="J320" s="18">
        <v>2932.82</v>
      </c>
      <c r="K320" s="18">
        <v>0</v>
      </c>
      <c r="L320" s="13">
        <f t="shared" ref="L320:L326" si="16">SUM(F320:K320)</f>
        <v>214269.06999999998</v>
      </c>
      <c r="M320" s="8"/>
      <c r="N320" s="165"/>
    </row>
    <row r="321" spans="1:14" s="3" customFormat="1" ht="12.2" customHeight="1" x14ac:dyDescent="0.15">
      <c r="A321" s="1" t="s">
        <v>443</v>
      </c>
      <c r="B321" s="2" t="s">
        <v>359</v>
      </c>
      <c r="C321" s="2" t="s">
        <v>295</v>
      </c>
      <c r="D321" s="2" t="s">
        <v>431</v>
      </c>
      <c r="E321" s="6">
        <v>2200</v>
      </c>
      <c r="F321" s="18">
        <v>21171.08</v>
      </c>
      <c r="G321" s="18">
        <v>5882.72</v>
      </c>
      <c r="H321" s="18">
        <v>63053.32</v>
      </c>
      <c r="I321" s="18">
        <v>296.98</v>
      </c>
      <c r="J321" s="18">
        <v>0</v>
      </c>
      <c r="K321" s="18">
        <v>0</v>
      </c>
      <c r="L321" s="13">
        <f t="shared" si="16"/>
        <v>90404.099999999991</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5892.07</v>
      </c>
      <c r="G324" s="18">
        <v>2252.69</v>
      </c>
      <c r="H324" s="18">
        <v>0</v>
      </c>
      <c r="I324" s="18">
        <v>0</v>
      </c>
      <c r="J324" s="18">
        <v>0</v>
      </c>
      <c r="K324" s="18">
        <v>0</v>
      </c>
      <c r="L324" s="13">
        <f t="shared" si="16"/>
        <v>8144.76</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9132.94</v>
      </c>
      <c r="J325" s="18">
        <v>0</v>
      </c>
      <c r="K325" s="18">
        <v>0</v>
      </c>
      <c r="L325" s="13">
        <f t="shared" si="16"/>
        <v>9132.94</v>
      </c>
      <c r="M325" s="8"/>
      <c r="N325" s="165"/>
    </row>
    <row r="326" spans="1:14" s="3" customFormat="1" ht="12.2" customHeight="1" x14ac:dyDescent="0.15">
      <c r="A326" s="1" t="s">
        <v>448</v>
      </c>
      <c r="B326" s="2" t="s">
        <v>359</v>
      </c>
      <c r="C326" s="2" t="s">
        <v>300</v>
      </c>
      <c r="D326" s="2" t="s">
        <v>431</v>
      </c>
      <c r="E326" s="6">
        <v>2700</v>
      </c>
      <c r="F326" s="18">
        <v>0</v>
      </c>
      <c r="G326" s="18">
        <v>0</v>
      </c>
      <c r="H326" s="18">
        <v>1445</v>
      </c>
      <c r="I326" s="18">
        <v>0</v>
      </c>
      <c r="J326" s="18">
        <v>14329.97</v>
      </c>
      <c r="K326" s="18">
        <v>0</v>
      </c>
      <c r="L326" s="13">
        <f t="shared" si="16"/>
        <v>15774.97</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313959.99</v>
      </c>
      <c r="G329" s="39">
        <f t="shared" si="17"/>
        <v>103423.73</v>
      </c>
      <c r="H329" s="39">
        <f t="shared" si="17"/>
        <v>133075.06</v>
      </c>
      <c r="I329" s="39">
        <f t="shared" si="17"/>
        <v>83313.98000000001</v>
      </c>
      <c r="J329" s="39">
        <f t="shared" si="17"/>
        <v>155363.17000000001</v>
      </c>
      <c r="K329" s="39">
        <f t="shared" si="17"/>
        <v>5318.57</v>
      </c>
      <c r="L329" s="38">
        <f t="shared" si="17"/>
        <v>794454.49999999988</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30529.5</v>
      </c>
      <c r="G337" s="18">
        <v>53015.1</v>
      </c>
      <c r="H337" s="18">
        <v>170847.85</v>
      </c>
      <c r="I337" s="18">
        <v>0</v>
      </c>
      <c r="J337" s="18">
        <v>0</v>
      </c>
      <c r="K337" s="18">
        <v>0</v>
      </c>
      <c r="L337" s="13">
        <f t="shared" si="18"/>
        <v>254392.45</v>
      </c>
      <c r="M337" s="8"/>
      <c r="N337" s="165"/>
    </row>
    <row r="338" spans="1:43" s="3" customFormat="1" ht="12.2" customHeight="1" thickTop="1" thickBot="1" x14ac:dyDescent="0.2">
      <c r="A338" s="46" t="s">
        <v>467</v>
      </c>
      <c r="B338" s="37">
        <v>14</v>
      </c>
      <c r="C338" s="47">
        <v>6</v>
      </c>
      <c r="D338" s="44" t="s">
        <v>431</v>
      </c>
      <c r="E338" s="47"/>
      <c r="F338" s="38">
        <f t="shared" ref="F338:K338" si="19">SUM(F333:F337)</f>
        <v>30529.5</v>
      </c>
      <c r="G338" s="38">
        <f t="shared" si="19"/>
        <v>53015.1</v>
      </c>
      <c r="H338" s="38">
        <f t="shared" si="19"/>
        <v>170847.85</v>
      </c>
      <c r="I338" s="38">
        <f t="shared" si="19"/>
        <v>0</v>
      </c>
      <c r="J338" s="38">
        <f t="shared" si="19"/>
        <v>0</v>
      </c>
      <c r="K338" s="38">
        <f t="shared" si="19"/>
        <v>0</v>
      </c>
      <c r="L338" s="38">
        <f t="shared" si="18"/>
        <v>254392.45</v>
      </c>
      <c r="M338" s="8"/>
      <c r="N338" s="165"/>
    </row>
    <row r="339" spans="1:43" s="3" customFormat="1" ht="12.2" customHeight="1" thickTop="1" x14ac:dyDescent="0.15">
      <c r="A339" s="35" t="s">
        <v>468</v>
      </c>
      <c r="B339" s="37">
        <v>14</v>
      </c>
      <c r="C339" s="37">
        <v>7</v>
      </c>
      <c r="D339" s="36" t="s">
        <v>431</v>
      </c>
      <c r="E339" s="37"/>
      <c r="F339" s="38">
        <f t="shared" ref="F339:L339" si="20">F291+F310+F329+F338</f>
        <v>1261751.6000000001</v>
      </c>
      <c r="G339" s="38">
        <f t="shared" si="20"/>
        <v>529413.97</v>
      </c>
      <c r="H339" s="38">
        <f t="shared" si="20"/>
        <v>589932.55000000005</v>
      </c>
      <c r="I339" s="38">
        <f t="shared" si="20"/>
        <v>242323.98</v>
      </c>
      <c r="J339" s="38">
        <f t="shared" si="20"/>
        <v>640767.4800000001</v>
      </c>
      <c r="K339" s="38">
        <f t="shared" si="20"/>
        <v>5318.57</v>
      </c>
      <c r="L339" s="38">
        <f t="shared" si="20"/>
        <v>3269508.15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27739.8</v>
      </c>
      <c r="L345" s="13">
        <f t="shared" ref="L345:L351" si="21">SUM(F345:K345)</f>
        <v>27739.8</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27739.8</v>
      </c>
      <c r="L352" s="38">
        <f>SUM(L342:L351)</f>
        <v>27739.8</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1261751.6000000001</v>
      </c>
      <c r="G353" s="38">
        <f>G339</f>
        <v>529413.97</v>
      </c>
      <c r="H353" s="38">
        <f>H339</f>
        <v>589932.55000000005</v>
      </c>
      <c r="I353" s="38">
        <f>I339</f>
        <v>242323.98</v>
      </c>
      <c r="J353" s="38">
        <f>J339</f>
        <v>640767.4800000001</v>
      </c>
      <c r="K353" s="38">
        <f>K339+K352</f>
        <v>33058.369999999995</v>
      </c>
      <c r="L353" s="38">
        <f>L339+L352</f>
        <v>3297247.9499999997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408164.31</v>
      </c>
      <c r="I359" s="18">
        <v>291993.65999999997</v>
      </c>
      <c r="J359" s="18">
        <v>65917.649999999994</v>
      </c>
      <c r="K359" s="18"/>
      <c r="L359" s="13">
        <f>SUM(F359:K359)</f>
        <v>766075.62</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v>110157.61</v>
      </c>
      <c r="I361" s="18">
        <v>90906.8</v>
      </c>
      <c r="J361" s="18">
        <v>43892.57</v>
      </c>
      <c r="K361" s="18"/>
      <c r="L361" s="13">
        <f>SUM(F361:K361)</f>
        <v>244956.98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518321.91999999998</v>
      </c>
      <c r="I363" s="38">
        <f t="shared" si="22"/>
        <v>382900.45999999996</v>
      </c>
      <c r="J363" s="38">
        <f t="shared" si="22"/>
        <v>109810.22</v>
      </c>
      <c r="K363" s="38">
        <f t="shared" si="22"/>
        <v>0</v>
      </c>
      <c r="L363" s="38">
        <f t="shared" si="22"/>
        <v>1011032.6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269356.61</v>
      </c>
      <c r="G368" s="18"/>
      <c r="H368" s="18">
        <v>83053.899999999994</v>
      </c>
      <c r="I368" s="13">
        <f>SUM(F368:H368)</f>
        <v>352410.51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22637.05</v>
      </c>
      <c r="G369" s="53"/>
      <c r="H369" s="53">
        <v>7852.9</v>
      </c>
      <c r="I369" s="13">
        <f>SUM(F369:H369)</f>
        <v>30489.949999999997</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291993.65999999997</v>
      </c>
      <c r="G370" s="38">
        <f>SUM(G368:G369)</f>
        <v>0</v>
      </c>
      <c r="H370" s="38">
        <f>SUM(H368:H369)</f>
        <v>90906.799999999988</v>
      </c>
      <c r="I370" s="38">
        <f>SUM(I368:I369)</f>
        <v>382900.46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500000</v>
      </c>
      <c r="H397" s="18">
        <v>22262.67</v>
      </c>
      <c r="I397" s="18"/>
      <c r="J397" s="23" t="s">
        <v>288</v>
      </c>
      <c r="K397" s="23" t="s">
        <v>288</v>
      </c>
      <c r="L397" s="13">
        <f t="shared" si="26"/>
        <v>522262.67</v>
      </c>
      <c r="M397" s="8"/>
      <c r="N397" s="165"/>
    </row>
    <row r="398" spans="1:14" s="3" customFormat="1" ht="12.2" customHeight="1" x14ac:dyDescent="0.15">
      <c r="A398" s="62" t="s">
        <v>515</v>
      </c>
      <c r="B398" s="2" t="s">
        <v>381</v>
      </c>
      <c r="C398" s="6">
        <v>10</v>
      </c>
      <c r="D398" s="2" t="s">
        <v>432</v>
      </c>
      <c r="E398" s="6"/>
      <c r="F398" s="18"/>
      <c r="G398" s="18"/>
      <c r="H398" s="18">
        <v>3500.84</v>
      </c>
      <c r="I398" s="18"/>
      <c r="J398" s="23" t="s">
        <v>288</v>
      </c>
      <c r="K398" s="23" t="s">
        <v>288</v>
      </c>
      <c r="L398" s="13">
        <f t="shared" si="26"/>
        <v>3500.84</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500000</v>
      </c>
      <c r="H402" s="38">
        <f>SUM(H396:H401)</f>
        <v>25763.51</v>
      </c>
      <c r="I402" s="38">
        <f>SUM(I396:I401)</f>
        <v>0</v>
      </c>
      <c r="J402" s="42" t="s">
        <v>288</v>
      </c>
      <c r="K402" s="42" t="s">
        <v>288</v>
      </c>
      <c r="L402" s="38">
        <f>SUM(L396:L401)</f>
        <v>525763.51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500000</v>
      </c>
      <c r="H409" s="38">
        <f>H394+H402+H408</f>
        <v>25763.51</v>
      </c>
      <c r="I409" s="38">
        <f>I394+I402+I408</f>
        <v>0</v>
      </c>
      <c r="J409" s="23" t="s">
        <v>288</v>
      </c>
      <c r="K409" s="23" t="s">
        <v>288</v>
      </c>
      <c r="L409" s="38">
        <f>L394+L402+L408</f>
        <v>525763.51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v>4350.9799999999996</v>
      </c>
      <c r="I422" s="18"/>
      <c r="J422" s="18"/>
      <c r="K422" s="18"/>
      <c r="L422" s="13">
        <f t="shared" ref="L422:L427" si="29">SUM(F422:K422)</f>
        <v>4350.9799999999996</v>
      </c>
      <c r="M422" s="8"/>
      <c r="N422" s="165"/>
    </row>
    <row r="423" spans="1:21" s="3" customFormat="1" ht="12.2" customHeight="1" x14ac:dyDescent="0.15">
      <c r="A423" s="62" t="s">
        <v>557</v>
      </c>
      <c r="B423" s="6">
        <v>17</v>
      </c>
      <c r="C423" s="6">
        <v>9</v>
      </c>
      <c r="D423" s="2" t="s">
        <v>432</v>
      </c>
      <c r="E423" s="6"/>
      <c r="F423" s="18"/>
      <c r="G423" s="18"/>
      <c r="H423" s="18">
        <v>19921.009999999998</v>
      </c>
      <c r="I423" s="18"/>
      <c r="J423" s="18"/>
      <c r="K423" s="18"/>
      <c r="L423" s="13">
        <f t="shared" si="29"/>
        <v>19921.009999999998</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v>1796.59</v>
      </c>
      <c r="I427" s="18"/>
      <c r="J427" s="18"/>
      <c r="K427" s="18"/>
      <c r="L427" s="13">
        <f t="shared" si="29"/>
        <v>1796.59</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26068.579999999998</v>
      </c>
      <c r="I428" s="38">
        <f t="shared" si="30"/>
        <v>0</v>
      </c>
      <c r="J428" s="38">
        <f t="shared" si="30"/>
        <v>0</v>
      </c>
      <c r="K428" s="38">
        <f t="shared" si="30"/>
        <v>0</v>
      </c>
      <c r="L428" s="38">
        <f t="shared" si="30"/>
        <v>26068.579999999998</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26068.579999999998</v>
      </c>
      <c r="I435" s="38">
        <f t="shared" si="32"/>
        <v>0</v>
      </c>
      <c r="J435" s="38">
        <f t="shared" si="32"/>
        <v>0</v>
      </c>
      <c r="K435" s="38">
        <f t="shared" si="32"/>
        <v>0</v>
      </c>
      <c r="L435" s="38">
        <f t="shared" si="32"/>
        <v>26068.579999999998</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1749259.82</v>
      </c>
      <c r="G443" s="18">
        <v>1380173.06</v>
      </c>
      <c r="H443" s="18"/>
      <c r="I443" s="13">
        <f t="shared" si="33"/>
        <v>3129432.88</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1749259.82</v>
      </c>
      <c r="G447" s="13">
        <f>SUM(G440:G446)</f>
        <v>1380173.06</v>
      </c>
      <c r="H447" s="13">
        <f>SUM(H440:H446)</f>
        <v>0</v>
      </c>
      <c r="I447" s="13">
        <f>SUM(I440:I446)</f>
        <v>3129432.88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1749259.82</v>
      </c>
      <c r="G460" s="18">
        <v>1380173.06</v>
      </c>
      <c r="H460" s="18"/>
      <c r="I460" s="13">
        <f t="shared" si="34"/>
        <v>3129432.88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1749259.82</v>
      </c>
      <c r="G461" s="65">
        <f>SUM(G455:G460)</f>
        <v>1380173.06</v>
      </c>
      <c r="H461" s="65">
        <f>SUM(H455:H460)</f>
        <v>0</v>
      </c>
      <c r="I461" s="65">
        <f>SUM(I455:I460)</f>
        <v>3129432.88</v>
      </c>
      <c r="J461" s="23" t="s">
        <v>288</v>
      </c>
      <c r="K461" s="23" t="s">
        <v>288</v>
      </c>
      <c r="L461" s="23" t="s">
        <v>288</v>
      </c>
      <c r="N461" s="131"/>
    </row>
    <row r="462" spans="1:86" ht="12.2" customHeight="1" thickTop="1" x14ac:dyDescent="0.2">
      <c r="A462" s="40" t="s">
        <v>424</v>
      </c>
      <c r="B462" s="41">
        <v>18</v>
      </c>
      <c r="C462" s="64">
        <v>21</v>
      </c>
      <c r="D462" s="114" t="s">
        <v>432</v>
      </c>
      <c r="E462" s="64"/>
      <c r="F462" s="39">
        <f>F453+F461</f>
        <v>1749259.82</v>
      </c>
      <c r="G462" s="39">
        <f>G453+G461</f>
        <v>1380173.06</v>
      </c>
      <c r="H462" s="39">
        <f>H453+H461</f>
        <v>0</v>
      </c>
      <c r="I462" s="39">
        <f>I453+I461</f>
        <v>3129432.88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1503875.29</v>
      </c>
      <c r="G466" s="18">
        <v>141873.60999999999</v>
      </c>
      <c r="H466" s="18">
        <v>376812.66</v>
      </c>
      <c r="I466" s="18"/>
      <c r="J466" s="18">
        <v>2629737.9500000002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32606930.370000001</v>
      </c>
      <c r="G469" s="18">
        <v>779677</v>
      </c>
      <c r="H469" s="18">
        <v>3154459.57</v>
      </c>
      <c r="I469" s="18"/>
      <c r="J469" s="18">
        <v>525763.51</v>
      </c>
      <c r="K469" s="23" t="s">
        <v>288</v>
      </c>
      <c r="L469" s="23" t="s">
        <v>288</v>
      </c>
      <c r="N469" s="131"/>
    </row>
    <row r="470" spans="1:14" ht="12.2" customHeight="1" x14ac:dyDescent="0.2">
      <c r="A470" s="71" t="s">
        <v>611</v>
      </c>
      <c r="B470" s="22">
        <v>19</v>
      </c>
      <c r="C470" s="31">
        <v>3</v>
      </c>
      <c r="D470" s="2" t="s">
        <v>432</v>
      </c>
      <c r="E470" s="31"/>
      <c r="F470" s="18"/>
      <c r="G470" s="18">
        <v>119240.8</v>
      </c>
      <c r="H470" s="18"/>
      <c r="I470" s="18"/>
      <c r="J470" s="18"/>
      <c r="K470" s="23" t="s">
        <v>288</v>
      </c>
      <c r="L470" s="23" t="s">
        <v>288</v>
      </c>
      <c r="N470" s="131"/>
    </row>
    <row r="471" spans="1:14" ht="12.2" customHeight="1" x14ac:dyDescent="0.2">
      <c r="A471" s="32" t="s">
        <v>425</v>
      </c>
      <c r="B471" s="22">
        <v>19</v>
      </c>
      <c r="C471" s="31">
        <v>4</v>
      </c>
      <c r="D471" s="2" t="s">
        <v>432</v>
      </c>
      <c r="E471" s="31"/>
      <c r="F471" s="19">
        <f>SUM(F469:F470)</f>
        <v>32606930.370000001</v>
      </c>
      <c r="G471" s="19">
        <f>SUM(G469:G470)</f>
        <v>898917.8</v>
      </c>
      <c r="H471" s="19">
        <f>SUM(H469:H470)</f>
        <v>3154459.57</v>
      </c>
      <c r="I471" s="19">
        <f>SUM(I469:I470)</f>
        <v>0</v>
      </c>
      <c r="J471" s="19">
        <f>SUM(J469:J470)</f>
        <v>525763.51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32313537.050000001</v>
      </c>
      <c r="G473" s="18">
        <v>1011032.6</v>
      </c>
      <c r="H473" s="18">
        <v>3297247.9499999997</v>
      </c>
      <c r="I473" s="18"/>
      <c r="J473" s="18">
        <v>26068.579999999998</v>
      </c>
      <c r="K473" s="23" t="s">
        <v>288</v>
      </c>
      <c r="L473" s="23" t="s">
        <v>288</v>
      </c>
      <c r="N473" s="131"/>
    </row>
    <row r="474" spans="1:14" ht="12.2" customHeight="1" x14ac:dyDescent="0.2">
      <c r="A474" s="71" t="s">
        <v>613</v>
      </c>
      <c r="B474" s="22">
        <v>19</v>
      </c>
      <c r="C474" s="31">
        <v>6</v>
      </c>
      <c r="D474" s="2" t="s">
        <v>432</v>
      </c>
      <c r="E474" s="31"/>
      <c r="F474" s="18">
        <v>207702.29</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32521239.34</v>
      </c>
      <c r="G475" s="19">
        <f>SUM(G473:G474)</f>
        <v>1011032.6</v>
      </c>
      <c r="H475" s="19">
        <f>SUM(H473:H474)</f>
        <v>3297247.9499999997</v>
      </c>
      <c r="I475" s="19">
        <f>SUM(I473:I474)</f>
        <v>0</v>
      </c>
      <c r="J475" s="19">
        <f>SUM(J473:J474)</f>
        <v>26068.579999999998</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1589566.320000004</v>
      </c>
      <c r="G477" s="19">
        <f>(G466+G471)- G475</f>
        <v>29758.810000000056</v>
      </c>
      <c r="H477" s="19">
        <f>(H466+H471)- H475</f>
        <v>234024.28000000026</v>
      </c>
      <c r="I477" s="19">
        <f>(I466+I471)- I475</f>
        <v>0</v>
      </c>
      <c r="J477" s="19">
        <f>(J466+J471)- J475</f>
        <v>3129432.88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1818</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5</v>
      </c>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v>2000000</v>
      </c>
      <c r="G494" s="18">
        <v>44686</v>
      </c>
      <c r="H494" s="18"/>
      <c r="I494" s="18"/>
      <c r="J494" s="18"/>
      <c r="K494" s="23" t="s">
        <v>288</v>
      </c>
      <c r="L494" s="23" t="s">
        <v>288</v>
      </c>
      <c r="N494" s="131"/>
    </row>
    <row r="495" spans="1:14" ht="12.2" customHeight="1" x14ac:dyDescent="0.2">
      <c r="A495" s="21" t="s">
        <v>618</v>
      </c>
      <c r="B495" s="22">
        <v>20</v>
      </c>
      <c r="C495" s="22">
        <v>5</v>
      </c>
      <c r="D495" s="2" t="s">
        <v>432</v>
      </c>
      <c r="E495" s="22"/>
      <c r="F495" s="18">
        <v>3.99</v>
      </c>
      <c r="G495" s="18">
        <v>5.25</v>
      </c>
      <c r="H495" s="18"/>
      <c r="I495" s="18"/>
      <c r="J495" s="18"/>
      <c r="K495" s="23" t="s">
        <v>288</v>
      </c>
      <c r="L495" s="23" t="s">
        <v>288</v>
      </c>
      <c r="N495" s="131"/>
    </row>
    <row r="496" spans="1:14" ht="12.2" customHeight="1" x14ac:dyDescent="0.2">
      <c r="A496" s="21" t="s">
        <v>619</v>
      </c>
      <c r="B496" s="22">
        <v>20</v>
      </c>
      <c r="C496" s="22">
        <v>6</v>
      </c>
      <c r="D496" s="2" t="s">
        <v>432</v>
      </c>
      <c r="E496" s="22"/>
      <c r="F496" s="18">
        <v>300000</v>
      </c>
      <c r="G496" s="18">
        <v>18788</v>
      </c>
      <c r="H496" s="18"/>
      <c r="I496" s="18"/>
      <c r="J496" s="18"/>
      <c r="K496" s="19">
        <f>SUM(F496:J496)</f>
        <v>318788</v>
      </c>
      <c r="L496" s="23" t="s">
        <v>288</v>
      </c>
      <c r="N496" s="131"/>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100000</v>
      </c>
      <c r="G498" s="18">
        <v>9154</v>
      </c>
      <c r="H498" s="18"/>
      <c r="I498" s="18"/>
      <c r="J498" s="18"/>
      <c r="K498" s="19">
        <f t="shared" si="35"/>
        <v>109154</v>
      </c>
      <c r="L498" s="23" t="s">
        <v>288</v>
      </c>
      <c r="N498" s="131"/>
    </row>
    <row r="499" spans="1:14" ht="12.2" customHeight="1" x14ac:dyDescent="0.2">
      <c r="A499" s="144" t="s">
        <v>622</v>
      </c>
      <c r="B499" s="145">
        <v>20</v>
      </c>
      <c r="C499" s="145">
        <v>9</v>
      </c>
      <c r="D499" s="146" t="s">
        <v>432</v>
      </c>
      <c r="E499" s="145"/>
      <c r="F499" s="147">
        <v>200000</v>
      </c>
      <c r="G499" s="147">
        <v>9634</v>
      </c>
      <c r="H499" s="147"/>
      <c r="I499" s="147"/>
      <c r="J499" s="147"/>
      <c r="K499" s="148">
        <f t="shared" si="35"/>
        <v>209634</v>
      </c>
      <c r="L499" s="149" t="s">
        <v>288</v>
      </c>
      <c r="N499" s="131"/>
    </row>
    <row r="500" spans="1:14" ht="12.2" customHeight="1" thickBot="1" x14ac:dyDescent="0.25">
      <c r="A500" s="21" t="s">
        <v>623</v>
      </c>
      <c r="B500" s="22">
        <v>20</v>
      </c>
      <c r="C500" s="22">
        <v>10</v>
      </c>
      <c r="D500" s="2" t="s">
        <v>432</v>
      </c>
      <c r="E500" s="22"/>
      <c r="F500" s="18">
        <v>8750</v>
      </c>
      <c r="G500" s="18">
        <v>506</v>
      </c>
      <c r="H500" s="18"/>
      <c r="I500" s="18"/>
      <c r="J500" s="18"/>
      <c r="K500" s="19">
        <f t="shared" si="35"/>
        <v>9256</v>
      </c>
      <c r="L500" s="23" t="s">
        <v>288</v>
      </c>
      <c r="N500" s="131"/>
    </row>
    <row r="501" spans="1:14" ht="12.2" customHeight="1" thickTop="1" x14ac:dyDescent="0.2">
      <c r="A501" s="97" t="s">
        <v>624</v>
      </c>
      <c r="B501" s="41">
        <v>20</v>
      </c>
      <c r="C501" s="41">
        <v>11</v>
      </c>
      <c r="D501" s="36" t="s">
        <v>432</v>
      </c>
      <c r="E501" s="41"/>
      <c r="F501" s="39">
        <f>SUM(F499:F500)</f>
        <v>208750</v>
      </c>
      <c r="G501" s="39">
        <f>SUM(G499:G500)</f>
        <v>10140</v>
      </c>
      <c r="H501" s="39">
        <f>SUM(H499:H500)</f>
        <v>0</v>
      </c>
      <c r="I501" s="39">
        <f>SUM(I499:I500)</f>
        <v>0</v>
      </c>
      <c r="J501" s="39">
        <f>SUM(J499:J500)</f>
        <v>0</v>
      </c>
      <c r="K501" s="39">
        <f t="shared" si="35"/>
        <v>218890</v>
      </c>
      <c r="L501" s="42" t="s">
        <v>288</v>
      </c>
      <c r="N501" s="131"/>
    </row>
    <row r="502" spans="1:14" ht="12.2" customHeight="1" x14ac:dyDescent="0.2">
      <c r="A502" s="144" t="s">
        <v>651</v>
      </c>
      <c r="B502" s="145">
        <v>20</v>
      </c>
      <c r="C502" s="145">
        <v>12</v>
      </c>
      <c r="D502" s="146" t="s">
        <v>432</v>
      </c>
      <c r="E502" s="145"/>
      <c r="F502" s="147">
        <v>100000</v>
      </c>
      <c r="G502" s="147">
        <v>9634</v>
      </c>
      <c r="H502" s="147"/>
      <c r="I502" s="147"/>
      <c r="J502" s="147"/>
      <c r="K502" s="148">
        <f t="shared" si="35"/>
        <v>109634</v>
      </c>
      <c r="L502" s="149" t="s">
        <v>288</v>
      </c>
      <c r="N502" s="131"/>
    </row>
    <row r="503" spans="1:14" ht="12.2" customHeight="1" thickBot="1" x14ac:dyDescent="0.25">
      <c r="A503" s="21" t="s">
        <v>625</v>
      </c>
      <c r="B503" s="22">
        <v>20</v>
      </c>
      <c r="C503" s="22">
        <v>13</v>
      </c>
      <c r="D503" s="2" t="s">
        <v>432</v>
      </c>
      <c r="E503" s="22"/>
      <c r="F503" s="18">
        <v>6562.5</v>
      </c>
      <c r="G503" s="18">
        <v>506</v>
      </c>
      <c r="H503" s="18"/>
      <c r="I503" s="18"/>
      <c r="J503" s="18"/>
      <c r="K503" s="19">
        <f t="shared" si="35"/>
        <v>7068.5</v>
      </c>
      <c r="L503" s="23" t="s">
        <v>288</v>
      </c>
      <c r="N503" s="131"/>
    </row>
    <row r="504" spans="1:14" ht="12.2" customHeight="1" thickTop="1" x14ac:dyDescent="0.2">
      <c r="A504" s="97" t="s">
        <v>626</v>
      </c>
      <c r="B504" s="41">
        <v>20</v>
      </c>
      <c r="C504" s="41">
        <v>14</v>
      </c>
      <c r="D504" s="36" t="s">
        <v>432</v>
      </c>
      <c r="E504" s="41"/>
      <c r="F504" s="39">
        <f>SUM(F502:F503)</f>
        <v>106562.5</v>
      </c>
      <c r="G504" s="39">
        <f>SUM(G502:G503)</f>
        <v>10140</v>
      </c>
      <c r="H504" s="39">
        <f>SUM(H502:H503)</f>
        <v>0</v>
      </c>
      <c r="I504" s="39">
        <f>SUM(I502:I503)</f>
        <v>0</v>
      </c>
      <c r="J504" s="39">
        <f>SUM(J502:J503)</f>
        <v>0</v>
      </c>
      <c r="K504" s="39">
        <f t="shared" si="35"/>
        <v>116702.5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2707930.74</v>
      </c>
      <c r="G522" s="18">
        <v>1051441.05</v>
      </c>
      <c r="H522" s="18">
        <v>1292645.18</v>
      </c>
      <c r="I522" s="18">
        <v>27415.14</v>
      </c>
      <c r="J522" s="18">
        <v>5952.63</v>
      </c>
      <c r="K522" s="18">
        <v>146.02000000000001</v>
      </c>
      <c r="L522" s="69">
        <f>SUM(F522:K522)</f>
        <v>5085530.7599999988</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1117688.81</v>
      </c>
      <c r="G524" s="18">
        <v>505167.19</v>
      </c>
      <c r="H524" s="18">
        <v>698675.74</v>
      </c>
      <c r="I524" s="18">
        <v>21381.49</v>
      </c>
      <c r="J524" s="18">
        <v>3000.38</v>
      </c>
      <c r="K524" s="18">
        <v>146.21</v>
      </c>
      <c r="L524" s="69">
        <f>SUM(F524:K524)</f>
        <v>2346059.8200000003</v>
      </c>
      <c r="N524" s="131"/>
    </row>
    <row r="525" spans="1:14" ht="12.2" customHeight="1" thickTop="1" x14ac:dyDescent="0.2">
      <c r="A525" s="97" t="s">
        <v>63</v>
      </c>
      <c r="B525" s="41">
        <v>21</v>
      </c>
      <c r="C525" s="41">
        <v>4</v>
      </c>
      <c r="D525" s="115" t="s">
        <v>432</v>
      </c>
      <c r="E525" s="41"/>
      <c r="F525" s="81">
        <f>SUM(F522:F524)</f>
        <v>3825619.5500000003</v>
      </c>
      <c r="G525" s="81">
        <f t="shared" ref="G525:L525" si="36">SUM(G522:G524)</f>
        <v>1556608.24</v>
      </c>
      <c r="H525" s="81">
        <f t="shared" si="36"/>
        <v>1991320.92</v>
      </c>
      <c r="I525" s="81">
        <f t="shared" si="36"/>
        <v>48796.630000000005</v>
      </c>
      <c r="J525" s="81">
        <f t="shared" si="36"/>
        <v>8953.01</v>
      </c>
      <c r="K525" s="81">
        <f t="shared" si="36"/>
        <v>292.23</v>
      </c>
      <c r="L525" s="70">
        <f t="shared" si="36"/>
        <v>7431590.5799999991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357410.43</v>
      </c>
      <c r="G527" s="18">
        <v>188221.39</v>
      </c>
      <c r="H527" s="18">
        <v>14886.08</v>
      </c>
      <c r="I527" s="18"/>
      <c r="J527" s="18"/>
      <c r="K527" s="18"/>
      <c r="L527" s="69">
        <f>SUM(F527:K527)</f>
        <v>560517.9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v>193299.01</v>
      </c>
      <c r="G529" s="18">
        <v>101796.16</v>
      </c>
      <c r="H529" s="18">
        <v>8050.87</v>
      </c>
      <c r="I529" s="18"/>
      <c r="J529" s="18"/>
      <c r="K529" s="18"/>
      <c r="L529" s="69">
        <f>SUM(F529:K529)</f>
        <v>303146.04000000004</v>
      </c>
      <c r="M529" s="8"/>
      <c r="N529" s="165"/>
    </row>
    <row r="530" spans="1:14" s="3" customFormat="1" ht="12.2" customHeight="1" thickTop="1" x14ac:dyDescent="0.15">
      <c r="A530" s="97" t="s">
        <v>65</v>
      </c>
      <c r="B530" s="41">
        <v>21</v>
      </c>
      <c r="C530" s="41">
        <v>8</v>
      </c>
      <c r="D530" s="115" t="s">
        <v>432</v>
      </c>
      <c r="E530" s="41"/>
      <c r="F530" s="70">
        <f>SUM(F527:F529)</f>
        <v>550709.43999999994</v>
      </c>
      <c r="G530" s="70">
        <f t="shared" ref="G530:L530" si="37">SUM(G527:G529)</f>
        <v>290017.55000000005</v>
      </c>
      <c r="H530" s="70">
        <f t="shared" si="37"/>
        <v>22936.95</v>
      </c>
      <c r="I530" s="70">
        <f t="shared" si="37"/>
        <v>0</v>
      </c>
      <c r="J530" s="70">
        <f t="shared" si="37"/>
        <v>0</v>
      </c>
      <c r="K530" s="70">
        <f t="shared" si="37"/>
        <v>0</v>
      </c>
      <c r="L530" s="70">
        <f t="shared" si="37"/>
        <v>863663.94000000006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62506.55</v>
      </c>
      <c r="G532" s="18">
        <v>24877.26</v>
      </c>
      <c r="H532" s="18"/>
      <c r="I532" s="18"/>
      <c r="J532" s="18"/>
      <c r="K532" s="18"/>
      <c r="L532" s="69">
        <f>SUM(F532:K532)</f>
        <v>87383.81</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33805.54</v>
      </c>
      <c r="G534" s="18">
        <v>13454.42</v>
      </c>
      <c r="H534" s="18"/>
      <c r="I534" s="18"/>
      <c r="J534" s="18"/>
      <c r="K534" s="18"/>
      <c r="L534" s="69">
        <f>SUM(F534:K534)</f>
        <v>47259.96</v>
      </c>
      <c r="M534" s="8"/>
      <c r="N534" s="165"/>
    </row>
    <row r="535" spans="1:14" s="3" customFormat="1" ht="12.2" customHeight="1" thickTop="1" x14ac:dyDescent="0.15">
      <c r="A535" s="97" t="s">
        <v>67</v>
      </c>
      <c r="B535" s="41">
        <v>21</v>
      </c>
      <c r="C535" s="41">
        <v>12</v>
      </c>
      <c r="D535" s="115" t="s">
        <v>432</v>
      </c>
      <c r="E535" s="41"/>
      <c r="F535" s="70">
        <f>SUM(F532:F534)</f>
        <v>96312.09</v>
      </c>
      <c r="G535" s="70">
        <f t="shared" ref="G535:L535" si="38">SUM(G532:G534)</f>
        <v>38331.68</v>
      </c>
      <c r="H535" s="70">
        <f t="shared" si="38"/>
        <v>0</v>
      </c>
      <c r="I535" s="70">
        <f t="shared" si="38"/>
        <v>0</v>
      </c>
      <c r="J535" s="70">
        <f t="shared" si="38"/>
        <v>0</v>
      </c>
      <c r="K535" s="70">
        <f t="shared" si="38"/>
        <v>0</v>
      </c>
      <c r="L535" s="70">
        <f t="shared" si="38"/>
        <v>134643.76999999999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127438.35</v>
      </c>
      <c r="G542" s="18">
        <v>33016.9</v>
      </c>
      <c r="H542" s="18">
        <v>62585.67</v>
      </c>
      <c r="I542" s="18">
        <v>12712.78</v>
      </c>
      <c r="J542" s="18">
        <v>1246.1099999999999</v>
      </c>
      <c r="K542" s="18"/>
      <c r="L542" s="69">
        <f>SUM(F542:K542)</f>
        <v>236999.80999999997</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v>68922.75</v>
      </c>
      <c r="G544" s="18">
        <v>17856.63</v>
      </c>
      <c r="H544" s="18">
        <v>50718.93</v>
      </c>
      <c r="I544" s="18">
        <v>6875.48</v>
      </c>
      <c r="J544" s="18">
        <v>673.94</v>
      </c>
      <c r="K544" s="18"/>
      <c r="L544" s="69">
        <f>SUM(F544:K544)</f>
        <v>145047.73000000001</v>
      </c>
      <c r="M544" s="8"/>
      <c r="N544" s="165"/>
    </row>
    <row r="545" spans="1:14" s="3" customFormat="1" ht="12.2" customHeight="1" thickTop="1" thickBot="1" x14ac:dyDescent="0.2">
      <c r="A545" s="93" t="s">
        <v>71</v>
      </c>
      <c r="B545" s="63">
        <v>21</v>
      </c>
      <c r="C545" s="63">
        <v>20</v>
      </c>
      <c r="D545" s="140" t="s">
        <v>432</v>
      </c>
      <c r="E545" s="63"/>
      <c r="F545" s="141">
        <f>SUM(F542:F544)</f>
        <v>196361.1</v>
      </c>
      <c r="G545" s="141">
        <f t="shared" ref="G545:L545" si="40">SUM(G542:G544)</f>
        <v>50873.53</v>
      </c>
      <c r="H545" s="141">
        <f t="shared" si="40"/>
        <v>113304.6</v>
      </c>
      <c r="I545" s="141">
        <f t="shared" si="40"/>
        <v>19588.260000000002</v>
      </c>
      <c r="J545" s="141">
        <f t="shared" si="40"/>
        <v>1920.05</v>
      </c>
      <c r="K545" s="141">
        <f t="shared" si="40"/>
        <v>0</v>
      </c>
      <c r="L545" s="141">
        <f t="shared" si="40"/>
        <v>382047.54</v>
      </c>
      <c r="M545" s="8"/>
      <c r="N545" s="165"/>
    </row>
    <row r="546" spans="1:14" s="3" customFormat="1" ht="12.2" customHeight="1" thickTop="1" x14ac:dyDescent="0.15">
      <c r="A546" s="75" t="s">
        <v>72</v>
      </c>
      <c r="B546" s="41">
        <v>21</v>
      </c>
      <c r="C546" s="41">
        <v>21</v>
      </c>
      <c r="D546" s="115" t="s">
        <v>432</v>
      </c>
      <c r="E546" s="41"/>
      <c r="F546" s="70">
        <f>F525+F530+F535+F540+F545</f>
        <v>4669002.18</v>
      </c>
      <c r="G546" s="70">
        <f t="shared" ref="G546:L546" si="41">G525+G530+G535+G540+G545</f>
        <v>1935831</v>
      </c>
      <c r="H546" s="70">
        <f t="shared" si="41"/>
        <v>2127562.4699999997</v>
      </c>
      <c r="I546" s="70">
        <f t="shared" si="41"/>
        <v>68384.890000000014</v>
      </c>
      <c r="J546" s="70">
        <f t="shared" si="41"/>
        <v>10873.06</v>
      </c>
      <c r="K546" s="70">
        <f t="shared" si="41"/>
        <v>292.23</v>
      </c>
      <c r="L546" s="70">
        <f t="shared" si="41"/>
        <v>8811945.8299999982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5085530.7599999988</v>
      </c>
      <c r="G550" s="69">
        <f>L527</f>
        <v>560517.9</v>
      </c>
      <c r="H550" s="69">
        <f>L532</f>
        <v>87383.81</v>
      </c>
      <c r="I550" s="69">
        <f>L537</f>
        <v>0</v>
      </c>
      <c r="J550" s="69">
        <f>L542</f>
        <v>236999.80999999997</v>
      </c>
      <c r="K550" s="69">
        <f>SUM(F550:J550)</f>
        <v>5970432.2799999984</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2346059.8200000003</v>
      </c>
      <c r="G552" s="69">
        <f>L529</f>
        <v>303146.04000000004</v>
      </c>
      <c r="H552" s="69">
        <f>L534</f>
        <v>47259.96</v>
      </c>
      <c r="I552" s="69">
        <f>L539</f>
        <v>0</v>
      </c>
      <c r="J552" s="69">
        <f>L544</f>
        <v>145047.73000000001</v>
      </c>
      <c r="K552" s="69">
        <f>SUM(F552:J552)</f>
        <v>2841513.5500000003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7431590.5799999991</v>
      </c>
      <c r="G553" s="70">
        <f t="shared" si="42"/>
        <v>863663.94000000006</v>
      </c>
      <c r="H553" s="70">
        <f t="shared" si="42"/>
        <v>134643.76999999999</v>
      </c>
      <c r="I553" s="70">
        <f t="shared" si="42"/>
        <v>0</v>
      </c>
      <c r="J553" s="70">
        <f t="shared" si="42"/>
        <v>382047.54</v>
      </c>
      <c r="K553" s="70">
        <f t="shared" si="42"/>
        <v>8811945.8299999982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v>500</v>
      </c>
      <c r="I579" s="69">
        <f t="shared" si="47"/>
        <v>500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40277.519999999997</v>
      </c>
      <c r="G580" s="18"/>
      <c r="H580" s="18"/>
      <c r="I580" s="69">
        <f t="shared" si="47"/>
        <v>40277.519999999997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426657.9</v>
      </c>
      <c r="G583" s="18"/>
      <c r="H583" s="18">
        <v>409940.97</v>
      </c>
      <c r="I583" s="69">
        <f t="shared" si="47"/>
        <v>836598.87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141319.9</v>
      </c>
      <c r="G584" s="18"/>
      <c r="H584" s="18">
        <v>114387.05</v>
      </c>
      <c r="I584" s="69">
        <f t="shared" si="47"/>
        <v>255706.95</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450</v>
      </c>
      <c r="I585" s="69">
        <f t="shared" si="47"/>
        <v>450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232741.43</v>
      </c>
      <c r="I586" s="69">
        <f t="shared" si="47"/>
        <v>232741.43</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764480.49</v>
      </c>
      <c r="I592" s="18"/>
      <c r="J592" s="18">
        <v>347107.42</v>
      </c>
      <c r="K592" s="80">
        <f t="shared" ref="K592:K598" si="48">SUM(H592:J592)</f>
        <v>1111587.9099999999</v>
      </c>
      <c r="L592" s="23" t="s">
        <v>288</v>
      </c>
      <c r="M592" s="8"/>
      <c r="N592" s="165"/>
    </row>
    <row r="593" spans="1:14" s="3" customFormat="1" ht="12.2" customHeight="1" x14ac:dyDescent="0.15">
      <c r="A593" s="3" t="s">
        <v>638</v>
      </c>
      <c r="B593" s="22">
        <v>23</v>
      </c>
      <c r="C593" s="22">
        <v>2</v>
      </c>
      <c r="D593" s="2" t="s">
        <v>432</v>
      </c>
      <c r="E593" s="22"/>
      <c r="F593" s="78">
        <v>2722</v>
      </c>
      <c r="G593" s="79" t="s">
        <v>97</v>
      </c>
      <c r="H593" s="18">
        <v>203979.28</v>
      </c>
      <c r="I593" s="18"/>
      <c r="J593" s="18">
        <v>178068.26</v>
      </c>
      <c r="K593" s="80">
        <f t="shared" si="48"/>
        <v>382047.54000000004</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c r="J594" s="18">
        <v>44462.85</v>
      </c>
      <c r="K594" s="80">
        <f t="shared" si="48"/>
        <v>44462.85</v>
      </c>
      <c r="L594" s="23" t="s">
        <v>288</v>
      </c>
      <c r="M594" s="8"/>
      <c r="N594" s="165"/>
    </row>
    <row r="595" spans="1:14" s="3" customFormat="1" ht="12.2" customHeight="1" x14ac:dyDescent="0.15">
      <c r="A595" s="21" t="s">
        <v>640</v>
      </c>
      <c r="B595" s="22">
        <v>23</v>
      </c>
      <c r="C595" s="22">
        <v>4</v>
      </c>
      <c r="D595" s="2" t="s">
        <v>432</v>
      </c>
      <c r="E595" s="22"/>
      <c r="F595" s="78">
        <v>2724</v>
      </c>
      <c r="G595" s="79" t="s">
        <v>97</v>
      </c>
      <c r="H595" s="18">
        <v>5849.9599999999991</v>
      </c>
      <c r="I595" s="18"/>
      <c r="J595" s="18">
        <v>22072.82</v>
      </c>
      <c r="K595" s="80">
        <f t="shared" si="48"/>
        <v>27922.78</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10196.44</v>
      </c>
      <c r="I596" s="18"/>
      <c r="J596" s="18">
        <v>8000.33</v>
      </c>
      <c r="K596" s="80">
        <f t="shared" si="48"/>
        <v>18196.77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984506.16999999993</v>
      </c>
      <c r="I599" s="81">
        <f>SUM(I592:I598)</f>
        <v>0</v>
      </c>
      <c r="J599" s="81">
        <f>SUM(J592:J598)</f>
        <v>599711.67999999982</v>
      </c>
      <c r="K599" s="81">
        <f>SUM(K592:K598)</f>
        <v>1584217.85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634106.68999999994</v>
      </c>
      <c r="I605" s="18"/>
      <c r="J605" s="18">
        <v>260359.94</v>
      </c>
      <c r="K605" s="80">
        <f>SUM(H605:J605)</f>
        <v>894466.62999999989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634106.68999999994</v>
      </c>
      <c r="I606" s="81">
        <f>SUM(I603:I605)</f>
        <v>0</v>
      </c>
      <c r="J606" s="81">
        <f>SUM(J603:J605)</f>
        <v>260359.94</v>
      </c>
      <c r="K606" s="81">
        <f>SUM(K603:K605)</f>
        <v>894466.62999999989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3746576.51</v>
      </c>
      <c r="H618" s="80">
        <f>SUM(F52)</f>
        <v>3746576.51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82917.62</v>
      </c>
      <c r="H619" s="80">
        <f>SUM(G52)</f>
        <v>82917.62</v>
      </c>
      <c r="I619" s="87" t="s">
        <v>875</v>
      </c>
      <c r="J619" s="80">
        <f>G619-H619</f>
        <v>0</v>
      </c>
      <c r="K619" s="80"/>
      <c r="L619" s="80"/>
      <c r="M619" s="8"/>
    </row>
    <row r="620" spans="1:14" s="3" customFormat="1" ht="12.2" customHeight="1" x14ac:dyDescent="0.15">
      <c r="A620" s="74"/>
      <c r="B620" s="22"/>
      <c r="C620" s="22"/>
      <c r="D620" s="22"/>
      <c r="E620" s="22"/>
      <c r="F620" s="87" t="s">
        <v>685</v>
      </c>
      <c r="G620" s="80">
        <f>SUM(H19)</f>
        <v>1415945.28</v>
      </c>
      <c r="H620" s="80">
        <f>SUM(H52)</f>
        <v>1415945.28</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3129432.88</v>
      </c>
      <c r="H622" s="80">
        <f>SUM(J52)</f>
        <v>3129432.88</v>
      </c>
      <c r="I622" s="87" t="s">
        <v>878</v>
      </c>
      <c r="J622" s="80">
        <f>G622-H622</f>
        <v>0</v>
      </c>
      <c r="K622" s="80"/>
      <c r="L622" s="80"/>
      <c r="M622" s="8"/>
    </row>
    <row r="623" spans="1:14" s="3" customFormat="1" ht="12.2" customHeight="1" x14ac:dyDescent="0.15">
      <c r="A623" s="74"/>
      <c r="B623" s="22"/>
      <c r="C623" s="22"/>
      <c r="D623" s="22"/>
      <c r="E623" s="22"/>
      <c r="F623" s="87" t="s">
        <v>864</v>
      </c>
      <c r="G623" s="80">
        <f>F51</f>
        <v>1589566.32</v>
      </c>
      <c r="H623" s="80">
        <f>F477</f>
        <v>1589566.320000004</v>
      </c>
      <c r="I623" s="87" t="s">
        <v>101</v>
      </c>
      <c r="J623" s="80">
        <f t="shared" ref="J623:J656" si="50">G623-H623</f>
        <v>-3.9581209421157837E-9</v>
      </c>
      <c r="K623" s="80"/>
      <c r="L623" s="80"/>
      <c r="M623" s="8"/>
    </row>
    <row r="624" spans="1:14" s="3" customFormat="1" ht="12.2" customHeight="1" x14ac:dyDescent="0.15">
      <c r="A624" s="74"/>
      <c r="B624" s="22"/>
      <c r="C624" s="85"/>
      <c r="D624" s="85"/>
      <c r="E624" s="85"/>
      <c r="F624" s="85" t="s">
        <v>865</v>
      </c>
      <c r="G624" s="80">
        <f>G51</f>
        <v>29758.81</v>
      </c>
      <c r="H624" s="80">
        <f>G477</f>
        <v>29758.810000000056</v>
      </c>
      <c r="I624" s="87" t="s">
        <v>102</v>
      </c>
      <c r="J624" s="80">
        <f t="shared" si="50"/>
        <v>-5.4569682106375694E-11</v>
      </c>
      <c r="K624" s="80"/>
      <c r="L624" s="80"/>
      <c r="M624" s="8"/>
    </row>
    <row r="625" spans="1:13" s="3" customFormat="1" ht="12.2" customHeight="1" x14ac:dyDescent="0.15">
      <c r="A625" s="74"/>
      <c r="B625" s="22"/>
      <c r="C625" s="22"/>
      <c r="D625" s="22"/>
      <c r="E625" s="22"/>
      <c r="F625" s="86" t="s">
        <v>866</v>
      </c>
      <c r="G625" s="80">
        <f>H51</f>
        <v>234024.28</v>
      </c>
      <c r="H625" s="80">
        <f>H477</f>
        <v>234024.28000000026</v>
      </c>
      <c r="I625" s="87" t="s">
        <v>103</v>
      </c>
      <c r="J625" s="80">
        <f t="shared" si="50"/>
        <v>-2.6193447411060333E-10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3129432.88</v>
      </c>
      <c r="H627" s="80">
        <f>J477</f>
        <v>3129432.88</v>
      </c>
      <c r="I627" s="87" t="s">
        <v>105</v>
      </c>
      <c r="J627" s="80">
        <f t="shared" si="50"/>
        <v>0</v>
      </c>
      <c r="K627" s="67"/>
      <c r="L627" s="69"/>
      <c r="M627" s="8"/>
    </row>
    <row r="628" spans="1:13" s="3" customFormat="1" ht="12.2" customHeight="1" x14ac:dyDescent="0.15">
      <c r="A628" s="21"/>
      <c r="B628" s="22"/>
      <c r="C628" s="22"/>
      <c r="D628" s="22"/>
      <c r="E628" s="22"/>
      <c r="F628" s="86" t="s">
        <v>658</v>
      </c>
      <c r="G628" s="80">
        <f>F194</f>
        <v>32606930.370000005</v>
      </c>
      <c r="H628" s="80">
        <f>SUM(F469)</f>
        <v>32606930.370000001</v>
      </c>
      <c r="I628" s="87" t="s">
        <v>106</v>
      </c>
      <c r="J628" s="80">
        <f>G628-H628</f>
        <v>0</v>
      </c>
      <c r="K628" s="67"/>
      <c r="L628" s="69"/>
      <c r="M628" s="8"/>
    </row>
    <row r="629" spans="1:13" s="3" customFormat="1" ht="12.2" customHeight="1" x14ac:dyDescent="0.15">
      <c r="A629" s="21"/>
      <c r="B629" s="22"/>
      <c r="C629" s="22"/>
      <c r="D629" s="22"/>
      <c r="E629" s="22"/>
      <c r="F629" s="86" t="s">
        <v>659</v>
      </c>
      <c r="G629" s="80">
        <f>G194</f>
        <v>779677</v>
      </c>
      <c r="H629" s="80">
        <f>SUM(G469)</f>
        <v>779677</v>
      </c>
      <c r="I629" s="87" t="s">
        <v>107</v>
      </c>
      <c r="J629" s="80">
        <f>G629-H629</f>
        <v>0</v>
      </c>
      <c r="K629" s="67"/>
      <c r="L629" s="69"/>
      <c r="M629" s="8"/>
    </row>
    <row r="630" spans="1:13" s="3" customFormat="1" ht="12.2" customHeight="1" x14ac:dyDescent="0.15">
      <c r="A630" s="21"/>
      <c r="B630" s="22"/>
      <c r="C630" s="22"/>
      <c r="D630" s="22"/>
      <c r="E630" s="22"/>
      <c r="F630" s="86" t="s">
        <v>660</v>
      </c>
      <c r="G630" s="80">
        <f>H194</f>
        <v>3154459.57</v>
      </c>
      <c r="H630" s="80">
        <f>SUM(H469)</f>
        <v>3154459.57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525763.51</v>
      </c>
      <c r="H632" s="80">
        <f>SUM(J469)</f>
        <v>525763.51</v>
      </c>
      <c r="I632" s="87" t="s">
        <v>110</v>
      </c>
      <c r="J632" s="80">
        <f>G632-H632</f>
        <v>0</v>
      </c>
      <c r="K632" s="67"/>
      <c r="L632" s="69"/>
      <c r="M632" s="8"/>
    </row>
    <row r="633" spans="1:13" s="3" customFormat="1" ht="12.2" customHeight="1" x14ac:dyDescent="0.15">
      <c r="A633" s="21"/>
      <c r="B633" s="22"/>
      <c r="C633" s="22"/>
      <c r="D633" s="22"/>
      <c r="E633" s="22"/>
      <c r="F633" s="86" t="s">
        <v>394</v>
      </c>
      <c r="G633" s="80">
        <f>SUM(L272)</f>
        <v>32313537.050000004</v>
      </c>
      <c r="H633" s="80">
        <f>SUM(F473)</f>
        <v>32313537.050000001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3297247.9499999997</v>
      </c>
      <c r="H634" s="80">
        <f>SUM(H473)</f>
        <v>3297247.9499999997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382900.45999999996</v>
      </c>
      <c r="H635" s="80">
        <f>I370</f>
        <v>382900.46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1011032.6</v>
      </c>
      <c r="H636" s="80">
        <f>SUM(G473)</f>
        <v>1011032.6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525763.51</v>
      </c>
      <c r="H638" s="108">
        <f>SUM(J469)</f>
        <v>525763.51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26068.579999999998</v>
      </c>
      <c r="H639" s="108">
        <f>SUM(J473)</f>
        <v>26068.579999999998</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1749259.82</v>
      </c>
      <c r="H640" s="80">
        <f>SUM(F462)</f>
        <v>1749259.82</v>
      </c>
      <c r="I640" s="87" t="s">
        <v>840</v>
      </c>
      <c r="J640" s="80">
        <f t="shared" si="50"/>
        <v>0</v>
      </c>
      <c r="K640" s="67"/>
      <c r="L640" s="69"/>
      <c r="M640" s="8"/>
    </row>
    <row r="641" spans="1:13" s="3" customFormat="1" ht="12.2" customHeight="1" x14ac:dyDescent="0.15">
      <c r="A641" s="21"/>
      <c r="B641" s="22"/>
      <c r="C641" s="22"/>
      <c r="D641" s="22"/>
      <c r="E641" s="22"/>
      <c r="F641" s="86" t="s">
        <v>119</v>
      </c>
      <c r="G641" s="80">
        <f>SUM(G447)</f>
        <v>1380173.06</v>
      </c>
      <c r="H641" s="80">
        <f>SUM(G462)</f>
        <v>1380173.06</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3129432.88</v>
      </c>
      <c r="H643" s="80">
        <f>SUM(I462)</f>
        <v>3129432.88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25763.51</v>
      </c>
      <c r="H645" s="80">
        <f>H409</f>
        <v>25763.51</v>
      </c>
      <c r="I645" s="87" t="s">
        <v>480</v>
      </c>
      <c r="J645" s="80">
        <f t="shared" si="50"/>
        <v>0</v>
      </c>
      <c r="K645" s="67"/>
      <c r="L645" s="69"/>
      <c r="M645" s="8"/>
    </row>
    <row r="646" spans="1:13" s="3" customFormat="1" ht="12.2" customHeight="1" x14ac:dyDescent="0.15">
      <c r="A646" s="21"/>
      <c r="B646" s="22"/>
      <c r="C646" s="22"/>
      <c r="D646" s="22"/>
      <c r="E646" s="22"/>
      <c r="F646" s="86" t="s">
        <v>664</v>
      </c>
      <c r="G646" s="80">
        <f>J184</f>
        <v>500000</v>
      </c>
      <c r="H646" s="80">
        <f>G409</f>
        <v>500000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525763.51</v>
      </c>
      <c r="H647" s="80">
        <f>L409</f>
        <v>525763.51</v>
      </c>
      <c r="I647" s="87" t="s">
        <v>477</v>
      </c>
      <c r="J647" s="80">
        <f t="shared" si="50"/>
        <v>0</v>
      </c>
      <c r="K647" s="67"/>
      <c r="L647" s="69"/>
      <c r="M647" s="8"/>
    </row>
    <row r="648" spans="1:13" s="3" customFormat="1" ht="12.2" customHeight="1" x14ac:dyDescent="0.15">
      <c r="A648" s="21"/>
      <c r="B648" s="22"/>
      <c r="C648" s="22"/>
      <c r="D648" s="22"/>
      <c r="E648" s="22"/>
      <c r="F648" s="86" t="s">
        <v>51</v>
      </c>
      <c r="G648" s="80">
        <f>K599</f>
        <v>1584217.85</v>
      </c>
      <c r="H648" s="80">
        <f>L209+L227+L245</f>
        <v>1584217.85</v>
      </c>
      <c r="I648" s="87" t="s">
        <v>396</v>
      </c>
      <c r="J648" s="80">
        <f t="shared" si="50"/>
        <v>0</v>
      </c>
      <c r="K648" s="67"/>
      <c r="L648" s="69"/>
      <c r="M648" s="8"/>
    </row>
    <row r="649" spans="1:13" s="3" customFormat="1" ht="12.2" customHeight="1" x14ac:dyDescent="0.15">
      <c r="A649" s="21"/>
      <c r="B649" s="22"/>
      <c r="C649" s="22"/>
      <c r="D649" s="22"/>
      <c r="E649" s="22"/>
      <c r="F649" s="86" t="s">
        <v>52</v>
      </c>
      <c r="G649" s="80">
        <f>K606</f>
        <v>894466.62999999989</v>
      </c>
      <c r="H649" s="80">
        <f>(J258+J339)-(J256+J337)</f>
        <v>894466.63000000012</v>
      </c>
      <c r="I649" s="87" t="s">
        <v>699</v>
      </c>
      <c r="J649" s="80">
        <f t="shared" si="50"/>
        <v>0</v>
      </c>
      <c r="K649" s="67"/>
      <c r="L649" s="69"/>
      <c r="M649" s="8"/>
    </row>
    <row r="650" spans="1:13" s="3" customFormat="1" ht="12.2" customHeight="1" x14ac:dyDescent="0.15">
      <c r="A650" s="21"/>
      <c r="B650" s="22"/>
      <c r="C650" s="22"/>
      <c r="D650" s="22"/>
      <c r="E650" s="22"/>
      <c r="F650" s="86" t="s">
        <v>387</v>
      </c>
      <c r="G650" s="80">
        <f>L209</f>
        <v>984506.17</v>
      </c>
      <c r="H650" s="80">
        <f>H599</f>
        <v>984506.16999999993</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599711.68000000005</v>
      </c>
      <c r="H652" s="80">
        <f>J599</f>
        <v>599711.67999999982</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500000</v>
      </c>
      <c r="H656" s="80">
        <f>K267+K348</f>
        <v>500000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24023266.600000001</v>
      </c>
      <c r="G661" s="13">
        <f>(L230+L310+L360)</f>
        <v>0</v>
      </c>
      <c r="H661" s="13">
        <f>(L248+L329+L361)</f>
        <v>11542792.15</v>
      </c>
      <c r="I661" s="13">
        <f>SUM(F661:H661)</f>
        <v>35566058.75</v>
      </c>
      <c r="J661" s="13"/>
      <c r="K661" s="13"/>
      <c r="L661" s="13"/>
      <c r="M661" s="9"/>
    </row>
    <row r="662" spans="1:13" s="3" customFormat="1" ht="12.2" customHeight="1" x14ac:dyDescent="0.2">
      <c r="A662" s="1" t="s">
        <v>127</v>
      </c>
      <c r="F662" s="13">
        <f>(L359/IF(SUM(L359:L361)=0,1,SUM(L359:L361))*(SUM(G97:G110)))</f>
        <v>221107.60278250178</v>
      </c>
      <c r="G662" s="13">
        <f>(L360/IF(SUM(L359:L361)=0,1,SUM(L359:L361))*(SUM(G97:G110)))</f>
        <v>0</v>
      </c>
      <c r="H662" s="13">
        <f>(L361/IF(SUM(L359:L361)=0,1,SUM(L359:L361))*(SUM(G97:G110)))</f>
        <v>70700.397217498234</v>
      </c>
      <c r="I662" s="13">
        <f>SUM(F662:H662)</f>
        <v>291808</v>
      </c>
      <c r="J662"/>
      <c r="K662" s="13"/>
      <c r="L662" s="13"/>
      <c r="M662" s="8"/>
    </row>
    <row r="663" spans="1:13" s="3" customFormat="1" ht="12.2" customHeight="1" x14ac:dyDescent="0.2">
      <c r="A663" s="1" t="s">
        <v>128</v>
      </c>
      <c r="F663" s="13">
        <f>(L209+L288)-(J209+J288)</f>
        <v>993233.69000000006</v>
      </c>
      <c r="G663" s="13">
        <f>(L227+L307)-(J227+J307)</f>
        <v>0</v>
      </c>
      <c r="H663" s="13">
        <f>(L245+L326)-(J245+J326)</f>
        <v>594592.15</v>
      </c>
      <c r="I663" s="13">
        <f>SUM(F663:H663)</f>
        <v>1587825.84</v>
      </c>
      <c r="J663"/>
      <c r="K663" s="13"/>
      <c r="L663" s="13"/>
      <c r="M663" s="9"/>
    </row>
    <row r="664" spans="1:13" s="3" customFormat="1" ht="12.2" customHeight="1" x14ac:dyDescent="0.15">
      <c r="A664" s="142" t="s">
        <v>129</v>
      </c>
      <c r="B664" s="124"/>
      <c r="C664" s="124"/>
      <c r="D664" s="124"/>
      <c r="E664" s="124"/>
      <c r="F664" s="143">
        <f>SUM(F576:F588)+SUM(H603:H605)+SUM(L612)</f>
        <v>1242362.01</v>
      </c>
      <c r="G664" s="143">
        <f>SUM(G576:G588)+SUM(I603:I605)+L613</f>
        <v>0</v>
      </c>
      <c r="H664" s="143">
        <f>SUM(H576:H588)+SUM(J603:J605)+L614</f>
        <v>1018379.3899999999</v>
      </c>
      <c r="I664" s="13">
        <f>SUM(F664:H664)</f>
        <v>2260741.4</v>
      </c>
      <c r="J664" s="13"/>
      <c r="K664" s="13"/>
      <c r="L664" s="13"/>
      <c r="M664" s="9"/>
    </row>
    <row r="665" spans="1:13" s="3" customFormat="1" ht="12.2" customHeight="1" x14ac:dyDescent="0.15">
      <c r="A665" s="1" t="s">
        <v>130</v>
      </c>
      <c r="F665" s="13">
        <f>F661-SUM(F662:F664)</f>
        <v>21566563.297217499</v>
      </c>
      <c r="G665" s="13">
        <f>G661-SUM(G662:G664)</f>
        <v>0</v>
      </c>
      <c r="H665" s="13">
        <f>H661-SUM(H662:H664)</f>
        <v>9859120.2127825022</v>
      </c>
      <c r="I665" s="13">
        <f>I661-SUM(I662:I664)</f>
        <v>31425683.509999998</v>
      </c>
      <c r="J665" s="13"/>
      <c r="K665" s="13"/>
      <c r="L665" s="13"/>
      <c r="M665" s="8"/>
    </row>
    <row r="666" spans="1:13" s="3" customFormat="1" ht="12.2" customHeight="1" x14ac:dyDescent="0.2">
      <c r="A666" s="1" t="s">
        <v>131</v>
      </c>
      <c r="F666" s="183">
        <v>888.82</v>
      </c>
      <c r="G666" s="184"/>
      <c r="H666" s="184">
        <v>480.88</v>
      </c>
      <c r="I666" s="13">
        <f>SUM(F666:H666)</f>
        <v>1369.7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24264.26</v>
      </c>
      <c r="G668" s="13" t="e">
        <f>ROUND(G665/G666,2)</f>
        <v>#DIV/0!</v>
      </c>
      <c r="H668" s="13">
        <f>ROUND(H665/H666,2)</f>
        <v>20502.25</v>
      </c>
      <c r="I668" s="13">
        <f>ROUND(I665/I666,2)</f>
        <v>22943.48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-14.39</v>
      </c>
      <c r="I671" s="13">
        <f>SUM(F671:H671)</f>
        <v>-14.39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24264.26</v>
      </c>
      <c r="G673" s="13" t="e">
        <f>ROUND((G665+G670)/(G666+G671),2)</f>
        <v>#DIV/0!</v>
      </c>
      <c r="H673" s="13">
        <f>ROUND((H665+H670)/(H666+H671),2)</f>
        <v>21134.69</v>
      </c>
      <c r="I673" s="13">
        <f>ROUND((I665+I670)/(I666+I671),2)</f>
        <v>23187.08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dataRefs count="1">
      <dataRef ref="F9:L675" sheet="DOE25" r:id="rId1"/>
    </dataRefs>
  </dataConsolidate>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2"/>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7" sqref="E17"/>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178446.61</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91470.98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v>66690.28</v>
      </c>
      <c r="F15" s="272" t="s">
        <v>1630</v>
      </c>
    </row>
    <row r="16" spans="2:8" x14ac:dyDescent="0.25">
      <c r="B16" s="271"/>
      <c r="C16" s="271"/>
      <c r="D16" s="271"/>
      <c r="E16" s="271"/>
      <c r="F16" s="271"/>
    </row>
    <row r="17" spans="2:8" x14ac:dyDescent="0.25">
      <c r="B17" s="271"/>
      <c r="C17" s="272" t="s">
        <v>1622</v>
      </c>
      <c r="D17" s="272" t="s">
        <v>1637</v>
      </c>
      <c r="E17" s="260">
        <v>20285.349999999999</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Fall Mountain Regional</v>
      </c>
      <c r="C5" s="317"/>
      <c r="D5" s="317"/>
      <c r="E5" s="317"/>
      <c r="F5" s="317"/>
    </row>
    <row r="8" spans="1:9" ht="18" x14ac:dyDescent="0.25">
      <c r="A8" s="240" t="s">
        <v>1560</v>
      </c>
      <c r="F8" s="247" t="s">
        <v>1578</v>
      </c>
    </row>
    <row r="9" spans="1:9" ht="15" x14ac:dyDescent="0.2">
      <c r="A9" s="238" t="s">
        <v>1561</v>
      </c>
      <c r="B9" s="241">
        <f>'DOE25'!G97</f>
        <v>291808</v>
      </c>
      <c r="F9" s="238" t="s">
        <v>1574</v>
      </c>
    </row>
    <row r="10" spans="1:9" ht="15" x14ac:dyDescent="0.2">
      <c r="A10" s="238" t="s">
        <v>1562</v>
      </c>
      <c r="B10" s="241">
        <f>'DOE25'!G112-'DOE25'!G97</f>
        <v>0</v>
      </c>
      <c r="F10" s="238" t="s">
        <v>1575</v>
      </c>
    </row>
    <row r="11" spans="1:9" ht="15" x14ac:dyDescent="0.2">
      <c r="A11" s="238" t="s">
        <v>1563</v>
      </c>
      <c r="B11" s="241">
        <f>'DOE25'!G140</f>
        <v>19397</v>
      </c>
      <c r="F11" s="238" t="s">
        <v>1576</v>
      </c>
    </row>
    <row r="12" spans="1:9" ht="15" x14ac:dyDescent="0.2">
      <c r="A12" s="238" t="s">
        <v>1564</v>
      </c>
      <c r="B12" s="241">
        <f>'DOE25'!G170</f>
        <v>468472</v>
      </c>
      <c r="F12" s="238" t="s">
        <v>1577</v>
      </c>
    </row>
    <row r="13" spans="1:9" ht="15" x14ac:dyDescent="0.2">
      <c r="A13" s="238" t="s">
        <v>1565</v>
      </c>
      <c r="B13" s="241">
        <f>'DOE25'!G193-'DOE25'!G180</f>
        <v>0</v>
      </c>
      <c r="F13" s="238" t="s">
        <v>1587</v>
      </c>
    </row>
    <row r="14" spans="1:9" ht="18" x14ac:dyDescent="0.25">
      <c r="A14" s="240" t="s">
        <v>732</v>
      </c>
      <c r="B14" s="242">
        <f>SUM(B9:B13)</f>
        <v>779677</v>
      </c>
    </row>
    <row r="16" spans="1:9" ht="18" x14ac:dyDescent="0.25">
      <c r="A16" s="240" t="s">
        <v>786</v>
      </c>
      <c r="F16" s="247" t="s">
        <v>1579</v>
      </c>
    </row>
    <row r="17" spans="1:6" ht="15" x14ac:dyDescent="0.2">
      <c r="A17" s="238" t="s">
        <v>1566</v>
      </c>
      <c r="B17" s="241">
        <f>'DOE25'!L363-'DOE25'!L362</f>
        <v>1011032.6</v>
      </c>
      <c r="F17" s="238" t="s">
        <v>1580</v>
      </c>
    </row>
    <row r="18" spans="1:6" ht="15" x14ac:dyDescent="0.2">
      <c r="A18" s="238" t="s">
        <v>1567</v>
      </c>
      <c r="B18" s="251"/>
      <c r="F18" s="247" t="s">
        <v>1604</v>
      </c>
    </row>
    <row r="19" spans="1:6" ht="18" x14ac:dyDescent="0.25">
      <c r="A19" s="240" t="s">
        <v>725</v>
      </c>
      <c r="B19" s="242">
        <f>SUM(B17:B18)</f>
        <v>1011032.6</v>
      </c>
    </row>
    <row r="21" spans="1:6" ht="18.75" thickBot="1" x14ac:dyDescent="0.3">
      <c r="A21" s="240" t="s">
        <v>1568</v>
      </c>
    </row>
    <row r="22" spans="1:6" ht="18.75" thickTop="1" x14ac:dyDescent="0.25">
      <c r="A22" s="240" t="s">
        <v>1569</v>
      </c>
      <c r="B22" s="246">
        <f>B14-B19</f>
        <v>-231355.59999999998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141873.60999999999</v>
      </c>
      <c r="F31" s="238" t="s">
        <v>1584</v>
      </c>
    </row>
    <row r="33" spans="1:6" ht="15" x14ac:dyDescent="0.2">
      <c r="A33" s="238" t="s">
        <v>1798</v>
      </c>
      <c r="B33" s="241">
        <f>'DOE25'!G477</f>
        <v>29758.810000000056</v>
      </c>
      <c r="F33" s="238" t="s">
        <v>1585</v>
      </c>
    </row>
    <row r="36" spans="1:6" ht="15" x14ac:dyDescent="0.2">
      <c r="A36" s="238" t="s">
        <v>1571</v>
      </c>
      <c r="B36" s="252">
        <v>65997.77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Fall Mountain Regional</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7537366.6799999997</v>
      </c>
      <c r="C9" s="167">
        <f>'DOE25'!G198+'DOE25'!G216+'DOE25'!G234+'DOE25'!G277+'DOE25'!G296+'DOE25'!G315</f>
        <v>3986502.0799999996</v>
      </c>
    </row>
    <row r="10" spans="1:3" x14ac:dyDescent="0.2">
      <c r="A10" t="s">
        <v>775</v>
      </c>
      <c r="B10" s="177">
        <v>6272729.5899999999</v>
      </c>
      <c r="C10" s="177">
        <v>3319721.4594625128</v>
      </c>
    </row>
    <row r="11" spans="1:3" x14ac:dyDescent="0.2">
      <c r="A11" t="s">
        <v>776</v>
      </c>
      <c r="B11" s="177">
        <v>185555.91</v>
      </c>
      <c r="C11" s="177">
        <v>98201.89560524236</v>
      </c>
    </row>
    <row r="12" spans="1:3" x14ac:dyDescent="0.2">
      <c r="A12" t="s">
        <v>777</v>
      </c>
      <c r="B12" s="177">
        <v>1079081.18</v>
      </c>
      <c r="C12" s="177">
        <v>568578.72</v>
      </c>
    </row>
    <row r="13" spans="1:3" x14ac:dyDescent="0.2">
      <c r="A13" t="str">
        <f>IF(B9=B13,IF(C9=C13,"Check Total OK","Check Total Error"),"Check Total Error")</f>
        <v>Check Total Error</v>
      </c>
      <c r="B13" s="169">
        <f>SUM(B10:B12)</f>
        <v>7537366.6799999997</v>
      </c>
      <c r="C13" s="169">
        <f>SUM(C10:C12)</f>
        <v>3986502.0750677548</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3825619.55</v>
      </c>
      <c r="C18" s="167">
        <f>'DOE25'!G199+'DOE25'!G217+'DOE25'!G235+'DOE25'!G278+'DOE25'!G297+'DOE25'!G316</f>
        <v>1556608.24</v>
      </c>
    </row>
    <row r="19" spans="1:3" x14ac:dyDescent="0.2">
      <c r="A19" t="s">
        <v>775</v>
      </c>
      <c r="B19" s="177">
        <v>1051270.99</v>
      </c>
      <c r="C19" s="177">
        <v>427752.17559387413</v>
      </c>
    </row>
    <row r="20" spans="1:3" x14ac:dyDescent="0.2">
      <c r="A20" t="s">
        <v>776</v>
      </c>
      <c r="B20" s="177">
        <v>1563608.35</v>
      </c>
      <c r="C20" s="177">
        <v>636217.37863160088</v>
      </c>
    </row>
    <row r="21" spans="1:3" x14ac:dyDescent="0.2">
      <c r="A21" t="s">
        <v>777</v>
      </c>
      <c r="B21" s="177">
        <v>1210740.2099999995</v>
      </c>
      <c r="C21" s="177">
        <v>492638.68577452505</v>
      </c>
    </row>
    <row r="22" spans="1:3" x14ac:dyDescent="0.2">
      <c r="A22" t="str">
        <f>IF(B18=B22,IF(C18=C22,"Check Total OK","Check Total Error"),"Check Total Error")</f>
        <v>Check Total OK</v>
      </c>
      <c r="B22" s="169">
        <f>SUM(B19:B21)</f>
        <v>3825619.5499999993</v>
      </c>
      <c r="C22" s="169">
        <f>SUM(C19:C21)</f>
        <v>1556608.2400000002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404221.24</v>
      </c>
      <c r="C27" s="172">
        <f>'DOE25'!G200+'DOE25'!G218+'DOE25'!G236+'DOE25'!G279+'DOE25'!G298+'DOE25'!G317</f>
        <v>147045.44999999998</v>
      </c>
    </row>
    <row r="28" spans="1:3" x14ac:dyDescent="0.2">
      <c r="A28" t="s">
        <v>775</v>
      </c>
      <c r="B28" s="177">
        <v>352378.23</v>
      </c>
      <c r="C28" s="177">
        <v>128186.27591304577</v>
      </c>
    </row>
    <row r="29" spans="1:3" x14ac:dyDescent="0.2">
      <c r="A29" t="s">
        <v>776</v>
      </c>
      <c r="B29" s="177">
        <v>712.25</v>
      </c>
      <c r="C29" s="177">
        <v>259.09851190031475</v>
      </c>
    </row>
    <row r="30" spans="1:3" x14ac:dyDescent="0.2">
      <c r="A30" t="s">
        <v>777</v>
      </c>
      <c r="B30" s="177">
        <v>51130.760000000009</v>
      </c>
      <c r="C30" s="177">
        <v>18600.075575053903</v>
      </c>
    </row>
    <row r="31" spans="1:3" x14ac:dyDescent="0.2">
      <c r="A31" t="str">
        <f>IF(B27=B31,IF(C27=C31,"Check Total OK","Check Total Error"),"Check Total Error")</f>
        <v>Check Total OK</v>
      </c>
      <c r="B31" s="169">
        <f>SUM(B28:B30)</f>
        <v>404221.24</v>
      </c>
      <c r="C31" s="169">
        <f>SUM(C28:C30)</f>
        <v>147045.44999999998</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336454.72000000003</v>
      </c>
      <c r="C36" s="173">
        <f>'DOE25'!G201+'DOE25'!G219+'DOE25'!G237+'DOE25'!G280+'DOE25'!G299+'DOE25'!G318</f>
        <v>82490.509999999995</v>
      </c>
    </row>
    <row r="37" spans="1:3" x14ac:dyDescent="0.2">
      <c r="A37" t="s">
        <v>775</v>
      </c>
      <c r="B37" s="177"/>
      <c r="C37" s="177"/>
    </row>
    <row r="38" spans="1:3" x14ac:dyDescent="0.2">
      <c r="A38" t="s">
        <v>776</v>
      </c>
      <c r="B38" s="177"/>
      <c r="C38" s="177"/>
    </row>
    <row r="39" spans="1:3" x14ac:dyDescent="0.2">
      <c r="A39" t="s">
        <v>777</v>
      </c>
      <c r="B39" s="177">
        <v>336454.72</v>
      </c>
      <c r="C39" s="177">
        <v>82490.509999999995</v>
      </c>
    </row>
    <row r="40" spans="1:3" x14ac:dyDescent="0.2">
      <c r="A40" t="str">
        <f>IF(B36=B40,IF(C36=C40,"Check Total OK","Check Total Error"),"Check Total Error")</f>
        <v>Check Total OK</v>
      </c>
      <c r="B40" s="169">
        <f>SUM(B37:B39)</f>
        <v>336454.72</v>
      </c>
      <c r="C40" s="169">
        <f>SUM(C37:C39)</f>
        <v>82490.509999999995</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Fall Mountain Regional</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19635271.68</v>
      </c>
      <c r="D5" s="19">
        <f>SUM('DOE25'!L198:L201)+SUM('DOE25'!L216:L219)+SUM('DOE25'!L234:L237)-F5-G5-H5</f>
        <v>19445214.68</v>
      </c>
      <c r="E5" s="180"/>
      <c r="F5" s="181"/>
      <c r="G5" s="19">
        <f>SUM('DOE25'!J198:J201)+SUM('DOE25'!J216:J219)+SUM('DOE25'!J234:J237)</f>
        <v>167936.18</v>
      </c>
      <c r="H5" s="19">
        <f>SUM('DOE25'!K198:K201)+SUM('DOE25'!K216:K219)+SUM('DOE25'!K234:K237)</f>
        <v>22120.819999999996</v>
      </c>
      <c r="I5" s="192"/>
    </row>
    <row r="6" spans="1:9" x14ac:dyDescent="0.2">
      <c r="A6" s="31">
        <v>2100</v>
      </c>
      <c r="B6" t="s">
        <v>796</v>
      </c>
      <c r="C6" s="206">
        <f t="shared" si="0"/>
        <v>2331935.56</v>
      </c>
      <c r="D6" s="19">
        <f>'DOE25'!L203+'DOE25'!L221+'DOE25'!L239-F6-G6-H6</f>
        <v>2290516.1300000004</v>
      </c>
      <c r="E6" s="180"/>
      <c r="F6" s="181">
        <v>37846.800000000003</v>
      </c>
      <c r="G6" s="19">
        <f>'DOE25'!J203+'DOE25'!J221+'DOE25'!J239</f>
        <v>2990.63</v>
      </c>
      <c r="H6" s="19">
        <f>'DOE25'!K203+'DOE25'!K221+'DOE25'!K239</f>
        <v>582</v>
      </c>
      <c r="I6" s="192"/>
    </row>
    <row r="7" spans="1:9" x14ac:dyDescent="0.2">
      <c r="A7" s="31">
        <v>2200</v>
      </c>
      <c r="B7" t="s">
        <v>820</v>
      </c>
      <c r="C7" s="206">
        <f t="shared" si="0"/>
        <v>1645932.1699999997</v>
      </c>
      <c r="D7" s="19">
        <f>'DOE25'!L204+'DOE25'!L222+'DOE25'!L240-F7-G7-H7</f>
        <v>1495344.5799999998</v>
      </c>
      <c r="E7" s="180"/>
      <c r="F7" s="181">
        <v>104443.64</v>
      </c>
      <c r="G7" s="19">
        <f>'DOE25'!J204+'DOE25'!J222+'DOE25'!J240</f>
        <v>21019.81</v>
      </c>
      <c r="H7" s="19">
        <f>'DOE25'!K204+'DOE25'!K222+'DOE25'!K240</f>
        <v>25124.14</v>
      </c>
      <c r="I7" s="192"/>
    </row>
    <row r="8" spans="1:9" x14ac:dyDescent="0.2">
      <c r="A8" s="31">
        <v>2300</v>
      </c>
      <c r="B8" t="s">
        <v>797</v>
      </c>
      <c r="C8" s="206">
        <f t="shared" si="0"/>
        <v>493189.44999999984</v>
      </c>
      <c r="D8" s="180"/>
      <c r="E8" s="19">
        <f>'DOE25'!L205+'DOE25'!L223+'DOE25'!L241-F8-G8-H8-D9-D11</f>
        <v>472848.75999999983</v>
      </c>
      <c r="F8" s="181">
        <v>10049.91</v>
      </c>
      <c r="G8" s="19">
        <f>'DOE25'!J205+'DOE25'!J223+'DOE25'!J241</f>
        <v>1849</v>
      </c>
      <c r="H8" s="19">
        <f>'DOE25'!K205+'DOE25'!K223+'DOE25'!K241</f>
        <v>8441.7800000000007</v>
      </c>
      <c r="I8" s="192"/>
    </row>
    <row r="9" spans="1:9" ht="14.25" x14ac:dyDescent="0.2">
      <c r="A9" s="31">
        <v>2310</v>
      </c>
      <c r="B9" s="71" t="s">
        <v>887</v>
      </c>
      <c r="C9" s="206">
        <f t="shared" si="0"/>
        <v>268691.57</v>
      </c>
      <c r="D9" s="181">
        <v>268691.57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1782099.3200000003</v>
      </c>
      <c r="D12" s="19">
        <f>'DOE25'!L206+'DOE25'!L224+'DOE25'!L242-F12-G12-H12</f>
        <v>1765812.0300000003</v>
      </c>
      <c r="E12" s="180"/>
      <c r="F12" s="181"/>
      <c r="G12" s="19">
        <f>'DOE25'!J206+'DOE25'!J224+'DOE25'!J242</f>
        <v>13664.29</v>
      </c>
      <c r="H12" s="19">
        <f>'DOE25'!K206+'DOE25'!K224+'DOE25'!K242</f>
        <v>2623</v>
      </c>
      <c r="I12" s="192"/>
    </row>
    <row r="13" spans="1:9" x14ac:dyDescent="0.2">
      <c r="A13" s="31">
        <v>2500</v>
      </c>
      <c r="B13" t="s">
        <v>798</v>
      </c>
      <c r="C13" s="206">
        <f t="shared" si="0"/>
        <v>451508.98</v>
      </c>
      <c r="D13" s="180"/>
      <c r="E13" s="19">
        <f>'DOE25'!L207+'DOE25'!L225+'DOE25'!L243-F13-G13-H13</f>
        <v>449211.58999999997</v>
      </c>
      <c r="F13" s="181"/>
      <c r="G13" s="19">
        <f>'DOE25'!J207+'DOE25'!J225+'DOE25'!J243</f>
        <v>453.89</v>
      </c>
      <c r="H13" s="19">
        <f>'DOE25'!K207+'DOE25'!K225+'DOE25'!K243</f>
        <v>1843.5</v>
      </c>
      <c r="I13" s="192"/>
    </row>
    <row r="14" spans="1:9" x14ac:dyDescent="0.2">
      <c r="A14" s="31">
        <v>2600</v>
      </c>
      <c r="B14" t="s">
        <v>818</v>
      </c>
      <c r="C14" s="206">
        <f t="shared" si="0"/>
        <v>3347063.87</v>
      </c>
      <c r="D14" s="19">
        <f>'DOE25'!L208+'DOE25'!L226+'DOE25'!L244-F14-G14-H14</f>
        <v>2921798.06</v>
      </c>
      <c r="E14" s="180"/>
      <c r="F14" s="181">
        <v>398180.92</v>
      </c>
      <c r="G14" s="19">
        <f>'DOE25'!J208+'DOE25'!J226+'DOE25'!J244</f>
        <v>27084.89</v>
      </c>
      <c r="H14" s="19">
        <f>'DOE25'!K208+'DOE25'!K226+'DOE25'!K244</f>
        <v>0</v>
      </c>
      <c r="I14" s="192"/>
    </row>
    <row r="15" spans="1:9" x14ac:dyDescent="0.2">
      <c r="A15" s="31">
        <v>2700</v>
      </c>
      <c r="B15" t="s">
        <v>799</v>
      </c>
      <c r="C15" s="206">
        <f t="shared" si="0"/>
        <v>1584217.85</v>
      </c>
      <c r="D15" s="19">
        <f>'DOE25'!L209+'DOE25'!L227+'DOE25'!L245-F15-G15-H15</f>
        <v>1527128.3900000001</v>
      </c>
      <c r="E15" s="180"/>
      <c r="F15" s="181">
        <v>38389</v>
      </c>
      <c r="G15" s="19">
        <f>'DOE25'!J209+'DOE25'!J227+'DOE25'!J245</f>
        <v>18700.46</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421119.05000000005</v>
      </c>
      <c r="D22" s="180"/>
      <c r="E22" s="180"/>
      <c r="F22" s="180"/>
      <c r="G22" s="19">
        <f>'DOE25'!L256+'DOE25'!L337</f>
        <v>421119.05000000005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106900</v>
      </c>
      <c r="D25" s="180"/>
      <c r="E25" s="180"/>
      <c r="F25" s="191"/>
      <c r="G25" s="180"/>
      <c r="H25" s="180"/>
      <c r="I25" s="190">
        <f>'DOE25'!L261+'DOE25'!L262+'DOE25'!L342+'DOE25'!L343</f>
        <v>106900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306211.57999999996</v>
      </c>
      <c r="D29" s="212">
        <f>'DOE25'!L359+'DOE25'!L360+'DOE25'!L361-'DOE25'!I368-F29-G29-H29-F39</f>
        <v>196401.36</v>
      </c>
      <c r="E29" s="180"/>
      <c r="F29" s="180"/>
      <c r="G29" s="19">
        <f>'DOE25'!J359+'DOE25'!J360+'DOE25'!J361</f>
        <v>109810.22</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3015115.6999999993</v>
      </c>
      <c r="D31" s="19">
        <f>'DOE25'!L291+'DOE25'!L310+'DOE25'!L329+'DOE25'!L334+'DOE25'!L335+'DOE25'!L336-F31-G31-H31</f>
        <v>2106111.9299999997</v>
      </c>
      <c r="E31" s="180"/>
      <c r="F31" s="181">
        <v>262917.71999999997</v>
      </c>
      <c r="G31" s="19">
        <f>'DOE25'!J291+'DOE25'!J310+'DOE25'!J329+'DOE25'!J334+'DOE25'!J335+'DOE25'!J336</f>
        <v>640767.4800000001</v>
      </c>
      <c r="H31" s="19">
        <f>'DOE25'!K291+'DOE25'!K310+'DOE25'!K329+'DOE25'!K334+'DOE25'!K335+'DOE25'!K336</f>
        <v>5318.57</v>
      </c>
      <c r="I31" s="192"/>
    </row>
    <row r="32" spans="1:9" ht="12" thickBot="1" x14ac:dyDescent="0.25">
      <c r="C32" s="207"/>
      <c r="G32" s="188"/>
      <c r="H32" s="188"/>
      <c r="I32" s="194"/>
    </row>
    <row r="33" spans="1:9" ht="12" thickTop="1" x14ac:dyDescent="0.2">
      <c r="B33" t="s">
        <v>809</v>
      </c>
      <c r="D33" s="182">
        <f t="shared" ref="D33:I33" si="1">SUM(D5:D31)</f>
        <v>32017018.729999997</v>
      </c>
      <c r="E33" s="182">
        <f t="shared" si="1"/>
        <v>922060.34999999986</v>
      </c>
      <c r="F33" s="182">
        <f t="shared" si="1"/>
        <v>851827.99</v>
      </c>
      <c r="G33" s="182">
        <f t="shared" si="1"/>
        <v>1425395.9000000001</v>
      </c>
      <c r="H33" s="182">
        <f t="shared" si="1"/>
        <v>66053.81</v>
      </c>
      <c r="I33" s="182">
        <f t="shared" si="1"/>
        <v>106900</v>
      </c>
    </row>
    <row r="34" spans="1:9" ht="12" thickBot="1" x14ac:dyDescent="0.25"/>
    <row r="35" spans="1:9" ht="12" thickBot="1" x14ac:dyDescent="0.25">
      <c r="B35" s="188" t="s">
        <v>830</v>
      </c>
      <c r="D35" s="189">
        <f>E33</f>
        <v>922060.34999999986</v>
      </c>
      <c r="E35" s="185"/>
      <c r="F35" s="295" t="s">
        <v>1608</v>
      </c>
      <c r="G35" s="296"/>
      <c r="H35" s="296"/>
      <c r="I35" s="297"/>
    </row>
    <row r="36" spans="1:9" ht="12" thickTop="1" x14ac:dyDescent="0.2">
      <c r="B36" t="s">
        <v>810</v>
      </c>
      <c r="D36" s="19">
        <f>D33</f>
        <v>32017018.729999997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352410.51</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L11" sqref="L1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Fall Mountain Regional</v>
      </c>
      <c r="B2">
        <f>'DOE25'!B2</f>
        <v>174</v>
      </c>
      <c r="J2" s="224" t="s">
        <v>1808</v>
      </c>
      <c r="K2" s="309">
        <f>SUM('DOE25'!L198:L201)+SUM('DOE25'!L216:L219)+SUM('DOE25'!L234:L237)+SUM('DOE25'!L277:L280)+SUM('DOE25'!L296:L299)+SUM('DOE25'!L315:L318)</f>
        <v>21506958.370000001</v>
      </c>
      <c r="L2" s="309">
        <f>'DOE25'!L203+'DOE25'!L221+'DOE25'!L239+'DOE25'!L282+'DOE25'!L301+'DOE25'!L320</f>
        <v>2852395.62</v>
      </c>
      <c r="M2" s="309">
        <f>'DOE25'!L204+'DOE25'!L222+'DOE25'!L240+'DOE25'!L283+'DOE25'!L302+'DOE25'!L321</f>
        <v>1902367.8999999997</v>
      </c>
      <c r="N2" s="309">
        <f>'DOE25'!L206+'DOE25'!L224+'DOE25'!L242+'DOE25'!L285+'DOE25'!L304+'DOE25'!L323</f>
        <v>1782099.3200000003</v>
      </c>
      <c r="O2" s="309">
        <f>'Salaries-Benefits'!B10+'Salaries-Benefits'!B12+'Salaries-Benefits'!B19+'Salaries-Benefits'!B21+'Salaries-Benefits'!B28+'Salaries-Benefits'!B30+'Salaries-Benefits'!B37+'Salaries-Benefits'!B39</f>
        <v>10353785.68</v>
      </c>
      <c r="P2" s="309">
        <f>'Salaries-Benefits'!B11+'Salaries-Benefits'!B20+'Salaries-Benefits'!B29+'Salaries-Benefits'!B38</f>
        <v>1749876.51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-21506958.370000001</v>
      </c>
      <c r="L3" s="311">
        <f t="shared" ref="L3:P3" si="0">L21+L33+L43-L2</f>
        <v>-2852395.62</v>
      </c>
      <c r="M3" s="311">
        <f t="shared" si="0"/>
        <v>-1902367.8999999997</v>
      </c>
      <c r="N3" s="311">
        <f t="shared" si="0"/>
        <v>-1782099.3200000003</v>
      </c>
      <c r="O3" s="311">
        <f t="shared" si="0"/>
        <v>-10353785.68</v>
      </c>
      <c r="P3" s="311">
        <f t="shared" si="0"/>
        <v>-1749876.51</v>
      </c>
      <c r="Q3" s="310"/>
      <c r="R3" s="306"/>
      <c r="S3" s="215"/>
      <c r="T3" s="215"/>
      <c r="U3" s="216"/>
    </row>
    <row r="4" spans="1:21" ht="55.5" customHeight="1" thickBot="1" x14ac:dyDescent="0.25">
      <c r="A4" s="224" t="s">
        <v>1522</v>
      </c>
      <c r="B4" s="224" t="s">
        <v>1523</v>
      </c>
      <c r="C4" s="224" t="s">
        <v>896</v>
      </c>
      <c r="D4" s="224" t="s">
        <v>786</v>
      </c>
      <c r="E4" s="224" t="s">
        <v>786</v>
      </c>
      <c r="F4" s="228">
        <f>SUM(F5:F20)</f>
        <v>23257190.979999997</v>
      </c>
      <c r="G4" s="229">
        <f>'DOE25'!L212+'DOE25'!L291</f>
        <v>23257190.98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Acworth Elementary School</v>
      </c>
      <c r="B6" s="230">
        <f>IFERROR(VLOOKUP(A6,'School Tables'!$C$3:$D$365,2,FALSE),"")</f>
        <v>22960</v>
      </c>
      <c r="C6" s="223" t="str">
        <f>IFERROR(INDEX('School Tables'!$B$3:$B$365,MATCH('School Level Expenditures'!B6,'School Tables'!$D$3:$D$365,0)),"")</f>
        <v>Fall Mountain Regional</v>
      </c>
      <c r="D6" s="220">
        <v>666407.66</v>
      </c>
      <c r="E6" s="220">
        <v>75187.539999999994</v>
      </c>
      <c r="F6" s="232">
        <f t="shared" ref="F6:F20" si="1">D6+E6</f>
        <v>741595.20000000007</v>
      </c>
      <c r="G6" s="223"/>
      <c r="H6" s="223"/>
      <c r="J6" t="str">
        <f>A6</f>
        <v>Acworth Elementary School</v>
      </c>
      <c r="K6" s="20"/>
      <c r="L6" s="20"/>
      <c r="M6" s="308"/>
      <c r="N6" s="20"/>
      <c r="O6" s="20"/>
      <c r="P6" s="20"/>
      <c r="Q6" s="20"/>
    </row>
    <row r="7" spans="1:21" x14ac:dyDescent="0.2">
      <c r="A7" t="str" cm="1">
        <f t="array" ref="A7">IFERROR(INDEX('School Tables'!$A$4:$G$325,'School Tables'!$J5,3),"")</f>
        <v>Alstead Primary School</v>
      </c>
      <c r="B7" s="230">
        <f>IFERROR(VLOOKUP(A7,'School Tables'!$C$3:$D$365,2,FALSE),"")</f>
        <v>22965</v>
      </c>
      <c r="C7" s="223" t="str">
        <f>IFERROR(INDEX('School Tables'!$B$3:$B$365,MATCH('School Level Expenditures'!B7,'School Tables'!$D$3:$D$365,0)),"")</f>
        <v>Fall Mountain Regional</v>
      </c>
      <c r="D7" s="220">
        <v>1941735.69</v>
      </c>
      <c r="E7" s="220">
        <v>141439.28</v>
      </c>
      <c r="F7" s="232">
        <f t="shared" si="1"/>
        <v>2083174.97</v>
      </c>
      <c r="G7" s="223"/>
      <c r="H7" s="223"/>
      <c r="J7" t="str">
        <f t="shared" ref="J7:J20" si="2">A7</f>
        <v>Alstead Primary School</v>
      </c>
      <c r="K7" s="20"/>
      <c r="L7" s="20"/>
      <c r="M7" s="308"/>
      <c r="N7" s="20"/>
      <c r="O7" s="20"/>
      <c r="P7" s="20"/>
      <c r="Q7" s="20"/>
    </row>
    <row r="8" spans="1:21" x14ac:dyDescent="0.2">
      <c r="A8" t="str" cm="1">
        <f t="array" ref="A8">IFERROR(INDEX('School Tables'!$A$4:$G$325,'School Tables'!$J6,3),"")</f>
        <v>Charlestown Middle School</v>
      </c>
      <c r="B8" s="230">
        <f>IFERROR(VLOOKUP(A8,'School Tables'!$C$3:$D$365,2,FALSE),"")</f>
        <v>22975</v>
      </c>
      <c r="C8" s="223" t="str">
        <f>IFERROR(INDEX('School Tables'!$B$3:$B$365,MATCH('School Level Expenditures'!B8,'School Tables'!$D$3:$D$365,0)),"")</f>
        <v>Fall Mountain Regional</v>
      </c>
      <c r="D8" s="220">
        <v>3285872.23</v>
      </c>
      <c r="E8" s="220">
        <v>294379.71000000002</v>
      </c>
      <c r="F8" s="232">
        <f t="shared" si="1"/>
        <v>3580251.94</v>
      </c>
      <c r="G8" s="223"/>
      <c r="H8" s="223"/>
      <c r="J8" t="str">
        <f t="shared" si="2"/>
        <v>Charlestown Middle School</v>
      </c>
      <c r="K8" s="20"/>
      <c r="L8" s="20"/>
      <c r="M8" s="308"/>
      <c r="N8" s="20"/>
      <c r="O8" s="20"/>
      <c r="P8" s="20"/>
      <c r="Q8" s="20"/>
    </row>
    <row r="9" spans="1:21" x14ac:dyDescent="0.2">
      <c r="A9" t="str" cm="1">
        <f t="array" ref="A9">IFERROR(INDEX('School Tables'!$A$4:$G$325,'School Tables'!$J7,3),"")</f>
        <v>Charlestown Primary School</v>
      </c>
      <c r="B9" s="230">
        <f>IFERROR(VLOOKUP(A9,'School Tables'!$C$3:$D$365,2,FALSE),"")</f>
        <v>22985</v>
      </c>
      <c r="C9" s="223" t="str">
        <f>IFERROR(INDEX('School Tables'!$B$3:$B$365,MATCH('School Level Expenditures'!B9,'School Tables'!$D$3:$D$365,0)),"")</f>
        <v>Fall Mountain Regional</v>
      </c>
      <c r="D9" s="220">
        <v>4625285.74</v>
      </c>
      <c r="E9" s="220">
        <v>664584.56999999995</v>
      </c>
      <c r="F9" s="232">
        <f t="shared" si="1"/>
        <v>5289870.3100000005</v>
      </c>
      <c r="G9" s="223"/>
      <c r="H9" s="223"/>
      <c r="J9" t="str">
        <f t="shared" si="2"/>
        <v>Charlestown Primary School</v>
      </c>
      <c r="K9" s="20"/>
      <c r="L9" s="20"/>
      <c r="M9" s="308"/>
      <c r="N9" s="20"/>
      <c r="O9" s="20"/>
      <c r="P9" s="20"/>
      <c r="Q9" s="20"/>
    </row>
    <row r="10" spans="1:21" x14ac:dyDescent="0.2">
      <c r="A10" t="str" cm="1">
        <f t="array" ref="A10">IFERROR(INDEX('School Tables'!$A$4:$G$325,'School Tables'!$J8,3),"")</f>
        <v>Fall Mountain Regional -Pre School Program</v>
      </c>
      <c r="B10" s="230">
        <f>IFERROR(VLOOKUP(A10,'School Tables'!$C$3:$D$365,2,FALSE),"")</f>
        <v>27395</v>
      </c>
      <c r="C10" s="223" t="str">
        <f>IFERROR(INDEX('School Tables'!$B$3:$B$365,MATCH('School Level Expenditures'!B10,'School Tables'!$D$3:$D$365,0)),"")</f>
        <v>Fall Mountain Regional</v>
      </c>
      <c r="D10" s="220"/>
      <c r="E10" s="220"/>
      <c r="F10" s="232">
        <f t="shared" si="1"/>
        <v>0</v>
      </c>
      <c r="G10" s="223"/>
      <c r="H10" s="223"/>
      <c r="J10" t="str">
        <f t="shared" si="2"/>
        <v>Fall Mountain Regional -Pre School Program</v>
      </c>
      <c r="K10" s="20"/>
      <c r="L10" s="20"/>
      <c r="M10" s="20"/>
      <c r="N10" s="20"/>
      <c r="O10" s="20"/>
      <c r="P10" s="20"/>
      <c r="Q10" s="20"/>
    </row>
    <row r="11" spans="1:21" x14ac:dyDescent="0.2">
      <c r="A11" t="str" cm="1">
        <f t="array" ref="A11">IFERROR(INDEX('School Tables'!$A$4:$G$325,'School Tables'!$J9,3),"")</f>
        <v>N. Charlestown Community School</v>
      </c>
      <c r="B11" s="230">
        <f>IFERROR(VLOOKUP(A11,'School Tables'!$C$3:$D$365,2,FALSE),"")</f>
        <v>22980</v>
      </c>
      <c r="C11" s="223" t="str">
        <f>IFERROR(INDEX('School Tables'!$B$3:$B$365,MATCH('School Level Expenditures'!B11,'School Tables'!$D$3:$D$365,0)),"")</f>
        <v>Fall Mountain Regional</v>
      </c>
      <c r="D11" s="220">
        <v>1383868.9</v>
      </c>
      <c r="E11" s="220">
        <v>198099.36</v>
      </c>
      <c r="F11" s="232">
        <f t="shared" si="1"/>
        <v>1581968.2599999998</v>
      </c>
      <c r="G11" s="223"/>
      <c r="H11" s="223"/>
      <c r="J11" t="str">
        <f t="shared" si="2"/>
        <v>N. Charlestown Community School</v>
      </c>
      <c r="K11" s="20"/>
      <c r="L11" s="20"/>
      <c r="M11" s="20"/>
      <c r="N11" s="20"/>
      <c r="O11" s="20"/>
      <c r="P11" s="20"/>
      <c r="Q11" s="20"/>
    </row>
    <row r="12" spans="1:21" x14ac:dyDescent="0.2">
      <c r="A12" t="str" cm="1">
        <f t="array" ref="A12">IFERROR(INDEX('School Tables'!$A$4:$G$325,'School Tables'!$J10,3),"")</f>
        <v>North Walpole School</v>
      </c>
      <c r="B12" s="230">
        <f>IFERROR(VLOOKUP(A12,'School Tables'!$C$3:$D$365,2,FALSE),"")</f>
        <v>23005</v>
      </c>
      <c r="C12" s="223" t="str">
        <f>IFERROR(INDEX('School Tables'!$B$3:$B$365,MATCH('School Level Expenditures'!B12,'School Tables'!$D$3:$D$365,0)),"")</f>
        <v>Fall Mountain Regional</v>
      </c>
      <c r="D12" s="220">
        <v>1712663.97</v>
      </c>
      <c r="E12" s="220">
        <v>320349.75</v>
      </c>
      <c r="F12" s="232">
        <f t="shared" si="1"/>
        <v>2033013.72</v>
      </c>
      <c r="G12" s="223"/>
      <c r="H12" s="223"/>
      <c r="J12" t="str">
        <f t="shared" si="2"/>
        <v>North Walpole School</v>
      </c>
      <c r="K12" s="20"/>
      <c r="L12" s="20"/>
      <c r="M12" s="20"/>
      <c r="N12" s="20"/>
      <c r="O12" s="20"/>
      <c r="P12" s="20"/>
      <c r="Q12" s="20"/>
    </row>
    <row r="13" spans="1:21" x14ac:dyDescent="0.2">
      <c r="A13" t="str" cm="1">
        <f t="array" ref="A13">IFERROR(INDEX('School Tables'!$A$4:$G$325,'School Tables'!$J11,3),"")</f>
        <v>Sarah Porter School</v>
      </c>
      <c r="B13" s="230">
        <f>IFERROR(VLOOKUP(A13,'School Tables'!$C$3:$D$365,2,FALSE),"")</f>
        <v>22995</v>
      </c>
      <c r="C13" s="223" t="str">
        <f>IFERROR(INDEX('School Tables'!$B$3:$B$365,MATCH('School Level Expenditures'!B13,'School Tables'!$D$3:$D$365,0)),"")</f>
        <v>Fall Mountain Regional</v>
      </c>
      <c r="D13" s="220">
        <v>473311.55</v>
      </c>
      <c r="E13" s="220">
        <v>28619.87</v>
      </c>
      <c r="F13" s="232">
        <f t="shared" si="1"/>
        <v>501931.42</v>
      </c>
      <c r="G13" s="223"/>
      <c r="H13" s="223"/>
      <c r="J13" t="str">
        <f t="shared" si="2"/>
        <v>Sarah Porter School</v>
      </c>
      <c r="K13" s="20"/>
      <c r="L13" s="20"/>
      <c r="M13" s="20"/>
      <c r="N13" s="20"/>
      <c r="O13" s="20"/>
      <c r="P13" s="20"/>
      <c r="Q13" s="20"/>
    </row>
    <row r="14" spans="1:21" x14ac:dyDescent="0.2">
      <c r="A14" t="str" cm="1">
        <f t="array" ref="A14">IFERROR(INDEX('School Tables'!$A$4:$G$325,'School Tables'!$J12,3),"")</f>
        <v>Vilas Elementary School</v>
      </c>
      <c r="B14" s="230">
        <f>IFERROR(VLOOKUP(A14,'School Tables'!$C$3:$D$365,2,FALSE),"")</f>
        <v>22970</v>
      </c>
      <c r="C14" s="223" t="str">
        <f>IFERROR(INDEX('School Tables'!$B$3:$B$365,MATCH('School Level Expenditures'!B14,'School Tables'!$D$3:$D$365,0)),"")</f>
        <v>Fall Mountain Regional</v>
      </c>
      <c r="D14" s="220">
        <v>2504098.87</v>
      </c>
      <c r="E14" s="220">
        <v>134318.99</v>
      </c>
      <c r="F14" s="232">
        <f t="shared" si="1"/>
        <v>2638417.8600000003</v>
      </c>
      <c r="G14" s="223"/>
      <c r="H14" s="223"/>
      <c r="J14" t="str">
        <f t="shared" si="2"/>
        <v>Vilas Elementary School</v>
      </c>
      <c r="K14" s="20"/>
      <c r="L14" s="20"/>
      <c r="M14" s="20"/>
      <c r="N14" s="20"/>
      <c r="O14" s="20"/>
      <c r="P14" s="20"/>
      <c r="Q14" s="20"/>
    </row>
    <row r="15" spans="1:21" x14ac:dyDescent="0.2">
      <c r="A15" t="str" cm="1">
        <f t="array" ref="A15">IFERROR(INDEX('School Tables'!$A$4:$G$325,'School Tables'!$J13,3),"")</f>
        <v>Walpole Elementary School</v>
      </c>
      <c r="B15" s="230">
        <f>IFERROR(VLOOKUP(A15,'School Tables'!$C$3:$D$365,2,FALSE),"")</f>
        <v>23015</v>
      </c>
      <c r="C15" s="223" t="str">
        <f>IFERROR(INDEX('School Tables'!$B$3:$B$365,MATCH('School Level Expenditures'!B15,'School Tables'!$D$3:$D$365,0)),"")</f>
        <v>Fall Mountain Regional</v>
      </c>
      <c r="D15" s="220">
        <v>3116331.96</v>
      </c>
      <c r="E15" s="220">
        <v>249292.17</v>
      </c>
      <c r="F15" s="232">
        <f t="shared" si="1"/>
        <v>3365624.13</v>
      </c>
      <c r="G15" s="223"/>
      <c r="H15" s="223"/>
      <c r="J15" t="str">
        <f t="shared" si="2"/>
        <v>Walpole Elementary School</v>
      </c>
      <c r="K15" s="20"/>
      <c r="L15" s="20"/>
      <c r="M15" s="20"/>
      <c r="N15" s="20"/>
      <c r="O15" s="20"/>
      <c r="P15" s="20"/>
      <c r="Q15" s="20"/>
    </row>
    <row r="16" spans="1:21" x14ac:dyDescent="0.2">
      <c r="A16" t="str" cm="1">
        <f t="array" ref="A16">IFERROR(INDEX('School Tables'!$A$4:$G$325,'School Tables'!$J14,3),"")</f>
        <v>Walpole Primary School</v>
      </c>
      <c r="B16" s="230">
        <f>IFERROR(VLOOKUP(A16,'School Tables'!$C$3:$D$365,2,FALSE),"")</f>
        <v>23010</v>
      </c>
      <c r="C16" s="223" t="str">
        <f>IFERROR(INDEX('School Tables'!$B$3:$B$365,MATCH('School Level Expenditures'!B16,'School Tables'!$D$3:$D$365,0)),"")</f>
        <v>Fall Mountain Regional</v>
      </c>
      <c r="D16" s="220">
        <v>1326953.21</v>
      </c>
      <c r="E16" s="220">
        <v>114389.96</v>
      </c>
      <c r="F16" s="232">
        <f t="shared" si="1"/>
        <v>1441343.17</v>
      </c>
      <c r="G16" s="223"/>
      <c r="H16" s="223"/>
      <c r="J16" t="str">
        <f t="shared" si="2"/>
        <v>Walpole Primary School</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21036529.780000005</v>
      </c>
      <c r="E21" s="262">
        <f>SUM(E5:E20)</f>
        <v>2220661.2000000002</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11297835.17</v>
      </c>
      <c r="G36" s="229">
        <f>'DOE25'!L248+'DOE25'!L329</f>
        <v>11297835.17</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Fall Mountain Regional High School</v>
      </c>
      <c r="B38" s="230">
        <f>IFERROR(VLOOKUP(A38,'School Tables'!$Y$4:$Z$100,2,FALSE),"")</f>
        <v>22990</v>
      </c>
      <c r="C38" s="223" t="str">
        <f>IFERROR(INDEX('School Tables'!$X$4:$X$100,MATCH('School Level Expenditures'!A38,'School Tables'!$Y$4:$Y$100,0)),"")</f>
        <v>Fall Mountain Regional</v>
      </c>
      <c r="D38" s="220">
        <v>10503380.67</v>
      </c>
      <c r="E38" s="220">
        <v>794454.5</v>
      </c>
      <c r="F38" s="232">
        <f t="shared" si="7"/>
        <v>11297835.17</v>
      </c>
      <c r="G38" s="223"/>
      <c r="H38" s="223"/>
      <c r="J38" t="str">
        <f t="shared" ref="J38:J42" si="8">A38</f>
        <v>Fall Mountain Regional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10503380.67</v>
      </c>
      <c r="E43" s="263">
        <f>SUM(E37:E42)</f>
        <v>794454.5</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Fall Mountain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2483043.38</v>
      </c>
      <c r="D8" s="73">
        <f>'DOE25'!G9</f>
        <v>0</v>
      </c>
      <c r="E8" s="73">
        <f>'DOE25'!H9</f>
        <v>113411.37</v>
      </c>
      <c r="F8" s="73">
        <f>'DOE25'!I9</f>
        <v>0</v>
      </c>
      <c r="G8" s="73">
        <f>'DOE25'!J9</f>
        <v>0</v>
      </c>
      <c r="H8" s="13">
        <f>SUM(C8:G8)</f>
        <v>2596454.75</v>
      </c>
      <c r="I8" s="90"/>
    </row>
    <row r="9" spans="1:9" x14ac:dyDescent="0.2">
      <c r="A9" s="1" t="s">
        <v>140</v>
      </c>
      <c r="B9" s="6">
        <v>110</v>
      </c>
      <c r="C9" s="73">
        <f>'DOE25'!F10</f>
        <v>0</v>
      </c>
      <c r="D9" s="73">
        <f>'DOE25'!G10</f>
        <v>0</v>
      </c>
      <c r="E9" s="73">
        <f>'DOE25'!H10</f>
        <v>108042.19</v>
      </c>
      <c r="F9" s="73">
        <f>'DOE25'!I10</f>
        <v>0</v>
      </c>
      <c r="G9" s="73">
        <f>'DOE25'!J10</f>
        <v>0</v>
      </c>
      <c r="H9" s="13">
        <f t="shared" ref="H9:H18" si="0">SUM(C9:G9)</f>
        <v>108042.19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1216985.6299999999</v>
      </c>
      <c r="D11" s="73">
        <f>'DOE25'!G12</f>
        <v>0</v>
      </c>
      <c r="E11" s="73">
        <f>'DOE25'!H12</f>
        <v>0</v>
      </c>
      <c r="F11" s="73">
        <f>'DOE25'!I12</f>
        <v>0</v>
      </c>
      <c r="G11" s="73">
        <f>'DOE25'!J12</f>
        <v>0</v>
      </c>
      <c r="H11" s="13">
        <f t="shared" si="0"/>
        <v>1216985.6299999999</v>
      </c>
      <c r="I11" s="90"/>
    </row>
    <row r="12" spans="1:9" x14ac:dyDescent="0.2">
      <c r="A12" s="1" t="s">
        <v>143</v>
      </c>
      <c r="B12" s="6">
        <v>140</v>
      </c>
      <c r="C12" s="73">
        <f>'DOE25'!F13</f>
        <v>23056.400000000001</v>
      </c>
      <c r="D12" s="73">
        <f>'DOE25'!G13</f>
        <v>53158.81</v>
      </c>
      <c r="E12" s="73">
        <f>'DOE25'!H13</f>
        <v>1194491.72</v>
      </c>
      <c r="F12" s="73">
        <f>'DOE25'!I13</f>
        <v>0</v>
      </c>
      <c r="G12" s="73">
        <f>'DOE25'!J13</f>
        <v>3129432.88</v>
      </c>
      <c r="H12" s="13">
        <f t="shared" si="0"/>
        <v>4400139.8099999996</v>
      </c>
      <c r="I12" s="90"/>
    </row>
    <row r="13" spans="1:9" x14ac:dyDescent="0.2">
      <c r="A13" s="1" t="s">
        <v>144</v>
      </c>
      <c r="B13" s="6">
        <v>150</v>
      </c>
      <c r="C13" s="73">
        <f>'DOE25'!F14</f>
        <v>7978.1</v>
      </c>
      <c r="D13" s="73">
        <f>'DOE25'!G14</f>
        <v>0</v>
      </c>
      <c r="E13" s="73">
        <f>'DOE25'!H14</f>
        <v>0</v>
      </c>
      <c r="F13" s="73">
        <f>'DOE25'!I14</f>
        <v>0</v>
      </c>
      <c r="G13" s="73">
        <f>'DOE25'!J14</f>
        <v>0</v>
      </c>
      <c r="H13" s="13">
        <f t="shared" si="0"/>
        <v>7978.1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29758.81</v>
      </c>
      <c r="E15" s="73">
        <f>'DOE25'!H16</f>
        <v>0</v>
      </c>
      <c r="F15" s="73">
        <f>'DOE25'!I16</f>
        <v>0</v>
      </c>
      <c r="G15" s="23" t="s">
        <v>288</v>
      </c>
      <c r="H15" s="13">
        <f t="shared" si="0"/>
        <v>29758.81</v>
      </c>
      <c r="I15" s="90"/>
    </row>
    <row r="16" spans="1:9" x14ac:dyDescent="0.2">
      <c r="A16" s="1" t="s">
        <v>147</v>
      </c>
      <c r="B16" s="6">
        <v>180</v>
      </c>
      <c r="C16" s="73">
        <f>'DOE25'!F17</f>
        <v>15513</v>
      </c>
      <c r="D16" s="73">
        <f>'DOE25'!G17</f>
        <v>0</v>
      </c>
      <c r="E16" s="73">
        <f>'DOE25'!H17</f>
        <v>0</v>
      </c>
      <c r="F16" s="73">
        <f>'DOE25'!I17</f>
        <v>0</v>
      </c>
      <c r="G16" s="73">
        <f>'DOE25'!J17</f>
        <v>0</v>
      </c>
      <c r="H16" s="13">
        <f t="shared" si="0"/>
        <v>15513</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3746576.51</v>
      </c>
      <c r="D18" s="38">
        <f>SUM(D8:D17)</f>
        <v>82917.62</v>
      </c>
      <c r="E18" s="38">
        <f>SUM(E8:E17)</f>
        <v>1415945.28</v>
      </c>
      <c r="F18" s="38">
        <f>SUM(F8:F17)</f>
        <v>0</v>
      </c>
      <c r="G18" s="38">
        <f>SUM(G8:G17)</f>
        <v>3129432.88</v>
      </c>
      <c r="H18" s="38">
        <f t="shared" si="0"/>
        <v>8374872.29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1181921</v>
      </c>
      <c r="F21" s="73">
        <f>'DOE25'!I22</f>
        <v>0</v>
      </c>
      <c r="G21" s="73">
        <f>'DOE25'!J22</f>
        <v>0</v>
      </c>
      <c r="H21" s="13">
        <f t="shared" ref="H21:H31" si="1">SUM(C21:G21)</f>
        <v>1181921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94835.46</v>
      </c>
      <c r="D23" s="73">
        <f>'DOE25'!G24</f>
        <v>0</v>
      </c>
      <c r="E23" s="73">
        <f>'DOE25'!H24</f>
        <v>0</v>
      </c>
      <c r="F23" s="73">
        <f>'DOE25'!I24</f>
        <v>0</v>
      </c>
      <c r="G23" s="73">
        <f>'DOE25'!J24</f>
        <v>0</v>
      </c>
      <c r="H23" s="13">
        <f t="shared" si="1"/>
        <v>94835.46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218890</v>
      </c>
      <c r="D25" s="23" t="s">
        <v>288</v>
      </c>
      <c r="E25" s="23" t="s">
        <v>288</v>
      </c>
      <c r="F25" s="73">
        <f>'DOE25'!I26</f>
        <v>0</v>
      </c>
      <c r="G25" s="23" t="s">
        <v>288</v>
      </c>
      <c r="H25" s="13">
        <f t="shared" si="1"/>
        <v>218890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1843284.73</v>
      </c>
      <c r="D27" s="73">
        <f>'DOE25'!G28</f>
        <v>0</v>
      </c>
      <c r="E27" s="73">
        <f>'DOE25'!H28</f>
        <v>0</v>
      </c>
      <c r="F27" s="73">
        <f>'DOE25'!I28</f>
        <v>0</v>
      </c>
      <c r="G27" s="23" t="s">
        <v>288</v>
      </c>
      <c r="H27" s="13">
        <f t="shared" si="1"/>
        <v>1843284.73</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53158.81</v>
      </c>
      <c r="E29" s="73">
        <f>'DOE25'!H30</f>
        <v>0</v>
      </c>
      <c r="F29" s="73">
        <f>'DOE25'!I30</f>
        <v>0</v>
      </c>
      <c r="G29" s="23" t="s">
        <v>288</v>
      </c>
      <c r="H29" s="13">
        <f t="shared" si="1"/>
        <v>53158.81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2157010.19</v>
      </c>
      <c r="D31" s="38">
        <f>SUM(D21:D30)</f>
        <v>53158.81</v>
      </c>
      <c r="E31" s="38">
        <f>SUM(E21:E30)</f>
        <v>1181921</v>
      </c>
      <c r="F31" s="38">
        <f>SUM(F21:F30)</f>
        <v>0</v>
      </c>
      <c r="G31" s="38">
        <f>SUM(G21:G30)</f>
        <v>0</v>
      </c>
      <c r="H31" s="38">
        <f t="shared" si="1"/>
        <v>3392090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29758.81</v>
      </c>
      <c r="E34" s="73">
        <f>'DOE25'!H35</f>
        <v>0</v>
      </c>
      <c r="F34" s="73">
        <f>'DOE25'!I35</f>
        <v>0</v>
      </c>
      <c r="G34" s="23" t="s">
        <v>288</v>
      </c>
      <c r="H34" s="13">
        <f t="shared" ref="H34:H51" si="2">SUM(C34:G34)</f>
        <v>29758.81</v>
      </c>
      <c r="I34" s="90"/>
    </row>
    <row r="35" spans="1:9" x14ac:dyDescent="0.2">
      <c r="A35" s="1" t="s">
        <v>849</v>
      </c>
      <c r="B35" s="6">
        <v>752</v>
      </c>
      <c r="C35" s="73">
        <f>'DOE25'!F36</f>
        <v>15513</v>
      </c>
      <c r="D35" s="73">
        <f>'DOE25'!G36</f>
        <v>0</v>
      </c>
      <c r="E35" s="73">
        <f>'DOE25'!H36</f>
        <v>0</v>
      </c>
      <c r="F35" s="73">
        <f>'DOE25'!I36</f>
        <v>0</v>
      </c>
      <c r="G35" s="23" t="s">
        <v>288</v>
      </c>
      <c r="H35" s="13">
        <f t="shared" si="2"/>
        <v>15513</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250000</v>
      </c>
      <c r="D43" s="73">
        <f>'DOE25'!G44</f>
        <v>0</v>
      </c>
      <c r="E43" s="73">
        <f>'DOE25'!H44</f>
        <v>0</v>
      </c>
      <c r="F43" s="73">
        <f>'DOE25'!I44</f>
        <v>0</v>
      </c>
      <c r="G43" s="23" t="s">
        <v>288</v>
      </c>
      <c r="H43" s="13">
        <f t="shared" si="2"/>
        <v>250000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234024.28</v>
      </c>
      <c r="F47" s="73">
        <f>'DOE25'!I48</f>
        <v>0</v>
      </c>
      <c r="G47" s="73">
        <f>'DOE25'!J48</f>
        <v>3129432.88</v>
      </c>
      <c r="H47" s="13">
        <f t="shared" si="2"/>
        <v>3363457.1599999997</v>
      </c>
      <c r="I47" s="90"/>
    </row>
    <row r="48" spans="1:9" x14ac:dyDescent="0.2">
      <c r="A48" s="1" t="s">
        <v>881</v>
      </c>
      <c r="B48" s="6">
        <v>753</v>
      </c>
      <c r="C48" s="73">
        <f>'DOE25'!F49</f>
        <v>86830</v>
      </c>
      <c r="D48" s="73">
        <f>'DOE25'!G49</f>
        <v>0</v>
      </c>
      <c r="E48" s="73">
        <f>'DOE25'!H49</f>
        <v>0</v>
      </c>
      <c r="F48" s="73">
        <f>'DOE25'!I49</f>
        <v>0</v>
      </c>
      <c r="G48" s="73">
        <f>'DOE25'!J49</f>
        <v>0</v>
      </c>
      <c r="H48" s="13">
        <f t="shared" si="2"/>
        <v>86830</v>
      </c>
      <c r="I48" s="90"/>
    </row>
    <row r="49" spans="1:9" ht="12" thickBot="1" x14ac:dyDescent="0.25">
      <c r="A49" s="28" t="s">
        <v>882</v>
      </c>
      <c r="B49" s="56">
        <v>770</v>
      </c>
      <c r="C49" s="73">
        <f>'DOE25'!F50</f>
        <v>1237223.32</v>
      </c>
      <c r="D49" s="23" t="s">
        <v>288</v>
      </c>
      <c r="E49" s="23" t="s">
        <v>288</v>
      </c>
      <c r="F49" s="23" t="s">
        <v>288</v>
      </c>
      <c r="G49" s="23" t="s">
        <v>288</v>
      </c>
      <c r="H49" s="13">
        <f t="shared" si="2"/>
        <v>1237223.32</v>
      </c>
      <c r="I49" s="90"/>
    </row>
    <row r="50" spans="1:9" ht="12.75" thickTop="1" thickBot="1" x14ac:dyDescent="0.25">
      <c r="A50" s="35" t="s">
        <v>883</v>
      </c>
      <c r="B50" s="44"/>
      <c r="C50" s="38">
        <f>SUM(C34:C49)</f>
        <v>1589566.32</v>
      </c>
      <c r="D50" s="38">
        <f>SUM(D34:D49)</f>
        <v>29758.81</v>
      </c>
      <c r="E50" s="38">
        <f>SUM(E34:E49)</f>
        <v>234024.28</v>
      </c>
      <c r="F50" s="38">
        <f>SUM(F34:F49)</f>
        <v>0</v>
      </c>
      <c r="G50" s="38">
        <f>SUM(G34:G49)</f>
        <v>3129432.88</v>
      </c>
      <c r="H50" s="38">
        <f t="shared" si="2"/>
        <v>4982782.29</v>
      </c>
      <c r="I50" s="90"/>
    </row>
    <row r="51" spans="1:9" ht="12" thickTop="1" x14ac:dyDescent="0.2">
      <c r="A51" s="35" t="s">
        <v>884</v>
      </c>
      <c r="B51" s="2"/>
      <c r="C51" s="38">
        <f>C50+C31</f>
        <v>3746576.51</v>
      </c>
      <c r="D51" s="38">
        <f>D50+D31</f>
        <v>82917.62</v>
      </c>
      <c r="E51" s="38">
        <f>E50+E31</f>
        <v>1415945.28</v>
      </c>
      <c r="F51" s="38">
        <f>F50+F31</f>
        <v>0</v>
      </c>
      <c r="G51" s="38">
        <f>G50+G31</f>
        <v>3129432.88</v>
      </c>
      <c r="H51" s="38">
        <f t="shared" si="2"/>
        <v>8374872.29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19474827</v>
      </c>
      <c r="D56" s="73">
        <f>'DOE25'!G60</f>
        <v>0</v>
      </c>
      <c r="E56" s="73">
        <f>'DOE25'!H60</f>
        <v>0</v>
      </c>
      <c r="F56" s="73">
        <f>'DOE25'!I60</f>
        <v>0</v>
      </c>
      <c r="G56" s="73">
        <f>'DOE25'!J60</f>
        <v>0</v>
      </c>
      <c r="H56" s="13">
        <f t="shared" ref="H56:H63" si="3">SUM(C56:G56)</f>
        <v>19474827</v>
      </c>
      <c r="I56"/>
    </row>
    <row r="57" spans="1:9" x14ac:dyDescent="0.2">
      <c r="A57" s="1" t="s">
        <v>164</v>
      </c>
      <c r="B57" s="6" t="s">
        <v>165</v>
      </c>
      <c r="C57" s="73">
        <f>'DOE25'!F79</f>
        <v>770287.66</v>
      </c>
      <c r="D57" s="23" t="s">
        <v>288</v>
      </c>
      <c r="E57" s="73">
        <f>'DOE25'!H79</f>
        <v>0</v>
      </c>
      <c r="F57" s="23" t="s">
        <v>288</v>
      </c>
      <c r="G57" s="23" t="s">
        <v>288</v>
      </c>
      <c r="H57" s="13">
        <f t="shared" si="3"/>
        <v>770287.66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149086.66</v>
      </c>
      <c r="D59" s="73">
        <f>'DOE25'!G96</f>
        <v>0</v>
      </c>
      <c r="E59" s="73">
        <f>'DOE25'!H96</f>
        <v>0</v>
      </c>
      <c r="F59" s="73">
        <f>'DOE25'!I96</f>
        <v>0</v>
      </c>
      <c r="G59" s="73">
        <f>'DOE25'!J96</f>
        <v>25763.51</v>
      </c>
      <c r="H59" s="13">
        <f t="shared" si="3"/>
        <v>174850.17</v>
      </c>
      <c r="I59"/>
    </row>
    <row r="60" spans="1:9" x14ac:dyDescent="0.2">
      <c r="A60" s="1" t="s">
        <v>170</v>
      </c>
      <c r="B60" s="22" t="s">
        <v>171</v>
      </c>
      <c r="C60" s="23" t="s">
        <v>288</v>
      </c>
      <c r="D60" s="73">
        <f>'DOE25'!G97</f>
        <v>291808</v>
      </c>
      <c r="E60" s="23" t="s">
        <v>288</v>
      </c>
      <c r="F60" s="23" t="s">
        <v>288</v>
      </c>
      <c r="G60" s="23" t="s">
        <v>288</v>
      </c>
      <c r="H60" s="13">
        <f t="shared" si="3"/>
        <v>291808</v>
      </c>
      <c r="I60"/>
    </row>
    <row r="61" spans="1:9" ht="12" thickBot="1" x14ac:dyDescent="0.25">
      <c r="A61" s="1" t="s">
        <v>172</v>
      </c>
      <c r="B61" s="22" t="s">
        <v>173</v>
      </c>
      <c r="C61" s="73">
        <f>SUM('DOE25'!F98:F110)</f>
        <v>245749.1</v>
      </c>
      <c r="D61" s="73">
        <f>SUM('DOE25'!G98:G110)</f>
        <v>0</v>
      </c>
      <c r="E61" s="73">
        <f>SUM('DOE25'!H98:H110)</f>
        <v>574764.66</v>
      </c>
      <c r="F61" s="73">
        <f>SUM('DOE25'!I98:I110)</f>
        <v>0</v>
      </c>
      <c r="G61" s="73">
        <f>SUM('DOE25'!J98:J110)</f>
        <v>0</v>
      </c>
      <c r="H61" s="13">
        <f t="shared" si="3"/>
        <v>820513.76</v>
      </c>
      <c r="I61"/>
    </row>
    <row r="62" spans="1:9" ht="12.75" thickTop="1" thickBot="1" x14ac:dyDescent="0.25">
      <c r="A62" s="28" t="s">
        <v>174</v>
      </c>
      <c r="B62" s="6"/>
      <c r="C62" s="93">
        <f>SUM(C57:C61)</f>
        <v>1165123.4200000002</v>
      </c>
      <c r="D62" s="93">
        <f>SUM(D57:D61)</f>
        <v>291808</v>
      </c>
      <c r="E62" s="93">
        <f>SUM(E57:E61)</f>
        <v>574764.66</v>
      </c>
      <c r="F62" s="93">
        <f>SUM(F57:F61)</f>
        <v>0</v>
      </c>
      <c r="G62" s="93">
        <f>SUM(G57:G61)</f>
        <v>25763.51</v>
      </c>
      <c r="H62" s="13">
        <f t="shared" si="3"/>
        <v>2057459.59</v>
      </c>
      <c r="I62"/>
    </row>
    <row r="63" spans="1:9" ht="12" thickTop="1" x14ac:dyDescent="0.2">
      <c r="A63" s="28" t="s">
        <v>175</v>
      </c>
      <c r="B63" s="6"/>
      <c r="C63" s="21">
        <f>C56+C62</f>
        <v>20639950.420000002</v>
      </c>
      <c r="D63" s="21">
        <f>D56+D62</f>
        <v>291808</v>
      </c>
      <c r="E63" s="21">
        <f>E56+E62</f>
        <v>574764.66</v>
      </c>
      <c r="F63" s="21">
        <f>F56+F62</f>
        <v>0</v>
      </c>
      <c r="G63" s="21">
        <f>G56+G62</f>
        <v>25763.51</v>
      </c>
      <c r="H63" s="13">
        <f t="shared" si="3"/>
        <v>21532286.590000004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9709527.9600000009</v>
      </c>
      <c r="D66" s="23" t="s">
        <v>288</v>
      </c>
      <c r="E66" s="23" t="s">
        <v>288</v>
      </c>
      <c r="F66" s="23" t="s">
        <v>288</v>
      </c>
      <c r="G66" s="23" t="s">
        <v>288</v>
      </c>
      <c r="H66" s="13">
        <f t="shared" ref="H66:H81" si="4">SUM(C66:G66)</f>
        <v>9709527.9600000009</v>
      </c>
      <c r="I66"/>
    </row>
    <row r="67" spans="1:9" x14ac:dyDescent="0.2">
      <c r="A67" s="1" t="s">
        <v>770</v>
      </c>
      <c r="B67" s="6">
        <v>3112</v>
      </c>
      <c r="C67" s="73">
        <f>'DOE25'!F118</f>
        <v>1457725</v>
      </c>
      <c r="D67" s="23"/>
      <c r="E67" s="23"/>
      <c r="F67" s="23"/>
      <c r="G67" s="23"/>
      <c r="H67" s="13">
        <f t="shared" si="4"/>
        <v>1457725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12067.53</v>
      </c>
      <c r="D69" s="73">
        <f>'DOE25'!G120</f>
        <v>0</v>
      </c>
      <c r="E69" s="73">
        <f>'DOE25'!H120</f>
        <v>0</v>
      </c>
      <c r="F69" s="73">
        <f>'DOE25'!I120</f>
        <v>0</v>
      </c>
      <c r="G69" s="73">
        <f>'DOE25'!J120</f>
        <v>0</v>
      </c>
      <c r="H69" s="13">
        <f t="shared" si="4"/>
        <v>12067.53</v>
      </c>
      <c r="I69"/>
    </row>
    <row r="70" spans="1:9" ht="12" thickTop="1" x14ac:dyDescent="0.2">
      <c r="A70" s="28" t="s">
        <v>252</v>
      </c>
      <c r="B70" s="2"/>
      <c r="C70" s="97">
        <f>SUM(C66:C69)</f>
        <v>11179320.49</v>
      </c>
      <c r="D70" s="97">
        <f>D69</f>
        <v>0</v>
      </c>
      <c r="E70" s="97">
        <f>E69</f>
        <v>0</v>
      </c>
      <c r="F70" s="97">
        <f>F69</f>
        <v>0</v>
      </c>
      <c r="G70" s="97">
        <f>G69</f>
        <v>0</v>
      </c>
      <c r="H70" s="13">
        <f t="shared" si="4"/>
        <v>11179320.49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57038.49</v>
      </c>
      <c r="D72" s="23" t="s">
        <v>288</v>
      </c>
      <c r="E72" s="23" t="s">
        <v>288</v>
      </c>
      <c r="F72" s="73">
        <f>'DOE25'!I123</f>
        <v>0</v>
      </c>
      <c r="G72" s="23" t="s">
        <v>288</v>
      </c>
      <c r="H72" s="13">
        <f t="shared" si="4"/>
        <v>57038.49</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273053.58</v>
      </c>
      <c r="D75" s="23" t="s">
        <v>288</v>
      </c>
      <c r="E75" s="23" t="s">
        <v>288</v>
      </c>
      <c r="F75" s="23" t="s">
        <v>288</v>
      </c>
      <c r="G75" s="23" t="s">
        <v>288</v>
      </c>
      <c r="H75" s="13">
        <f t="shared" si="4"/>
        <v>273053.58</v>
      </c>
      <c r="I75"/>
    </row>
    <row r="76" spans="1:9" x14ac:dyDescent="0.2">
      <c r="A76" s="1" t="s">
        <v>257</v>
      </c>
      <c r="B76" s="6" t="s">
        <v>179</v>
      </c>
      <c r="C76" s="73">
        <f>SUM('DOE25'!F127:F130)</f>
        <v>132351.57</v>
      </c>
      <c r="D76" s="23" t="s">
        <v>288</v>
      </c>
      <c r="E76" s="73">
        <f>SUM('DOE25'!H127:H130)</f>
        <v>0</v>
      </c>
      <c r="F76" s="73">
        <f>SUM('DOE25'!I127:I130)</f>
        <v>0</v>
      </c>
      <c r="G76" s="23" t="s">
        <v>288</v>
      </c>
      <c r="H76" s="13">
        <f t="shared" si="4"/>
        <v>132351.57</v>
      </c>
      <c r="I76"/>
    </row>
    <row r="77" spans="1:9" ht="12" thickBot="1" x14ac:dyDescent="0.25">
      <c r="A77" s="1" t="s">
        <v>258</v>
      </c>
      <c r="B77" s="6" t="s">
        <v>180</v>
      </c>
      <c r="C77" s="73">
        <f>SUM('DOE25'!F131:F135)</f>
        <v>0</v>
      </c>
      <c r="D77" s="73">
        <f>SUM('DOE25'!G131:G135)</f>
        <v>19397</v>
      </c>
      <c r="E77" s="73">
        <f>SUM('DOE25'!H131:H135)</f>
        <v>0</v>
      </c>
      <c r="F77" s="73">
        <f>SUM('DOE25'!I131:I135)</f>
        <v>0</v>
      </c>
      <c r="G77" s="73">
        <f>SUM('DOE25'!J131:J135)</f>
        <v>0</v>
      </c>
      <c r="H77" s="13">
        <f t="shared" si="4"/>
        <v>19397</v>
      </c>
      <c r="I77"/>
    </row>
    <row r="78" spans="1:9" ht="12.75" thickTop="1" thickBot="1" x14ac:dyDescent="0.25">
      <c r="A78" s="28" t="s">
        <v>259</v>
      </c>
      <c r="B78" s="6"/>
      <c r="C78" s="93">
        <f>SUM(C72:C77)</f>
        <v>462443.64</v>
      </c>
      <c r="D78" s="93">
        <f>SUM(D72:D77)</f>
        <v>19397</v>
      </c>
      <c r="E78" s="93">
        <f>SUM(E72:E77)</f>
        <v>0</v>
      </c>
      <c r="F78" s="93">
        <f>SUM(F72:F77)</f>
        <v>0</v>
      </c>
      <c r="G78" s="93">
        <f>SUM(G72:G77)</f>
        <v>0</v>
      </c>
      <c r="H78" s="13">
        <f t="shared" si="4"/>
        <v>481840.64000000001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11641764.130000001</v>
      </c>
      <c r="D81" s="93">
        <f>SUM(D79:D80)+D78+D70</f>
        <v>19397</v>
      </c>
      <c r="E81" s="93">
        <f>SUM(E79:E80)+E78+E70</f>
        <v>0</v>
      </c>
      <c r="F81" s="93">
        <f>SUM(F79:F80)+F78+F70</f>
        <v>0</v>
      </c>
      <c r="G81" s="93">
        <f>SUM(G79:G80)+G78+G70</f>
        <v>0</v>
      </c>
      <c r="H81" s="93">
        <f t="shared" si="4"/>
        <v>11661161.130000001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242089.54</v>
      </c>
      <c r="D88" s="253">
        <f>SUM('DOE25'!G153:G162)</f>
        <v>468472</v>
      </c>
      <c r="E88" s="253">
        <f>SUM('DOE25'!H153:H162)</f>
        <v>2579694.9099999997</v>
      </c>
      <c r="F88" s="253">
        <f>SUM('DOE25'!I153:I162)</f>
        <v>0</v>
      </c>
      <c r="G88" s="23" t="s">
        <v>288</v>
      </c>
      <c r="H88" s="13">
        <f t="shared" si="5"/>
        <v>3290256.4499999997</v>
      </c>
    </row>
    <row r="89" spans="1:9" x14ac:dyDescent="0.2">
      <c r="A89" t="s">
        <v>748</v>
      </c>
      <c r="B89" s="31" t="s">
        <v>185</v>
      </c>
      <c r="C89" s="73">
        <f>'DOE25'!F164+'DOE25'!F167+'DOE25'!F169</f>
        <v>67515.91</v>
      </c>
      <c r="D89" s="73">
        <f>'DOE25'!G164+'DOE25'!G169</f>
        <v>0</v>
      </c>
      <c r="E89" s="73">
        <f>'DOE25'!H164+'DOE25'!H169</f>
        <v>0</v>
      </c>
      <c r="F89" s="73">
        <f>'DOE25'!I164</f>
        <v>0</v>
      </c>
      <c r="G89" s="23" t="s">
        <v>288</v>
      </c>
      <c r="H89" s="13">
        <f t="shared" si="5"/>
        <v>67515.91</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309605.45</v>
      </c>
      <c r="D91" s="94">
        <f>SUM(D85:D90)</f>
        <v>468472</v>
      </c>
      <c r="E91" s="94">
        <f>SUM(E85:E90)</f>
        <v>2579694.9099999997</v>
      </c>
      <c r="F91" s="94">
        <f>SUM(F85:F90)</f>
        <v>0</v>
      </c>
      <c r="G91" s="23" t="s">
        <v>288</v>
      </c>
      <c r="H91" s="13">
        <f t="shared" si="5"/>
        <v>3357772.3599999994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500000</v>
      </c>
      <c r="H96" s="13">
        <f t="shared" si="5"/>
        <v>500000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15610.37</v>
      </c>
      <c r="D99" s="73">
        <f>'DOE25'!G186</f>
        <v>0</v>
      </c>
      <c r="E99" s="73">
        <f>'DOE25'!H186</f>
        <v>0</v>
      </c>
      <c r="F99" s="73">
        <f>'DOE25'!I186</f>
        <v>0</v>
      </c>
      <c r="G99" s="23" t="s">
        <v>288</v>
      </c>
      <c r="H99" s="13">
        <f t="shared" si="5"/>
        <v>15610.37</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15610.37</v>
      </c>
      <c r="D103" s="68">
        <f>SUM(D93:D102)</f>
        <v>0</v>
      </c>
      <c r="E103" s="68">
        <f>SUM(E93:E102)</f>
        <v>0</v>
      </c>
      <c r="F103" s="68">
        <f>SUM(F93:F102)</f>
        <v>0</v>
      </c>
      <c r="G103" s="68">
        <f>SUM(G93:G102)</f>
        <v>500000</v>
      </c>
      <c r="H103" s="68">
        <f t="shared" si="5"/>
        <v>515610.37</v>
      </c>
    </row>
    <row r="104" spans="1:8" ht="12.75" thickTop="1" thickBot="1" x14ac:dyDescent="0.25">
      <c r="A104" s="32" t="s">
        <v>761</v>
      </c>
      <c r="C104" s="68">
        <f>C63+C81+C91+C103</f>
        <v>32606930.370000005</v>
      </c>
      <c r="D104" s="68">
        <f>D63+D81+D91+D103</f>
        <v>779677</v>
      </c>
      <c r="E104" s="68">
        <f>E63+E81+E91+E103</f>
        <v>3154459.57</v>
      </c>
      <c r="F104" s="68">
        <f>F63+F81+F91+F103</f>
        <v>0</v>
      </c>
      <c r="G104" s="68">
        <f>G63+G81+G103</f>
        <v>525763.51</v>
      </c>
      <c r="H104" s="68">
        <f t="shared" si="5"/>
        <v>37066830.450000003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11224330.880000001</v>
      </c>
      <c r="D109" s="23" t="s">
        <v>288</v>
      </c>
      <c r="E109" s="73">
        <f>('DOE25'!L277)+('DOE25'!L296)+('DOE25'!L315)</f>
        <v>1418972.76</v>
      </c>
      <c r="F109" s="23" t="s">
        <v>288</v>
      </c>
      <c r="G109" s="23" t="s">
        <v>288</v>
      </c>
      <c r="H109" s="13">
        <f t="shared" ref="H109:H115" si="6">SUM(C109:G109)</f>
        <v>12643303.640000001</v>
      </c>
    </row>
    <row r="110" spans="1:8" x14ac:dyDescent="0.2">
      <c r="A110" t="s">
        <v>198</v>
      </c>
      <c r="B110" s="31" t="s">
        <v>199</v>
      </c>
      <c r="C110" s="73">
        <f>('DOE25'!L199)+('DOE25'!L217)+('DOE25'!L235)</f>
        <v>7128256.4799999995</v>
      </c>
      <c r="D110" s="23" t="s">
        <v>288</v>
      </c>
      <c r="E110" s="73">
        <f>('DOE25'!L278)+('DOE25'!L297)+('DOE25'!L316)</f>
        <v>303334.10000000003</v>
      </c>
      <c r="F110" s="23" t="s">
        <v>288</v>
      </c>
      <c r="G110" s="23" t="s">
        <v>288</v>
      </c>
      <c r="H110" s="13">
        <f t="shared" si="6"/>
        <v>7431590.5799999991</v>
      </c>
    </row>
    <row r="111" spans="1:8" x14ac:dyDescent="0.2">
      <c r="A111" t="s">
        <v>200</v>
      </c>
      <c r="B111" s="31" t="s">
        <v>165</v>
      </c>
      <c r="C111" s="73">
        <f>('DOE25'!L200)+('DOE25'!L218)+('DOE25'!L236)</f>
        <v>815767.18</v>
      </c>
      <c r="D111" s="23" t="s">
        <v>288</v>
      </c>
      <c r="E111" s="73">
        <f>('DOE25'!L279)+('DOE25'!L298)+('DOE25'!L317)</f>
        <v>67946.91</v>
      </c>
      <c r="F111" s="23" t="s">
        <v>288</v>
      </c>
      <c r="G111" s="23" t="s">
        <v>288</v>
      </c>
      <c r="H111" s="13">
        <f t="shared" si="6"/>
        <v>883714.09000000008</v>
      </c>
    </row>
    <row r="112" spans="1:8" x14ac:dyDescent="0.2">
      <c r="A112" t="s">
        <v>201</v>
      </c>
      <c r="B112" s="31" t="s">
        <v>167</v>
      </c>
      <c r="C112" s="73">
        <f>('DOE25'!L201)+('DOE25'!L219)+('DOE25'!L237)</f>
        <v>466917.14</v>
      </c>
      <c r="D112" s="23" t="s">
        <v>288</v>
      </c>
      <c r="E112" s="73">
        <f>+('DOE25'!L280)+('DOE25'!L299)+('DOE25'!L318)</f>
        <v>81432.92</v>
      </c>
      <c r="F112" s="23" t="s">
        <v>288</v>
      </c>
      <c r="G112" s="23" t="s">
        <v>288</v>
      </c>
      <c r="H112" s="13">
        <f t="shared" si="6"/>
        <v>548350.06000000006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19635271.68</v>
      </c>
      <c r="D115" s="68">
        <f>SUM(D109:D114)</f>
        <v>0</v>
      </c>
      <c r="E115" s="68">
        <f>SUM(E109:E114)</f>
        <v>1871686.69</v>
      </c>
      <c r="F115" s="68">
        <f>SUM(F109:F114)</f>
        <v>0</v>
      </c>
      <c r="G115" s="68">
        <f>SUM(G109:G114)</f>
        <v>0</v>
      </c>
      <c r="H115" s="68">
        <f t="shared" si="6"/>
        <v>21506958.370000001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2331935.56</v>
      </c>
      <c r="D118" s="23" t="s">
        <v>288</v>
      </c>
      <c r="E118" s="73">
        <f>+('DOE25'!L282)+('DOE25'!L301)+('DOE25'!L320)</f>
        <v>520460.06000000006</v>
      </c>
      <c r="F118" s="23" t="s">
        <v>288</v>
      </c>
      <c r="G118" s="23" t="s">
        <v>288</v>
      </c>
      <c r="H118" s="13">
        <f t="shared" ref="H118:H145" si="7">SUM(C118:G118)</f>
        <v>2852395.62</v>
      </c>
    </row>
    <row r="119" spans="1:8" x14ac:dyDescent="0.2">
      <c r="A119" t="s">
        <v>208</v>
      </c>
      <c r="B119" s="31" t="s">
        <v>209</v>
      </c>
      <c r="C119" s="73">
        <f>('DOE25'!L204)+('DOE25'!L222)+('DOE25'!L240)</f>
        <v>1645932.1699999997</v>
      </c>
      <c r="D119" s="23" t="s">
        <v>288</v>
      </c>
      <c r="E119" s="73">
        <f>+('DOE25'!L283)+('DOE25'!L302)+('DOE25'!L321)</f>
        <v>256435.72999999998</v>
      </c>
      <c r="F119" s="23" t="s">
        <v>288</v>
      </c>
      <c r="G119" s="23" t="s">
        <v>288</v>
      </c>
      <c r="H119" s="13">
        <f t="shared" si="7"/>
        <v>1902367.8999999997</v>
      </c>
    </row>
    <row r="120" spans="1:8" x14ac:dyDescent="0.2">
      <c r="A120" t="s">
        <v>210</v>
      </c>
      <c r="B120" s="31" t="s">
        <v>211</v>
      </c>
      <c r="C120" s="73">
        <f>('DOE25'!L205)+('DOE25'!L223)+('DOE25'!L241)</f>
        <v>761881.0199999999</v>
      </c>
      <c r="D120" s="23" t="s">
        <v>288</v>
      </c>
      <c r="E120" s="73">
        <f>+('DOE25'!L284)+('DOE25'!L303)+('DOE25'!L322)</f>
        <v>19214.7</v>
      </c>
      <c r="F120" s="23" t="s">
        <v>288</v>
      </c>
      <c r="G120" s="23" t="s">
        <v>288</v>
      </c>
      <c r="H120" s="13">
        <f t="shared" si="7"/>
        <v>781095.71999999986</v>
      </c>
    </row>
    <row r="121" spans="1:8" x14ac:dyDescent="0.2">
      <c r="A121" t="s">
        <v>212</v>
      </c>
      <c r="B121" s="31" t="s">
        <v>213</v>
      </c>
      <c r="C121" s="73">
        <f>('DOE25'!L206)+('DOE25'!L224)+('DOE25'!L242)</f>
        <v>1782099.3200000003</v>
      </c>
      <c r="D121" s="23" t="s">
        <v>288</v>
      </c>
      <c r="E121" s="73">
        <f>+('DOE25'!L285)+('DOE25'!L304)+('DOE25'!L323)</f>
        <v>0</v>
      </c>
      <c r="F121" s="23" t="s">
        <v>288</v>
      </c>
      <c r="G121" s="23" t="s">
        <v>288</v>
      </c>
      <c r="H121" s="13">
        <f t="shared" si="7"/>
        <v>1782099.3200000003</v>
      </c>
    </row>
    <row r="122" spans="1:8" x14ac:dyDescent="0.2">
      <c r="A122" t="s">
        <v>214</v>
      </c>
      <c r="B122" s="31" t="s">
        <v>215</v>
      </c>
      <c r="C122" s="73">
        <f>('DOE25'!L207)+('DOE25'!L225)+('DOE25'!L243)</f>
        <v>451508.98</v>
      </c>
      <c r="D122" s="23" t="s">
        <v>288</v>
      </c>
      <c r="E122" s="73">
        <f>+('DOE25'!L286)+('DOE25'!L305)+('DOE25'!L324)</f>
        <v>23202.1</v>
      </c>
      <c r="F122" s="23" t="s">
        <v>288</v>
      </c>
      <c r="G122" s="23" t="s">
        <v>288</v>
      </c>
      <c r="H122" s="13">
        <f t="shared" si="7"/>
        <v>474711.07999999996</v>
      </c>
    </row>
    <row r="123" spans="1:8" x14ac:dyDescent="0.2">
      <c r="A123" t="s">
        <v>216</v>
      </c>
      <c r="B123" s="31" t="s">
        <v>217</v>
      </c>
      <c r="C123" s="73">
        <f>('DOE25'!L208)+('DOE25'!L226)+('DOE25'!L244)</f>
        <v>3347063.87</v>
      </c>
      <c r="D123" s="23" t="s">
        <v>288</v>
      </c>
      <c r="E123" s="73">
        <f>+('DOE25'!L287)+('DOE25'!L306)+('DOE25'!L325)</f>
        <v>260985.97</v>
      </c>
      <c r="F123" s="23" t="s">
        <v>288</v>
      </c>
      <c r="G123" s="23" t="s">
        <v>288</v>
      </c>
      <c r="H123" s="13">
        <f t="shared" si="7"/>
        <v>3608049.8400000003</v>
      </c>
    </row>
    <row r="124" spans="1:8" x14ac:dyDescent="0.2">
      <c r="A124" t="s">
        <v>218</v>
      </c>
      <c r="B124" s="31" t="s">
        <v>219</v>
      </c>
      <c r="C124" s="73">
        <f>('DOE25'!L209)+('DOE25'!L227)+('DOE25'!L245+'DOE25'!L255)</f>
        <v>1584217.85</v>
      </c>
      <c r="D124" s="23" t="s">
        <v>288</v>
      </c>
      <c r="E124" s="73">
        <f>+('DOE25'!L288)+('DOE25'!L307)+('DOE25'!L326)</f>
        <v>63130.450000000004</v>
      </c>
      <c r="F124" s="23" t="s">
        <v>288</v>
      </c>
      <c r="G124" s="23" t="s">
        <v>288</v>
      </c>
      <c r="H124" s="13">
        <f t="shared" si="7"/>
        <v>1647348.3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1011032.6</v>
      </c>
      <c r="E127" s="23" t="s">
        <v>288</v>
      </c>
      <c r="F127" s="23" t="s">
        <v>288</v>
      </c>
      <c r="G127" s="23" t="s">
        <v>288</v>
      </c>
      <c r="H127" s="13">
        <f t="shared" si="7"/>
        <v>1011032.6</v>
      </c>
    </row>
    <row r="128" spans="1:8" ht="12.75" thickTop="1" thickBot="1" x14ac:dyDescent="0.25">
      <c r="A128" s="32" t="s">
        <v>226</v>
      </c>
      <c r="C128" s="68">
        <f>SUM(C118:C127)</f>
        <v>11904638.769999998</v>
      </c>
      <c r="D128" s="68">
        <f>SUM(D118:D127)</f>
        <v>1011032.6</v>
      </c>
      <c r="E128" s="68">
        <f>SUM(E118:E127)</f>
        <v>1143429.01</v>
      </c>
      <c r="F128" s="68">
        <f>SUM(F118:F127)</f>
        <v>0</v>
      </c>
      <c r="G128" s="68">
        <f>SUM(G118:G127)</f>
        <v>0</v>
      </c>
      <c r="H128" s="68">
        <f t="shared" si="7"/>
        <v>14059100.379999997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166726.6</v>
      </c>
      <c r="D130" s="23" t="s">
        <v>288</v>
      </c>
      <c r="E130" s="92">
        <f>'DOE25'!L337</f>
        <v>254392.45</v>
      </c>
      <c r="F130" s="92">
        <f>SUM('DOE25'!L375:'DOE25'!L381)</f>
        <v>0</v>
      </c>
      <c r="G130" s="23" t="s">
        <v>288</v>
      </c>
      <c r="H130" s="13">
        <f t="shared" si="7"/>
        <v>421119.05000000005</v>
      </c>
    </row>
    <row r="131" spans="1:8" x14ac:dyDescent="0.2">
      <c r="A131" t="s">
        <v>229</v>
      </c>
      <c r="B131" s="31">
        <v>5110</v>
      </c>
      <c r="C131" s="73">
        <f>'DOE25'!L261</f>
        <v>100000</v>
      </c>
      <c r="D131" s="23" t="s">
        <v>288</v>
      </c>
      <c r="E131" s="92">
        <f>'DOE25'!L342</f>
        <v>0</v>
      </c>
      <c r="F131" s="23" t="s">
        <v>288</v>
      </c>
      <c r="G131" s="23" t="s">
        <v>288</v>
      </c>
      <c r="H131" s="13">
        <f t="shared" si="7"/>
        <v>100000</v>
      </c>
    </row>
    <row r="132" spans="1:8" x14ac:dyDescent="0.2">
      <c r="A132" t="s">
        <v>230</v>
      </c>
      <c r="B132" s="31">
        <v>5120</v>
      </c>
      <c r="C132" s="73">
        <f>'DOE25'!L262</f>
        <v>6900</v>
      </c>
      <c r="D132" s="23" t="s">
        <v>288</v>
      </c>
      <c r="E132" s="92">
        <f>'DOE25'!L343</f>
        <v>0</v>
      </c>
      <c r="F132" s="23" t="s">
        <v>288</v>
      </c>
      <c r="G132" s="23" t="s">
        <v>288</v>
      </c>
      <c r="H132" s="13">
        <f t="shared" si="7"/>
        <v>6900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27739.8</v>
      </c>
      <c r="F134" s="73">
        <f>'DOE25'!K382</f>
        <v>0</v>
      </c>
      <c r="G134" s="73">
        <f>'DOE25'!K435</f>
        <v>0</v>
      </c>
      <c r="H134" s="13">
        <f t="shared" si="7"/>
        <v>27739.8</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525763.51</v>
      </c>
      <c r="D139" s="23" t="s">
        <v>288</v>
      </c>
      <c r="E139" s="23" t="s">
        <v>288</v>
      </c>
      <c r="F139" s="23" t="s">
        <v>288</v>
      </c>
      <c r="G139" s="23" t="s">
        <v>288</v>
      </c>
      <c r="H139" s="13">
        <f t="shared" si="7"/>
        <v>525763.51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-25763.510000000009</v>
      </c>
      <c r="D141" s="23" t="s">
        <v>288</v>
      </c>
      <c r="E141" s="23" t="s">
        <v>288</v>
      </c>
      <c r="F141" s="23" t="s">
        <v>288</v>
      </c>
      <c r="G141" s="23" t="s">
        <v>288</v>
      </c>
      <c r="H141" s="13">
        <f t="shared" si="7"/>
        <v>-25763.510000000009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773626.6</v>
      </c>
      <c r="D144" s="98">
        <f>SUM(D130:D143)</f>
        <v>0</v>
      </c>
      <c r="E144" s="98">
        <f>SUM(E130:E143)</f>
        <v>282132.25</v>
      </c>
      <c r="F144" s="98">
        <f>SUM(F130:F143)</f>
        <v>0</v>
      </c>
      <c r="G144" s="98">
        <f>SUM(G130:G143)</f>
        <v>0</v>
      </c>
      <c r="H144" s="98">
        <f t="shared" si="7"/>
        <v>1055758.8500000001</v>
      </c>
    </row>
    <row r="145" spans="1:9" ht="12.75" thickTop="1" thickBot="1" x14ac:dyDescent="0.25">
      <c r="A145" s="32" t="s">
        <v>244</v>
      </c>
      <c r="C145" s="68">
        <f>(C115+C128+C144)</f>
        <v>32313537.049999997</v>
      </c>
      <c r="D145" s="68">
        <f>(D115+D128+D144)</f>
        <v>1011032.6</v>
      </c>
      <c r="E145" s="68">
        <f>(E115+E128+E144)</f>
        <v>3297247.95</v>
      </c>
      <c r="F145" s="68">
        <f>(F115+F128+F144)</f>
        <v>0</v>
      </c>
      <c r="G145" s="68">
        <f>(G115+G128+G144)</f>
        <v>0</v>
      </c>
      <c r="H145" s="68">
        <f t="shared" si="7"/>
        <v>36621817.600000001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5</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2000000</v>
      </c>
      <c r="C154" s="19">
        <f>'DOE25'!G494</f>
        <v>44686</v>
      </c>
      <c r="D154" s="19">
        <f>'DOE25'!H494</f>
        <v>0</v>
      </c>
      <c r="E154" s="19">
        <f>'DOE25'!I494</f>
        <v>0</v>
      </c>
      <c r="F154" s="19">
        <f>'DOE25'!J494</f>
        <v>0</v>
      </c>
      <c r="G154" s="23" t="s">
        <v>288</v>
      </c>
    </row>
    <row r="155" spans="1:9" x14ac:dyDescent="0.2">
      <c r="A155" s="21" t="s">
        <v>31</v>
      </c>
      <c r="B155" s="19">
        <f>'DOE25'!F495</f>
        <v>3.99</v>
      </c>
      <c r="C155" s="19">
        <f>'DOE25'!G495</f>
        <v>5.25</v>
      </c>
      <c r="D155" s="19">
        <f>'DOE25'!H495</f>
        <v>0</v>
      </c>
      <c r="E155" s="19">
        <f>'DOE25'!I495</f>
        <v>0</v>
      </c>
      <c r="F155" s="19">
        <f>'DOE25'!J495</f>
        <v>0</v>
      </c>
      <c r="G155" s="23" t="s">
        <v>288</v>
      </c>
    </row>
    <row r="156" spans="1:9" x14ac:dyDescent="0.2">
      <c r="A156" s="21" t="s">
        <v>32</v>
      </c>
      <c r="B156" s="19">
        <f>'DOE25'!F496</f>
        <v>300000</v>
      </c>
      <c r="C156" s="19">
        <f>'DOE25'!G496</f>
        <v>18788</v>
      </c>
      <c r="D156" s="19">
        <f>'DOE25'!H496</f>
        <v>0</v>
      </c>
      <c r="E156" s="19">
        <f>'DOE25'!I496</f>
        <v>0</v>
      </c>
      <c r="F156" s="19">
        <f>'DOE25'!J496</f>
        <v>0</v>
      </c>
      <c r="G156" s="96">
        <f>SUM(B156:F156)</f>
        <v>318788</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100000</v>
      </c>
      <c r="C158" s="19">
        <f>'DOE25'!G498</f>
        <v>9154</v>
      </c>
      <c r="D158" s="19">
        <f>'DOE25'!H498</f>
        <v>0</v>
      </c>
      <c r="E158" s="19">
        <f>'DOE25'!I498</f>
        <v>0</v>
      </c>
      <c r="F158" s="19">
        <f>'DOE25'!J498</f>
        <v>0</v>
      </c>
      <c r="G158" s="96">
        <f t="shared" si="8"/>
        <v>109154</v>
      </c>
    </row>
    <row r="159" spans="1:9" x14ac:dyDescent="0.2">
      <c r="A159" s="21" t="s">
        <v>35</v>
      </c>
      <c r="B159" s="19">
        <f>'DOE25'!F499</f>
        <v>200000</v>
      </c>
      <c r="C159" s="19">
        <f>'DOE25'!G499</f>
        <v>9634</v>
      </c>
      <c r="D159" s="19">
        <f>'DOE25'!H499</f>
        <v>0</v>
      </c>
      <c r="E159" s="19">
        <f>'DOE25'!I499</f>
        <v>0</v>
      </c>
      <c r="F159" s="19">
        <f>'DOE25'!J499</f>
        <v>0</v>
      </c>
      <c r="G159" s="96">
        <f t="shared" si="8"/>
        <v>209634</v>
      </c>
    </row>
    <row r="160" spans="1:9" x14ac:dyDescent="0.2">
      <c r="A160" s="21" t="s">
        <v>36</v>
      </c>
      <c r="B160" s="19">
        <f>'DOE25'!F500</f>
        <v>8750</v>
      </c>
      <c r="C160" s="19">
        <f>'DOE25'!G500</f>
        <v>506</v>
      </c>
      <c r="D160" s="19">
        <f>'DOE25'!H500</f>
        <v>0</v>
      </c>
      <c r="E160" s="19">
        <f>'DOE25'!I500</f>
        <v>0</v>
      </c>
      <c r="F160" s="19">
        <f>'DOE25'!J500</f>
        <v>0</v>
      </c>
      <c r="G160" s="96">
        <f t="shared" si="8"/>
        <v>9256</v>
      </c>
    </row>
    <row r="161" spans="1:7" x14ac:dyDescent="0.2">
      <c r="A161" s="21" t="s">
        <v>37</v>
      </c>
      <c r="B161" s="19">
        <f>'DOE25'!F501</f>
        <v>208750</v>
      </c>
      <c r="C161" s="19">
        <f>'DOE25'!G501</f>
        <v>10140</v>
      </c>
      <c r="D161" s="19">
        <f>'DOE25'!H501</f>
        <v>0</v>
      </c>
      <c r="E161" s="19">
        <f>'DOE25'!I501</f>
        <v>0</v>
      </c>
      <c r="F161" s="19">
        <f>'DOE25'!J501</f>
        <v>0</v>
      </c>
      <c r="G161" s="96">
        <f t="shared" si="8"/>
        <v>218890</v>
      </c>
    </row>
    <row r="162" spans="1:7" x14ac:dyDescent="0.2">
      <c r="A162" s="21" t="s">
        <v>38</v>
      </c>
      <c r="B162" s="19">
        <f>'DOE25'!F502</f>
        <v>100000</v>
      </c>
      <c r="C162" s="19">
        <f>'DOE25'!G502</f>
        <v>9634</v>
      </c>
      <c r="D162" s="19">
        <f>'DOE25'!H502</f>
        <v>0</v>
      </c>
      <c r="E162" s="19">
        <f>'DOE25'!I502</f>
        <v>0</v>
      </c>
      <c r="F162" s="19">
        <f>'DOE25'!J502</f>
        <v>0</v>
      </c>
      <c r="G162" s="96">
        <f t="shared" si="8"/>
        <v>109634</v>
      </c>
    </row>
    <row r="163" spans="1:7" x14ac:dyDescent="0.2">
      <c r="A163" s="21" t="s">
        <v>39</v>
      </c>
      <c r="B163" s="19">
        <f>'DOE25'!F503</f>
        <v>6562.5</v>
      </c>
      <c r="C163" s="19">
        <f>'DOE25'!G503</f>
        <v>506</v>
      </c>
      <c r="D163" s="19">
        <f>'DOE25'!H503</f>
        <v>0</v>
      </c>
      <c r="E163" s="19">
        <f>'DOE25'!I503</f>
        <v>0</v>
      </c>
      <c r="F163" s="19">
        <f>'DOE25'!J503</f>
        <v>0</v>
      </c>
      <c r="G163" s="96">
        <f t="shared" si="8"/>
        <v>7068.5</v>
      </c>
    </row>
    <row r="164" spans="1:7" x14ac:dyDescent="0.2">
      <c r="A164" s="21" t="s">
        <v>246</v>
      </c>
      <c r="B164" s="19">
        <f>'DOE25'!F504</f>
        <v>106562.5</v>
      </c>
      <c r="C164" s="19">
        <f>'DOE25'!G504</f>
        <v>10140</v>
      </c>
      <c r="D164" s="19">
        <f>'DOE25'!H504</f>
        <v>0</v>
      </c>
      <c r="E164" s="19">
        <f>'DOE25'!I504</f>
        <v>0</v>
      </c>
      <c r="F164" s="19">
        <f>'DOE25'!J504</f>
        <v>0</v>
      </c>
      <c r="G164" s="96">
        <f t="shared" si="8"/>
        <v>116702.5</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Fall Mountain Regional</v>
      </c>
    </row>
    <row r="3" spans="1:4" x14ac:dyDescent="0.2">
      <c r="B3" s="137" t="s">
        <v>1799</v>
      </c>
    </row>
    <row r="4" spans="1:4" x14ac:dyDescent="0.2">
      <c r="B4" t="s">
        <v>61</v>
      </c>
      <c r="C4" s="129">
        <f>IF('DOE25'!F666+'DOE25'!F671=0,0,ROUND('DOE25'!F673,0))</f>
        <v>24264</v>
      </c>
    </row>
    <row r="5" spans="1:4" x14ac:dyDescent="0.2">
      <c r="B5" t="s">
        <v>700</v>
      </c>
      <c r="C5" s="129">
        <f>IF('DOE25'!G666+'DOE25'!G671=0,0,ROUND('DOE25'!G673,0))</f>
        <v>0</v>
      </c>
    </row>
    <row r="6" spans="1:4" x14ac:dyDescent="0.2">
      <c r="B6" t="s">
        <v>62</v>
      </c>
      <c r="C6" s="129">
        <f>IF('DOE25'!H666+'DOE25'!H671=0,0,ROUND('DOE25'!H673,0))</f>
        <v>21135</v>
      </c>
    </row>
    <row r="7" spans="1:4" x14ac:dyDescent="0.2">
      <c r="B7" t="s">
        <v>701</v>
      </c>
      <c r="C7" s="129">
        <f>IF('DOE25'!I666+'DOE25'!I671=0,0,ROUND('DOE25'!I673,0))</f>
        <v>23187</v>
      </c>
    </row>
    <row r="9" spans="1:4" x14ac:dyDescent="0.2">
      <c r="A9" s="136" t="s">
        <v>94</v>
      </c>
      <c r="B9" s="137" t="s">
        <v>1800</v>
      </c>
      <c r="C9" s="131" t="s">
        <v>720</v>
      </c>
      <c r="D9" s="131" t="s">
        <v>721</v>
      </c>
    </row>
    <row r="10" spans="1:4" x14ac:dyDescent="0.2">
      <c r="A10">
        <v>1100</v>
      </c>
      <c r="B10" t="s">
        <v>702</v>
      </c>
      <c r="C10" s="129">
        <f>ROUND('DOE25'!L198+'DOE25'!L216+'DOE25'!L234+'DOE25'!L277+'DOE25'!L296+'DOE25'!L315,0)</f>
        <v>12643304</v>
      </c>
      <c r="D10" s="132">
        <f>ROUND((C10/$C$28)*100,1)</f>
        <v>35.799999999999997</v>
      </c>
    </row>
    <row r="11" spans="1:4" x14ac:dyDescent="0.2">
      <c r="A11">
        <v>1200</v>
      </c>
      <c r="B11" t="s">
        <v>703</v>
      </c>
      <c r="C11" s="129">
        <f>ROUND('DOE25'!L199+'DOE25'!L217+'DOE25'!L235+'DOE25'!L278+'DOE25'!L297+'DOE25'!L316,0)</f>
        <v>7431591</v>
      </c>
      <c r="D11" s="132">
        <f>ROUND((C11/$C$28)*100,1)</f>
        <v>21.1</v>
      </c>
    </row>
    <row r="12" spans="1:4" x14ac:dyDescent="0.2">
      <c r="A12">
        <v>1300</v>
      </c>
      <c r="B12" t="s">
        <v>704</v>
      </c>
      <c r="C12" s="129">
        <f>ROUND('DOE25'!L200+'DOE25'!L218+'DOE25'!L236+'DOE25'!L279+'DOE25'!L298+'DOE25'!L317,0)</f>
        <v>883714</v>
      </c>
      <c r="D12" s="132">
        <f>ROUND((C12/$C$28)*100,1)</f>
        <v>2.5</v>
      </c>
    </row>
    <row r="13" spans="1:4" x14ac:dyDescent="0.2">
      <c r="A13">
        <v>1400</v>
      </c>
      <c r="B13" t="s">
        <v>705</v>
      </c>
      <c r="C13" s="129">
        <f>ROUND('DOE25'!L201+'DOE25'!L219+'DOE25'!L237+'DOE25'!L280+'DOE25'!L299+'DOE25'!L318,0)</f>
        <v>548350</v>
      </c>
      <c r="D13" s="132">
        <f>ROUND((C13/$C$28)*100,1)</f>
        <v>1.6</v>
      </c>
    </row>
    <row r="14" spans="1:4" x14ac:dyDescent="0.2">
      <c r="D14" s="132"/>
    </row>
    <row r="15" spans="1:4" x14ac:dyDescent="0.2">
      <c r="A15">
        <v>2100</v>
      </c>
      <c r="B15" t="s">
        <v>706</v>
      </c>
      <c r="C15" s="129">
        <f>ROUND('DOE25'!L203+'DOE25'!L221+'DOE25'!L239+'DOE25'!L282+'DOE25'!L301+'DOE25'!L320,0)</f>
        <v>2852396</v>
      </c>
      <c r="D15" s="132">
        <f t="shared" ref="D15:D27" si="0">ROUND((C15/$C$28)*100,1)</f>
        <v>8.1</v>
      </c>
    </row>
    <row r="16" spans="1:4" x14ac:dyDescent="0.2">
      <c r="A16">
        <v>2200</v>
      </c>
      <c r="B16" t="s">
        <v>707</v>
      </c>
      <c r="C16" s="129">
        <f>ROUND('DOE25'!L204+'DOE25'!L222+'DOE25'!L240+'DOE25'!L283+'DOE25'!L302+'DOE25'!L321,0)</f>
        <v>1902368</v>
      </c>
      <c r="D16" s="132">
        <f t="shared" si="0"/>
        <v>5.4</v>
      </c>
    </row>
    <row r="17" spans="1:4" x14ac:dyDescent="0.2">
      <c r="A17" s="133" t="s">
        <v>723</v>
      </c>
      <c r="B17" t="s">
        <v>738</v>
      </c>
      <c r="C17" s="129">
        <f>ROUND('DOE25'!L205+'DOE25'!L210+'DOE25'!L223+'DOE25'!L228+'DOE25'!L241+'DOE25'!L246+'DOE25'!L284+'DOE25'!L289+'DOE25'!L303+'DOE25'!L308+'DOE25'!L322+'DOE25'!L327,0)</f>
        <v>781096</v>
      </c>
      <c r="D17" s="132">
        <f t="shared" si="0"/>
        <v>2.2000000000000002</v>
      </c>
    </row>
    <row r="18" spans="1:4" x14ac:dyDescent="0.2">
      <c r="A18">
        <v>2400</v>
      </c>
      <c r="B18" t="s">
        <v>711</v>
      </c>
      <c r="C18" s="129">
        <f>ROUND('DOE25'!L206+'DOE25'!L224+'DOE25'!L242+'DOE25'!L285+'DOE25'!L304+'DOE25'!L323,0)</f>
        <v>1782099</v>
      </c>
      <c r="D18" s="132">
        <f t="shared" si="0"/>
        <v>5.0999999999999996</v>
      </c>
    </row>
    <row r="19" spans="1:4" x14ac:dyDescent="0.2">
      <c r="A19">
        <v>2500</v>
      </c>
      <c r="B19" t="s">
        <v>708</v>
      </c>
      <c r="C19" s="129">
        <f>ROUND('DOE25'!L207+'DOE25'!L225+'DOE25'!L243+'DOE25'!L286+'DOE25'!L305+'DOE25'!L324,0)</f>
        <v>474711</v>
      </c>
      <c r="D19" s="132">
        <f t="shared" si="0"/>
        <v>1.3</v>
      </c>
    </row>
    <row r="20" spans="1:4" x14ac:dyDescent="0.2">
      <c r="A20">
        <v>2600</v>
      </c>
      <c r="B20" t="s">
        <v>709</v>
      </c>
      <c r="C20" s="129">
        <f>ROUND('DOE25'!L208+'DOE25'!L226+'DOE25'!L244+'DOE25'!L287+'DOE25'!L306+'DOE25'!L325,0)</f>
        <v>3608050</v>
      </c>
      <c r="D20" s="132">
        <f t="shared" si="0"/>
        <v>10.199999999999999</v>
      </c>
    </row>
    <row r="21" spans="1:4" x14ac:dyDescent="0.2">
      <c r="A21">
        <v>2700</v>
      </c>
      <c r="B21" t="s">
        <v>710</v>
      </c>
      <c r="C21" s="129">
        <f>ROUND('DOE25'!L209+'DOE25'!L227+'DOE25'!L245+'DOE25'!L288+'DOE25'!L307+'DOE25'!L326,0)</f>
        <v>1647348</v>
      </c>
      <c r="D21" s="132">
        <f t="shared" si="0"/>
        <v>4.7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6900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719225</v>
      </c>
      <c r="D27" s="132">
        <f t="shared" si="0"/>
        <v>2</v>
      </c>
    </row>
    <row r="28" spans="1:4" x14ac:dyDescent="0.2">
      <c r="B28" s="136" t="s">
        <v>719</v>
      </c>
      <c r="C28" s="130">
        <f>SUM(C10:C27)</f>
        <v>35281152</v>
      </c>
      <c r="D28" s="134">
        <f>ROUND(SUM(D10:D27),0)</f>
        <v>100</v>
      </c>
    </row>
    <row r="29" spans="1:4" x14ac:dyDescent="0.2">
      <c r="A29">
        <v>4000</v>
      </c>
      <c r="B29" t="s">
        <v>724</v>
      </c>
      <c r="C29" s="129">
        <f>ROUND('DOE25'!L256+'DOE25'!L337+'DOE25'!L375+'DOE25'!L376+'DOE25'!L377+'DOE25'!L378+'DOE25'!L379+'DOE25'!L380+'DOE25'!L381,0)</f>
        <v>421119</v>
      </c>
    </row>
    <row r="30" spans="1:4" x14ac:dyDescent="0.2">
      <c r="B30" s="136" t="s">
        <v>725</v>
      </c>
      <c r="C30" s="130">
        <f>SUM(C28:C29)</f>
        <v>35702271</v>
      </c>
    </row>
    <row r="31" spans="1:4" x14ac:dyDescent="0.2">
      <c r="B31" s="32"/>
      <c r="C31" s="130"/>
    </row>
    <row r="32" spans="1:4" x14ac:dyDescent="0.2">
      <c r="A32">
        <v>5100</v>
      </c>
      <c r="B32" s="32" t="s">
        <v>726</v>
      </c>
      <c r="C32" s="130">
        <f>ROUND('DOE25'!L261+'DOE25'!L342,0)</f>
        <v>100000</v>
      </c>
    </row>
    <row r="34" spans="1:4" x14ac:dyDescent="0.2">
      <c r="A34" s="136" t="s">
        <v>94</v>
      </c>
      <c r="B34" s="137" t="s">
        <v>1801</v>
      </c>
      <c r="C34" s="131" t="s">
        <v>720</v>
      </c>
      <c r="D34" s="131" t="s">
        <v>721</v>
      </c>
    </row>
    <row r="35" spans="1:4" x14ac:dyDescent="0.2">
      <c r="A35">
        <v>1100</v>
      </c>
      <c r="B35" s="71" t="s">
        <v>727</v>
      </c>
      <c r="C35" s="129">
        <f>ROUND('DOE25'!F60+'DOE25'!G60+'DOE25'!H60+'DOE25'!I60+'DOE25'!J60,0)</f>
        <v>19474827</v>
      </c>
      <c r="D35" s="132">
        <f t="shared" ref="D35:D40" si="1">ROUND((C35/$C$41)*100,1)</f>
        <v>53.7</v>
      </c>
    </row>
    <row r="36" spans="1:4" x14ac:dyDescent="0.2">
      <c r="B36" s="71" t="s">
        <v>739</v>
      </c>
      <c r="C36" s="129">
        <f>SUM('DOE25'!F112:J112)-SUM('DOE25'!G97:G110)+('DOE25'!F175+'DOE25'!F176+'DOE25'!I175+'DOE25'!I176)-C35</f>
        <v>1765651.5900000036</v>
      </c>
      <c r="D36" s="132">
        <f t="shared" si="1"/>
        <v>4.9000000000000004</v>
      </c>
    </row>
    <row r="37" spans="1:4" x14ac:dyDescent="0.2">
      <c r="A37" s="133" t="s">
        <v>834</v>
      </c>
      <c r="B37" s="71" t="s">
        <v>728</v>
      </c>
      <c r="C37" s="129">
        <f>ROUND('DOE25'!F117+'DOE25'!F118,0)</f>
        <v>11167253</v>
      </c>
      <c r="D37" s="132">
        <f t="shared" si="1"/>
        <v>30.8</v>
      </c>
    </row>
    <row r="38" spans="1:4" x14ac:dyDescent="0.2">
      <c r="A38" s="133" t="s">
        <v>734</v>
      </c>
      <c r="B38" s="71" t="s">
        <v>729</v>
      </c>
      <c r="C38" s="129">
        <f>ROUND(SUM('DOE25'!F140:J140)-SUM('DOE25'!F117:F119),0)</f>
        <v>493908</v>
      </c>
      <c r="D38" s="132">
        <f t="shared" si="1"/>
        <v>1.4</v>
      </c>
    </row>
    <row r="39" spans="1:4" x14ac:dyDescent="0.2">
      <c r="A39">
        <v>4000</v>
      </c>
      <c r="B39" s="71" t="s">
        <v>730</v>
      </c>
      <c r="C39" s="129">
        <f>ROUND('DOE25'!F170+'DOE25'!G170+'DOE25'!H170+'DOE25'!I170,0)</f>
        <v>3357772</v>
      </c>
      <c r="D39" s="132">
        <f t="shared" si="1"/>
        <v>9.3000000000000007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36259411.590000004</v>
      </c>
      <c r="D41" s="134">
        <f>SUM(D35:D40)</f>
        <v>100.10000000000001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0" sqref="C30:M30"/>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Fall Mountain Regional</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5</v>
      </c>
      <c r="B4" s="150">
        <v>20</v>
      </c>
      <c r="C4" s="327" t="s">
        <v>1812</v>
      </c>
      <c r="D4" s="327"/>
      <c r="E4" s="327"/>
      <c r="F4" s="327"/>
      <c r="G4" s="327"/>
      <c r="H4" s="327"/>
      <c r="I4" s="327"/>
      <c r="J4" s="327"/>
      <c r="K4" s="327"/>
      <c r="L4" s="327"/>
      <c r="M4" s="329"/>
    </row>
    <row r="5" spans="1:13" x14ac:dyDescent="0.2">
      <c r="A5" s="159"/>
      <c r="B5" s="150"/>
      <c r="C5" s="327" t="s">
        <v>1813</v>
      </c>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v>3</v>
      </c>
      <c r="B7" s="150">
        <v>12</v>
      </c>
      <c r="C7" s="327" t="s">
        <v>1814</v>
      </c>
      <c r="D7" s="327"/>
      <c r="E7" s="327"/>
      <c r="F7" s="327"/>
      <c r="G7" s="327"/>
      <c r="H7" s="327"/>
      <c r="I7" s="327"/>
      <c r="J7" s="327"/>
      <c r="K7" s="327"/>
      <c r="L7" s="327"/>
      <c r="M7" s="329"/>
    </row>
    <row r="8" spans="1:13" x14ac:dyDescent="0.2">
      <c r="A8" s="159"/>
      <c r="B8" s="150"/>
      <c r="C8" s="327" t="s">
        <v>1815</v>
      </c>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v>5</v>
      </c>
      <c r="B10" s="150">
        <v>11</v>
      </c>
      <c r="C10" s="327" t="s">
        <v>1816</v>
      </c>
      <c r="D10" s="327"/>
      <c r="E10" s="327"/>
      <c r="F10" s="327"/>
      <c r="G10" s="327"/>
      <c r="H10" s="327"/>
      <c r="I10" s="327"/>
      <c r="J10" s="327"/>
      <c r="K10" s="327"/>
      <c r="L10" s="327"/>
      <c r="M10" s="329"/>
    </row>
    <row r="11" spans="1:13" x14ac:dyDescent="0.2">
      <c r="A11" s="159"/>
      <c r="B11" s="150"/>
      <c r="C11" s="327" t="s">
        <v>1817</v>
      </c>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v>21</v>
      </c>
      <c r="B13" s="150" t="s">
        <v>1819</v>
      </c>
      <c r="C13" s="327" t="s">
        <v>1820</v>
      </c>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v>21</v>
      </c>
      <c r="B15" s="150">
        <v>12</v>
      </c>
      <c r="C15" s="327" t="s">
        <v>1821</v>
      </c>
      <c r="D15" s="327"/>
      <c r="E15" s="327"/>
      <c r="F15" s="327"/>
      <c r="G15" s="327"/>
      <c r="H15" s="327"/>
      <c r="I15" s="327"/>
      <c r="J15" s="327"/>
      <c r="K15" s="327"/>
      <c r="L15" s="327"/>
      <c r="M15" s="329"/>
    </row>
    <row r="16" spans="1:13" x14ac:dyDescent="0.2">
      <c r="A16" s="159"/>
      <c r="B16" s="150"/>
      <c r="C16" s="327" t="s">
        <v>1822</v>
      </c>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19</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f>IF('School Level Expenditures'!$B$2=A5,'School Tables'!H5,"")</f>
        <v>2</v>
      </c>
      <c r="J5" s="282">
        <f>IFERROR(SMALL($I$4:$I$325,ROWS($I$4:I5)),"")</f>
        <v>5</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41</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42</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f>IF('School Level Expenditures'!$B$2=A8,'School Tables'!H8,"")</f>
        <v>5</v>
      </c>
      <c r="J8" s="282">
        <f>IFERROR(SMALL($I$4:$I$325,ROWS($I$4:I8)),"")</f>
        <v>84</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f>IFERROR(SMALL($I$4:$I$325,ROWS($I$4:I9)),"")</f>
        <v>203</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f>IFERROR(SMALL($I$4:$I$325,ROWS($I$4:I10)),"")</f>
        <v>218</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f>IFERROR(SMALL($I$4:$I$325,ROWS($I$4:I11)),"")</f>
        <v>265</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f>IFERROR(SMALL($I$4:$I$325,ROWS($I$4:I12)),"")</f>
        <v>299</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f>IFERROR(SMALL($I$4:$I$325,ROWS($I$4:I13)),"")</f>
        <v>301</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f>IFERROR(SMALL($I$4:$I$325,ROWS($I$4:I14)),"")</f>
        <v>302</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f>IF('School Level Expenditures'!$B$2='School Tables'!W22,'School Tables'!AD22,"")</f>
        <v>19</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f>IF('School Level Expenditures'!$B$2=A44,'School Tables'!H44,"")</f>
        <v>41</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f>IF('School Level Expenditures'!$B$2=A45,'School Tables'!H45,"")</f>
        <v>42</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f>IF('School Level Expenditures'!$B$2=A87,'School Tables'!H87,"")</f>
        <v>84</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f>IF('School Level Expenditures'!$B$2=A206,'School Tables'!H206,"")</f>
        <v>203</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f>IF('School Level Expenditures'!$B$2=A221,'School Tables'!H221,"")</f>
        <v>218</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f>IF('School Level Expenditures'!$B$2=A268,'School Tables'!H268,"")</f>
        <v>265</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f>IF('School Level Expenditures'!$B$2=A302,'School Tables'!H302,"")</f>
        <v>299</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f>IF('School Level Expenditures'!$B$2=A304,'School Tables'!H304,"")</f>
        <v>301</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f>IF('School Level Expenditures'!$B$2=A305,'School Tables'!H305,"")</f>
        <v>302</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2023-12-28T16:47:02Z</dcterms:modified>
</cp:coreProperties>
</file>