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4CDC985-54AE-4EFF-B545-02BC758ADE3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7" l="1"/>
  <c r="E17" i="17"/>
  <c r="E9" i="17"/>
  <c r="E37" i="14" l="1"/>
  <c r="D37" i="14"/>
  <c r="E38" i="14"/>
  <c r="E5" i="14"/>
  <c r="D5" i="14"/>
  <c r="E6" i="14"/>
  <c r="E7" i="14"/>
  <c r="F31" i="13" l="1"/>
  <c r="F5" i="13"/>
  <c r="F15" i="13" l="1"/>
  <c r="F6" i="13"/>
  <c r="B19" i="12" l="1"/>
  <c r="C20" i="12"/>
  <c r="C21" i="12" l="1"/>
  <c r="B21" i="12"/>
  <c r="C12" i="12" l="1"/>
  <c r="I565" i="1" l="1"/>
  <c r="I563" i="1"/>
  <c r="H563" i="1"/>
  <c r="H565" i="1" s="1"/>
  <c r="G563" i="1"/>
  <c r="G565" i="1" s="1"/>
  <c r="F563" i="1"/>
  <c r="F565" i="1" s="1"/>
  <c r="G320" i="1"/>
  <c r="H473" i="1"/>
  <c r="G361" i="1" l="1"/>
  <c r="G359" i="1"/>
  <c r="F361" i="1"/>
  <c r="F359" i="1"/>
  <c r="G473" i="1"/>
  <c r="G469" i="1"/>
  <c r="H469" i="1" l="1"/>
  <c r="H102" i="1"/>
  <c r="H598" i="1"/>
  <c r="H592" i="1"/>
  <c r="J592" i="1" s="1"/>
  <c r="J469" i="1" l="1"/>
  <c r="H110" i="1" l="1"/>
  <c r="H48" i="1"/>
  <c r="H22" i="1"/>
  <c r="H30" i="1"/>
  <c r="H24" i="1"/>
  <c r="H13" i="1"/>
  <c r="H583" i="1" l="1"/>
  <c r="J598" i="1"/>
  <c r="J593" i="1"/>
  <c r="H593" i="1"/>
  <c r="G612" i="1"/>
  <c r="G614" i="1"/>
  <c r="F612" i="1"/>
  <c r="G500" i="1"/>
  <c r="F500" i="1"/>
  <c r="G499" i="1"/>
  <c r="F499" i="1"/>
  <c r="H369" i="1" l="1"/>
  <c r="F369" i="1"/>
  <c r="H368" i="1"/>
  <c r="F368" i="1"/>
  <c r="I361" i="1"/>
  <c r="K359" i="1"/>
  <c r="K361" i="1" s="1"/>
  <c r="J361" i="1"/>
  <c r="J359" i="1"/>
  <c r="I359" i="1"/>
  <c r="H359" i="1"/>
  <c r="H361" i="1" s="1"/>
  <c r="G97" i="1" l="1"/>
  <c r="G158" i="1"/>
  <c r="G132" i="1"/>
  <c r="G9" i="1"/>
  <c r="G24" i="1"/>
  <c r="F466" i="1"/>
  <c r="F110" i="1"/>
  <c r="F13" i="1" l="1"/>
  <c r="F29" i="1" l="1"/>
  <c r="F24"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H653" i="1"/>
  <c r="G654" i="1"/>
  <c r="H654" i="1"/>
  <c r="H655" i="1"/>
  <c r="H656" i="1"/>
  <c r="I170" i="1"/>
  <c r="G409" i="1" l="1"/>
  <c r="H646" i="1" s="1"/>
  <c r="H137" i="2"/>
  <c r="H102" i="2"/>
  <c r="H100" i="2"/>
  <c r="H98" i="2"/>
  <c r="H73" i="2"/>
  <c r="H11" i="2"/>
  <c r="H135" i="2"/>
  <c r="H143" i="2"/>
  <c r="H38" i="2"/>
  <c r="H43" i="2"/>
  <c r="G646" i="1"/>
  <c r="E112" i="2"/>
  <c r="H89" i="2"/>
  <c r="H72" i="2"/>
  <c r="H59" i="2"/>
  <c r="H34" i="2"/>
  <c r="H94" i="2"/>
  <c r="H27" i="2"/>
  <c r="H24" i="2"/>
  <c r="H12" i="2"/>
  <c r="D18" i="13"/>
  <c r="C18" i="13" s="1"/>
  <c r="H101" i="2"/>
  <c r="H99" i="2"/>
  <c r="H79" i="2"/>
  <c r="H58" i="2"/>
  <c r="H113" i="2"/>
  <c r="H132" i="2"/>
  <c r="H36" i="2"/>
  <c r="H42" i="2"/>
  <c r="H44" i="2"/>
  <c r="H87" i="2"/>
  <c r="H26" i="2"/>
  <c r="H22" i="2"/>
  <c r="J112" i="1"/>
  <c r="H96" i="2"/>
  <c r="I409" i="1"/>
  <c r="H35" i="2"/>
  <c r="H30" i="2"/>
  <c r="H13" i="2"/>
  <c r="H9" i="2"/>
  <c r="H48" i="2"/>
  <c r="H112" i="2"/>
  <c r="E125" i="2"/>
  <c r="H125" i="2" s="1"/>
  <c r="E121" i="2"/>
  <c r="H97" i="2"/>
  <c r="H76" i="2"/>
  <c r="H477" i="1"/>
  <c r="H625" i="1" s="1"/>
  <c r="J625" i="1" s="1"/>
  <c r="H61" i="2"/>
  <c r="E111" i="2"/>
  <c r="A40" i="12"/>
  <c r="C12" i="10"/>
  <c r="J652" i="1"/>
  <c r="D144" i="2"/>
  <c r="G662" i="1"/>
  <c r="D29" i="13"/>
  <c r="C29" i="13" s="1"/>
  <c r="L2" i="14"/>
  <c r="L3" i="14" s="1"/>
  <c r="C120" i="2"/>
  <c r="H120" i="2" s="1"/>
  <c r="M2" i="14"/>
  <c r="M3" i="14" s="1"/>
  <c r="C121" i="2"/>
  <c r="N2" i="14"/>
  <c r="N3" i="14" s="1"/>
  <c r="D15" i="13"/>
  <c r="C15" i="13" s="1"/>
  <c r="K2" i="14"/>
  <c r="K3" i="14" s="1"/>
  <c r="D78" i="2"/>
  <c r="H77" i="2"/>
  <c r="H47" i="2"/>
  <c r="H29" i="2"/>
  <c r="H23" i="2"/>
  <c r="H8" i="2"/>
  <c r="G477" i="1"/>
  <c r="B33" i="16"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G24" i="14"/>
  <c r="H24" i="14" s="1"/>
  <c r="I24" i="14" s="1"/>
  <c r="H111" i="2"/>
  <c r="H21" i="2"/>
  <c r="H85" i="2"/>
  <c r="H57" i="2"/>
  <c r="H134" i="2"/>
  <c r="H78" i="2"/>
  <c r="H16" i="2"/>
  <c r="H121" i="2"/>
  <c r="H118" i="2"/>
  <c r="H122" i="2"/>
  <c r="H103" i="2"/>
  <c r="H91" i="2"/>
  <c r="H123" i="2"/>
  <c r="E128" i="2"/>
  <c r="I662" i="1"/>
  <c r="D128" i="2"/>
  <c r="D145" i="2" s="1"/>
  <c r="H127" i="2"/>
  <c r="H62" i="2"/>
  <c r="D51" i="2"/>
  <c r="H18" i="2"/>
  <c r="F194" i="1"/>
  <c r="C81" i="2"/>
  <c r="H81" i="2" s="1"/>
  <c r="H50" i="2"/>
  <c r="H31" i="2"/>
  <c r="E5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H128" i="2"/>
  <c r="C104" i="2"/>
  <c r="H104" i="2" s="1"/>
  <c r="H63" i="2"/>
  <c r="H5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<sst xmlns="http://schemas.openxmlformats.org/spreadsheetml/2006/main" count="6563" uniqueCount="1818">
  <si>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</si>
  <si>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</si>
  <si>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</si>
  <si>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</si>
  <si>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</si>
  <si>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</si>
  <si>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</si>
  <si>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</si>
  <si>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</si>
  <si>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</si>
  <si>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</si>
  <si>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</si>
  <si>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</si>
  <si>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</si>
  <si>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</si>
  <si>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</si>
  <si>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</si>
  <si>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</si>
  <si>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</si>
  <si>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</si>
  <si>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</si>
  <si>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</si>
  <si>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</si>
  <si>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</si>
  <si>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</si>
  <si>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</si>
  <si>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</si>
  <si>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</si>
  <si>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</si>
  <si>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</si>
  <si>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</si>
  <si>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</si>
  <si>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</si>
  <si>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</si>
  <si>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</si>
  <si>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</si>
  <si>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</si>
  <si>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</si>
  <si>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</si>
  <si>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</si>
  <si>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</si>
  <si>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</si>
  <si>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</si>
  <si>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</si>
  <si>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</si>
  <si>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</si>
  <si>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</si>
  <si>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</si>
  <si>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</si>
  <si>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</si>
  <si>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</si>
  <si>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</si>
  <si>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</si>
  <si>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</si>
  <si>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</si>
  <si>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</si>
  <si>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</si>
  <si>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</si>
  <si>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</si>
  <si>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</si>
  <si>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</si>
  <si>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</si>
  <si>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</si>
  <si>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</si>
  <si>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</si>
  <si>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</si>
  <si>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</si>
  <si>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</si>
  <si>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</si>
  <si>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</si>
  <si>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</si>
  <si>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</si>
  <si>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</si>
  <si>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</si>
  <si>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</si>
  <si>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</si>
  <si>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</si>
  <si>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</si>
  <si>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</si>
  <si>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</si>
  <si>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</si>
  <si>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</si>
  <si>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</si>
  <si>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</si>
  <si>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</si>
  <si>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</si>
  <si>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</si>
  <si>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</si>
  <si>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</si>
  <si>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</si>
  <si>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</si>
  <si>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</si>
  <si>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</si>
  <si>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</si>
  <si>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</si>
  <si>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</si>
  <si>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</si>
  <si>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</si>
  <si>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</si>
  <si>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</si>
  <si>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</si>
  <si>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</si>
  <si>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</si>
  <si>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</si>
  <si>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</si>
  <si>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</si>
  <si>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</si>
  <si>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</si>
  <si>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</si>
  <si>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</si>
  <si>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</si>
  <si>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</si>
  <si>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</si>
  <si>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</si>
  <si>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</si>
  <si>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</si>
  <si>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</si>
  <si>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</si>
  <si>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</si>
  <si>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</si>
  <si>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</si>
  <si>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</si>
  <si>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</si>
  <si>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</si>
  <si>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</si>
  <si>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</si>
  <si>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</si>
  <si>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</si>
  <si>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</si>
  <si>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</si>
  <si>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</si>
  <si>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</si>
  <si>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</si>
  <si>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</si>
  <si>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</si>
  <si>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</si>
  <si>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</si>
  <si>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</si>
  <si>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</si>
  <si>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</si>
  <si>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</si>
  <si>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</si>
  <si>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</si>
  <si>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</si>
  <si>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</si>
  <si>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</si>
  <si>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</si>
  <si>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</si>
  <si>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</si>
  <si>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</si>
  <si>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</si>
  <si>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</si>
  <si>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</si>
  <si>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</si>
  <si>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</si>
  <si>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</si>
  <si>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</si>
  <si>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</si>
  <si>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</si>
  <si>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</si>
  <si>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</si>
  <si>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</si>
  <si>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</si>
  <si>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</si>
  <si>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</si>
  <si>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</si>
  <si>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</si>
  <si>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</si>
  <si>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</si>
  <si>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</si>
  <si>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</si>
  <si>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</si>
  <si>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</si>
  <si>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</si>
  <si>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</si>
  <si>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</si>
  <si>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</si>
  <si>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</si>
  <si>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</si>
  <si>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</si>
  <si>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</si>
  <si>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</si>
  <si>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</si>
  <si>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</si>
  <si>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</si>
  <si>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</si>
  <si>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</si>
  <si>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</si>
  <si>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</si>
  <si>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</si>
  <si>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</si>
  <si>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</si>
  <si>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</si>
  <si>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</si>
  <si>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</si>
  <si>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</si>
  <si>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</si>
  <si>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</si>
  <si>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</si>
  <si>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</si>
  <si>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</si>
  <si>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</si>
  <si>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</si>
  <si>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</si>
  <si>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</si>
  <si>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</si>
  <si>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</si>
  <si>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</si>
  <si>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</si>
  <si>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</si>
  <si>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</si>
  <si>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</si>
  <si>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</si>
  <si>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</si>
  <si>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</si>
  <si>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</si>
  <si>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</si>
  <si>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</si>
  <si>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</si>
  <si>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</si>
  <si>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</si>
  <si>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</si>
  <si>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</si>
  <si>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</si>
  <si>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</si>
  <si>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</si>
  <si>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</si>
  <si>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</si>
  <si>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</si>
  <si>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</si>
  <si>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</si>
  <si>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</si>
  <si>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</si>
  <si>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</si>
  <si>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</si>
  <si>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</si>
  <si>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</si>
  <si>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</si>
  <si>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</si>
  <si>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</si>
  <si>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</si>
  <si>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</si>
  <si>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</si>
  <si>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</si>
  <si>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</si>
  <si>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</si>
  <si>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</si>
  <si>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</si>
  <si>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</si>
  <si>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</si>
  <si>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</si>
  <si>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</si>
  <si>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</si>
  <si>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</si>
  <si>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</si>
  <si>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</si>
  <si>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</si>
  <si>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</si>
  <si>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</si>
  <si>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</si>
  <si>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</si>
  <si>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</si>
  <si>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</si>
  <si>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</si>
  <si>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</si>
  <si>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</si>
  <si>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</si>
  <si>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</si>
  <si>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</si>
  <si>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</si>
  <si>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</si>
  <si>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</si>
  <si>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</si>
  <si>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</si>
  <si>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</si>
  <si>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</si>
  <si>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</si>
  <si>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</si>
  <si>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</si>
  <si>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</si>
  <si>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</si>
  <si>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</si>
  <si>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</si>
  <si>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</si>
  <si>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</si>
  <si>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</si>
  <si>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</si>
  <si>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</si>
  <si>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</si>
  <si>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</si>
  <si>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</si>
  <si>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</si>
  <si>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</si>
  <si>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</si>
  <si>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</si>
  <si>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</si>
  <si>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</si>
  <si>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</si>
  <si>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</si>
  <si>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</si>
  <si>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</si>
  <si>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</si>
  <si>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</si>
  <si>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</si>
  <si>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</si>
  <si>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</si>
  <si>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</si>
  <si>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</si>
  <si>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</si>
  <si>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</si>
  <si>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</si>
  <si>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</si>
  <si>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</si>
  <si>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</si>
  <si>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</si>
  <si>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</si>
  <si>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</si>
  <si>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</si>
  <si>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</si>
  <si>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</si>
  <si>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</si>
  <si>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</si>
  <si>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</si>
  <si>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</si>
  <si>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</si>
  <si>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</si>
  <si>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</si>
  <si>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</si>
  <si>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</si>
  <si>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</si>
  <si>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</si>
  <si>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</si>
  <si>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</si>
  <si>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</si>
  <si>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</si>
  <si>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</si>
  <si>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</si>
  <si>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</si>
  <si>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</si>
  <si>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</si>
  <si>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</si>
  <si>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</si>
  <si>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</si>
  <si>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</si>
  <si>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</si>
  <si>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</si>
  <si>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</si>
  <si>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</si>
  <si>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</si>
  <si>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</si>
  <si>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</si>
  <si>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</si>
  <si>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</si>
  <si>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</si>
  <si>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</si>
  <si>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</si>
  <si>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</si>
  <si>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</si>
  <si>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</si>
  <si>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</si>
  <si>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</si>
  <si>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</si>
  <si>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</si>
  <si>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</si>
  <si>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</si>
  <si>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</si>
  <si>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</si>
  <si>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</si>
  <si>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</si>
  <si>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</si>
  <si>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</si>
  <si>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</si>
  <si>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</si>
  <si>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</si>
  <si>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</si>
  <si>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</si>
  <si>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</si>
  <si>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</si>
  <si>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</si>
  <si>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</si>
  <si>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</si>
  <si>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</si>
  <si>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</si>
  <si>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</si>
  <si>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</si>
  <si>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</si>
  <si>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</si>
  <si>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</si>
  <si>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</si>
  <si>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</si>
  <si>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</si>
  <si>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</si>
  <si>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</si>
  <si>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</si>
  <si>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</si>
  <si>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</si>
  <si>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</si>
  <si>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</si>
  <si>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</si>
  <si>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</si>
  <si>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</si>
  <si>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</si>
  <si>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</si>
  <si>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</si>
  <si>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</si>
  <si>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</si>
  <si>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</si>
  <si>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</si>
  <si>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</si>
  <si>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</si>
  <si>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</si>
  <si>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</si>
  <si>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</si>
  <si>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</si>
  <si>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</si>
  <si>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</si>
  <si>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</si>
  <si>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</si>
  <si>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</si>
  <si>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</si>
  <si>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</si>
  <si>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</si>
  <si>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</si>
  <si>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</si>
  <si>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</si>
  <si>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</si>
  <si>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</si>
  <si>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</si>
  <si>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</si>
  <si>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</si>
  <si>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</si>
  <si>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</si>
  <si>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</si>
  <si>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</si>
  <si>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</si>
  <si>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</si>
  <si>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</si>
  <si>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</si>
  <si>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</si>
  <si>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</si>
  <si>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</si>
  <si>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</si>
  <si>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</si>
  <si>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</si>
  <si>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</si>
  <si>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</si>
  <si>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</si>
  <si>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</si>
  <si>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</si>
  <si>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</si>
  <si>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</si>
  <si>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</si>
  <si>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</si>
  <si>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</si>
  <si>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</si>
  <si>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</si>
  <si>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</si>
  <si>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</si>
  <si>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</si>
  <si>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</si>
  <si>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</si>
  <si>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</si>
  <si>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</si>
  <si>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</si>
  <si>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</si>
  <si>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</si>
  <si>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</si>
  <si>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</si>
  <si>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</si>
  <si>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</si>
  <si>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</si>
  <si>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</si>
  <si>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</si>
  <si>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</si>
  <si>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</si>
  <si>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</si>
  <si>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</si>
  <si>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</si>
  <si>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</si>
  <si>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</si>
  <si>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</si>
  <si>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</si>
  <si>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</si>
  <si>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</si>
  <si>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</si>
  <si>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</si>
  <si>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</si>
  <si>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</si>
  <si>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</si>
  <si>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</si>
  <si>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</si>
  <si>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</si>
  <si>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</si>
  <si>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</si>
  <si>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</si>
  <si>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</si>
  <si>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</si>
  <si>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</si>
  <si>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</si>
  <si>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</si>
  <si>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</si>
  <si>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</si>
  <si>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</si>
  <si>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</si>
  <si>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</si>
  <si>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</si>
  <si>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</si>
  <si>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</si>
  <si>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</si>
  <si>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</si>
  <si>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</si>
  <si>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</si>
  <si>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</si>
  <si>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</si>
  <si>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</si>
  <si>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</si>
  <si>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</si>
  <si>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</si>
  <si>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</si>
  <si>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</si>
  <si>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</si>
  <si>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</si>
  <si>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</si>
  <si>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</si>
  <si>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</si>
  <si>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</si>
  <si>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</si>
  <si>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</si>
  <si>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</si>
  <si>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</si>
  <si>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</si>
  <si>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</si>
  <si>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</si>
  <si>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</si>
  <si>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</si>
  <si>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</si>
  <si>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</si>
  <si>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</si>
  <si>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</si>
  <si>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</si>
  <si>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</si>
  <si>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</si>
  <si>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</si>
  <si>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</si>
  <si>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</si>
  <si>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</si>
  <si>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</si>
  <si>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</si>
  <si>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</si>
  <si>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</si>
  <si>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</si>
  <si>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</si>
  <si>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</si>
  <si>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</si>
  <si>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</si>
  <si>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</si>
  <si>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</si>
  <si>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</si>
  <si>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</si>
  <si>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</si>
  <si>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</si>
  <si>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</si>
  <si>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</si>
  <si>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</si>
  <si>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</si>
  <si>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</si>
  <si>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</si>
  <si>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</si>
  <si>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</si>
  <si>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</si>
  <si>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</si>
  <si>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</si>
  <si>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</si>
  <si>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</si>
  <si>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</si>
  <si>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</si>
  <si>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</si>
  <si>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</si>
  <si>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</si>
  <si>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</si>
  <si>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</si>
  <si>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</si>
  <si>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</si>
  <si>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</si>
  <si>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</si>
  <si>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</si>
  <si>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</si>
  <si>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</si>
  <si>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</si>
  <si>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</si>
  <si>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</si>
  <si>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</si>
  <si>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</si>
  <si>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</si>
  <si>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</si>
  <si>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</si>
  <si>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</si>
  <si>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</si>
  <si>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</si>
  <si>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</si>
  <si>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</si>
  <si>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</si>
  <si>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</si>
  <si>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</si>
  <si>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</si>
  <si>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</si>
  <si>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</si>
  <si>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</si>
  <si>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</si>
  <si>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</si>
  <si>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</si>
  <si>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</si>
  <si>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</si>
  <si>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</si>
  <si>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</si>
  <si>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</si>
  <si>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</si>
  <si>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</si>
  <si>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</si>
  <si>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</si>
  <si>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</si>
  <si>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</si>
  <si>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</si>
  <si>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</si>
  <si>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</si>
  <si>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</si>
  <si>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</si>
  <si>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</si>
  <si>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</si>
  <si>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</si>
  <si>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</si>
  <si>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</si>
  <si>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</si>
  <si>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</si>
  <si>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</si>
  <si>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</si>
  <si>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</si>
  <si>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</si>
  <si>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</si>
  <si>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</si>
  <si>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</si>
  <si>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</si>
  <si>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</si>
  <si>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</si>
  <si>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</si>
  <si>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</si>
  <si>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</si>
  <si>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</si>
  <si>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</si>
  <si>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</si>
  <si>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</si>
  <si>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</si>
  <si>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</si>
  <si>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</si>
  <si>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</si>
  <si>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</si>
  <si>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</si>
  <si>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</si>
  <si>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</si>
  <si>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</si>
  <si>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</si>
  <si>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</si>
  <si>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</si>
  <si>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</si>
  <si>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</si>
  <si>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</si>
  <si>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</si>
  <si>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</si>
  <si>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</si>
  <si>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</si>
  <si>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</si>
  <si>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</si>
  <si>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</si>
  <si>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</si>
  <si>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</si>
  <si>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</si>
  <si>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</si>
  <si>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</si>
  <si>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</si>
  <si>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</si>
  <si>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</si>
  <si>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</si>
  <si>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</si>
  <si>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</si>
  <si>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</si>
  <si>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</si>
  <si>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</si>
  <si>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</si>
  <si>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</si>
  <si>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</si>
  <si>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</si>
  <si>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</si>
  <si>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</si>
  <si>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</si>
  <si>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</si>
  <si>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</si>
  <si>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</si>
  <si>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</si>
  <si>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</si>
  <si>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</si>
  <si>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</si>
  <si>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</si>
  <si>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</si>
  <si>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</si>
  <si>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</si>
  <si>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</si>
  <si>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</si>
  <si>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</si>
  <si>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</si>
  <si>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</si>
  <si>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</si>
  <si>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</si>
  <si>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</si>
  <si>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</si>
  <si>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</si>
  <si>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</si>
  <si>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</si>
  <si>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</si>
  <si>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</si>
  <si>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</si>
  <si>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</si>
  <si>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</si>
  <si>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</si>
  <si>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</si>
  <si>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</si>
  <si>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</si>
  <si>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</si>
  <si>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</si>
  <si>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</si>
  <si>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</si>
  <si>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</si>
  <si>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</si>
  <si>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</si>
  <si>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</si>
  <si>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</si>
  <si>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</si>
  <si>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</si>
  <si>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</si>
  <si>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</si>
  <si>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</si>
  <si>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</si>
  <si>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</si>
  <si>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</si>
  <si>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</si>
  <si>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</si>
  <si>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</si>
  <si>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</si>
  <si>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</si>
  <si>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</si>
  <si>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</si>
  <si>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</si>
  <si>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</si>
  <si>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</si>
  <si>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</si>
  <si>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</si>
  <si>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</si>
  <si>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</si>
  <si>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</si>
  <si>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</si>
  <si>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</si>
  <si>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</si>
  <si>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</si>
  <si>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</si>
  <si>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</si>
  <si>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</si>
  <si>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</si>
  <si>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</si>
  <si>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</si>
  <si>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</si>
  <si>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</si>
  <si>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</si>
  <si>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</si>
  <si>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</si>
  <si>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</si>
  <si>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</si>
  <si>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</si>
  <si>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</si>
  <si>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</si>
  <si>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</si>
  <si>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</si>
  <si>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</si>
  <si>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</si>
  <si>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</si>
  <si>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</si>
  <si>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</si>
  <si>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</si>
  <si>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</si>
  <si>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</si>
  <si>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</si>
  <si>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</si>
  <si>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</si>
  <si>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</si>
  <si>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</si>
  <si>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</si>
  <si>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</si>
  <si>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</si>
  <si>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</si>
  <si>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</si>
  <si>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</si>
  <si>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</si>
  <si>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</si>
  <si>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</si>
  <si>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</si>
  <si>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</si>
  <si>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</si>
  <si>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</si>
  <si>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</si>
  <si>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</si>
  <si>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</si>
  <si>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</si>
  <si>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</si>
  <si>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</si>
  <si>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</si>
  <si>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</si>
  <si>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</si>
  <si>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</si>
  <si>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</si>
  <si>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</si>
  <si>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</si>
  <si>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</si>
  <si>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</si>
  <si>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</si>
  <si>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</si>
  <si>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</si>
  <si>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</si>
  <si>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</si>
  <si>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</si>
  <si>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</si>
  <si>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</si>
  <si>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</si>
  <si>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</si>
  <si>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</si>
  <si>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</si>
  <si>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</si>
  <si>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</si>
  <si>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</si>
  <si>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</si>
  <si>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</si>
  <si>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</si>
  <si>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</si>
  <si>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</si>
  <si>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</si>
  <si>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</si>
  <si>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</si>
  <si>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</si>
  <si>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</si>
  <si>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</si>
  <si>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</si>
  <si>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</si>
  <si>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</si>
  <si>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</si>
  <si>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</si>
  <si>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</si>
  <si>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</si>
  <si>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</si>
  <si>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</si>
  <si>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</si>
  <si>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</si>
  <si>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</si>
  <si>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</si>
  <si>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</si>
  <si>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</si>
  <si>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</si>
  <si>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</si>
  <si>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</si>
  <si>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</si>
  <si>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</si>
  <si>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</si>
  <si>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</si>
  <si>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</si>
  <si>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</si>
  <si>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</si>
  <si>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</si>
  <si>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</si>
  <si>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</si>
  <si>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</si>
  <si>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</si>
  <si>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</si>
  <si>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</si>
  <si>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</si>
  <si>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</si>
  <si>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</si>
  <si>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</si>
  <si>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</si>
  <si>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</si>
  <si>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</si>
  <si>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</si>
  <si>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</si>
  <si>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</si>
  <si>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</si>
  <si>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</si>
  <si>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</si>
  <si>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</si>
  <si>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</si>
  <si>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</si>
  <si>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</si>
  <si>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</si>
  <si>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</si>
  <si>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</si>
  <si>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</si>
  <si>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</si>
  <si>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</si>
  <si>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</si>
  <si>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</si>
  <si>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</si>
  <si>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</si>
  <si>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</si>
  <si>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</si>
  <si>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</si>
  <si>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</si>
  <si>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</si>
  <si>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</si>
  <si>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</si>
  <si>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</si>
  <si>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</si>
  <si>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</si>
  <si>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</si>
  <si>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</si>
  <si>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</si>
  <si>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</si>
  <si>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</si>
  <si>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</si>
  <si>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</si>
  <si>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</si>
  <si>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</si>
  <si>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</si>
  <si>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</si>
  <si>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</si>
  <si>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</si>
  <si>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</si>
  <si>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</si>
  <si>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</si>
  <si>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</si>
  <si>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</si>
  <si>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</si>
  <si>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</si>
  <si>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</si>
  <si>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</si>
  <si>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</si>
  <si>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</si>
  <si>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</si>
  <si>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</si>
  <si>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</si>
  <si>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</si>
  <si>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</si>
  <si>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</si>
  <si>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</si>
  <si>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</si>
  <si>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</si>
  <si>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</si>
  <si>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</si>
  <si>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</si>
  <si>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</si>
  <si>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</si>
  <si>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</si>
  <si>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</si>
  <si>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</si>
  <si>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</si>
  <si>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</si>
  <si>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</si>
  <si>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</si>
  <si>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</si>
  <si>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</si>
  <si>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</si>
  <si>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</si>
  <si>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</si>
  <si>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</si>
  <si>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</si>
  <si>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</si>
  <si>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</si>
  <si>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</si>
  <si>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</si>
  <si>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</si>
  <si>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</si>
  <si>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</si>
  <si>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</si>
  <si>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</si>
  <si>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</si>
  <si>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</si>
  <si>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</si>
  <si>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</si>
  <si>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</si>
  <si>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</si>
  <si>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</si>
  <si>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</si>
  <si>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</si>
  <si>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</si>
  <si>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</si>
  <si>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</si>
  <si>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</si>
  <si>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</si>
  <si>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</si>
  <si>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</si>
  <si>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</si>
  <si>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</si>
  <si>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</si>
  <si>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</si>
  <si>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</si>
  <si>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</si>
  <si>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</si>
  <si>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</si>
  <si>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</si>
  <si>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</si>
  <si>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</si>
  <si>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</si>
  <si>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</si>
  <si>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</si>
  <si>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</si>
  <si>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</si>
  <si>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</si>
  <si>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</si>
  <si>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</si>
  <si>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</si>
  <si>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</si>
  <si>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</si>
  <si>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</si>
  <si>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</si>
  <si>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</si>
  <si>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</si>
  <si>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</si>
  <si>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</si>
  <si>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</si>
  <si>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</si>
  <si>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</si>
  <si>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</si>
  <si>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</si>
  <si>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</si>
  <si>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</si>
  <si>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</si>
  <si>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</si>
  <si>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</si>
  <si>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</si>
  <si>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</si>
  <si>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</si>
  <si>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</si>
  <si>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</si>
  <si>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</si>
  <si>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</si>
  <si>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</si>
  <si>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</si>
  <si>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</si>
  <si>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</si>
  <si>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</si>
  <si>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</si>
  <si>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</si>
  <si>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</si>
  <si>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</si>
  <si>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</si>
  <si>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</si>
  <si>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</si>
  <si>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</si>
  <si>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</si>
  <si>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</si>
  <si>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</si>
  <si>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</si>
  <si>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</si>
  <si>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</si>
  <si>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</si>
  <si>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</si>
  <si>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</si>
  <si>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</si>
  <si>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</si>
  <si>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</si>
  <si>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</si>
  <si>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</si>
  <si>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</si>
  <si>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</si>
  <si>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</si>
  <si>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</si>
  <si>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</si>
  <si>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</si>
  <si>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</si>
  <si>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</si>
  <si>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</si>
  <si>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</si>
  <si>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</si>
  <si>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</si>
  <si>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</si>
  <si>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</si>
  <si>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</si>
  <si>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</si>
  <si>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</si>
  <si>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</si>
  <si>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</si>
  <si>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</si>
  <si>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</si>
  <si>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</si>
  <si>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</si>
  <si>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</si>
  <si>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</si>
  <si>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</si>
  <si>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</si>
  <si>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</si>
  <si>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</si>
  <si>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</si>
  <si>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</si>
  <si>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</si>
  <si>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</si>
  <si>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</si>
  <si>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</si>
  <si>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</si>
  <si>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</si>
  <si>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</si>
  <si>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</si>
  <si>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</si>
  <si>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</si>
  <si>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</si>
  <si>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</si>
  <si>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</si>
  <si>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</si>
  <si>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</si>
  <si>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</si>
  <si>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</si>
  <si>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</si>
  <si>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</si>
  <si>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</si>
  <si>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</si>
  <si>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</si>
  <si>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</si>
  <si>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</si>
  <si>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</si>
  <si>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</si>
  <si>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</si>
  <si>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</si>
  <si>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</si>
  <si>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</si>
  <si>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</si>
  <si>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</si>
  <si>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</si>
  <si>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</si>
  <si>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</si>
  <si>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</si>
  <si>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</si>
  <si>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</si>
  <si>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</si>
  <si>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</si>
  <si>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</si>
  <si>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</si>
  <si>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</si>
  <si>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</si>
  <si>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</si>
  <si>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</si>
  <si>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</si>
  <si>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</si>
  <si>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</si>
  <si>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</si>
  <si>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</si>
  <si>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</si>
  <si>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</si>
  <si>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</si>
  <si>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</si>
  <si>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</si>
  <si>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</si>
  <si>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</si>
  <si>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</si>
  <si>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</si>
  <si>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</si>
  <si>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</si>
  <si>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</si>
  <si>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</si>
  <si>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</si>
  <si>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</si>
  <si>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</si>
  <si>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</si>
  <si>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</si>
  <si>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</si>
  <si>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</si>
  <si>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</si>
  <si>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</si>
  <si>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</si>
  <si>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</si>
  <si>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</si>
  <si>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</si>
  <si>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</si>
  <si>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</si>
  <si>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</si>
  <si>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</si>
  <si>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</si>
  <si>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</si>
  <si>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</si>
  <si>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</si>
  <si>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</si>
  <si>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</si>
  <si>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</si>
  <si>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</si>
  <si>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</si>
  <si>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</si>
  <si>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</si>
  <si>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</si>
  <si>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</si>
  <si>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</si>
  <si>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</si>
  <si>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</si>
  <si>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</si>
  <si>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</si>
  <si>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</si>
  <si>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</si>
  <si>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</si>
  <si>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</si>
  <si>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</si>
  <si>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</si>
  <si>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</si>
  <si>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</si>
  <si>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</si>
  <si>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</si>
  <si>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</si>
  <si>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</si>
  <si>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</si>
  <si>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</si>
  <si>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</si>
  <si>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</si>
  <si>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</si>
  <si>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</si>
  <si>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</si>
  <si>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</si>
  <si>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</si>
  <si>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</si>
  <si>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</si>
  <si>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</si>
  <si>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</si>
  <si>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</si>
  <si>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</si>
  <si>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</si>
  <si>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</si>
  <si>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</si>
  <si>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</si>
  <si>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</si>
  <si>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</si>
  <si>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</si>
  <si>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</si>
  <si>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</si>
  <si>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</si>
  <si>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</si>
  <si>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</si>
  <si>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</si>
  <si>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</si>
  <si>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</si>
  <si>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</si>
  <si>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</si>
  <si>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</si>
  <si>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</si>
  <si>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</si>
  <si>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</si>
  <si>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</si>
  <si>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</si>
  <si>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</si>
  <si>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</si>
  <si>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</si>
  <si>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</si>
  <si>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</si>
  <si>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</si>
  <si>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</si>
  <si>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</si>
  <si>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</si>
  <si>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</si>
  <si>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</si>
  <si>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</si>
  <si>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</si>
  <si>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</si>
  <si>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</si>
  <si>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</si>
  <si>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</si>
  <si>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</si>
  <si>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</si>
  <si>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</si>
  <si>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</si>
  <si>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</si>
  <si>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</si>
  <si>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</si>
  <si>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</si>
  <si>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</si>
  <si>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</si>
  <si>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</si>
  <si>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</si>
  <si>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</si>
  <si>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</si>
  <si>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</si>
  <si>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</si>
  <si>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</si>
  <si>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</si>
  <si>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</si>
  <si>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</si>
  <si>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</si>
  <si>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</si>
  <si>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</si>
  <si>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</si>
  <si>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</si>
  <si>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</si>
  <si>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</si>
  <si>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</si>
  <si>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</si>
  <si>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</si>
  <si>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</si>
  <si>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</si>
  <si>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</si>
  <si>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</si>
  <si>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</si>
  <si>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</si>
  <si>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</si>
  <si>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</si>
  <si>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</si>
  <si>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</si>
  <si>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</si>
  <si>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</si>
  <si>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</si>
  <si>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</si>
  <si>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</si>
  <si>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</si>
  <si>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</si>
  <si>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</si>
  <si>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</si>
  <si>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</si>
  <si>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</si>
  <si>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</si>
  <si>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</si>
  <si>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</si>
  <si>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</si>
  <si>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</si>
  <si>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</si>
  <si>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</si>
  <si>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</si>
  <si>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</si>
  <si>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</si>
  <si>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</si>
  <si>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</si>
  <si>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</si>
  <si>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</si>
  <si>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</si>
  <si>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</si>
  <si>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</si>
  <si>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</si>
  <si>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</si>
  <si>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</si>
  <si>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</si>
  <si>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</si>
  <si>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</si>
  <si>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</si>
  <si>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</si>
  <si>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</si>
  <si>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</si>
  <si>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</si>
  <si>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</si>
  <si>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</si>
  <si>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</si>
  <si>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</si>
  <si>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</si>
  <si>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</si>
  <si>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</si>
  <si>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</si>
  <si>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</si>
  <si>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</si>
  <si>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</si>
  <si>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</si>
  <si>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</si>
  <si>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</si>
  <si>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</si>
  <si>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</si>
  <si>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</si>
  <si>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</si>
  <si>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</si>
  <si>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</si>
  <si>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</si>
  <si>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</si>
  <si>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</si>
  <si>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</si>
  <si>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</si>
  <si>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</si>
  <si>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</si>
  <si>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</si>
  <si>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</si>
  <si>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</si>
  <si>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</si>
  <si>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</si>
  <si>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</si>
  <si>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</si>
  <si>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</si>
  <si>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</si>
  <si>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</si>
  <si>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</si>
  <si>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</si>
  <si>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</si>
  <si>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</si>
  <si>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</si>
  <si>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</si>
  <si>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</si>
  <si>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</si>
  <si>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</si>
  <si>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</si>
  <si>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</si>
  <si>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</si>
  <si>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</si>
  <si>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</si>
  <si>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</si>
  <si>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</si>
  <si>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</si>
  <si>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</si>
  <si>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</si>
  <si>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</si>
  <si>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</si>
  <si>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</si>
  <si>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</si>
  <si>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</si>
  <si>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</si>
  <si>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</si>
  <si>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</si>
  <si>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</si>
  <si>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</si>
  <si>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</si>
  <si>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</si>
  <si>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</si>
  <si>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</si>
  <si>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</si>
  <si>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</si>
  <si>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</si>
  <si>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</si>
  <si>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</si>
  <si>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</si>
  <si>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</si>
  <si>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</si>
  <si>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</si>
  <si>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</si>
  <si>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</si>
  <si>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</si>
  <si>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</si>
  <si>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</si>
  <si>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</si>
  <si>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</si>
  <si>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</si>
  <si>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</si>
  <si>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</si>
  <si>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</si>
  <si>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</si>
  <si>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</si>
  <si>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</si>
  <si>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</si>
  <si>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</si>
  <si>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</si>
  <si>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</si>
  <si>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</si>
  <si>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</si>
  <si>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</si>
  <si>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</si>
  <si>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</si>
  <si>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</si>
  <si>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</si>
  <si>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</si>
  <si>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</si>
  <si>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</si>
  <si>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</si>
  <si>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</si>
  <si>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</si>
  <si>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</si>
  <si>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</si>
  <si>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</si>
  <si>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</si>
  <si>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</si>
  <si>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</si>
  <si>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</si>
  <si>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</si>
  <si>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</si>
  <si>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</si>
  <si>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</si>
  <si>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</si>
  <si>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</si>
  <si>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</si>
  <si>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</si>
  <si>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</si>
  <si>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</si>
  <si>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</si>
  <si>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</si>
  <si>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</si>
  <si>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</si>
  <si>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</si>
  <si>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</si>
  <si>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</si>
  <si>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</si>
  <si>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</si>
  <si>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</si>
  <si>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</si>
  <si>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</si>
  <si>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</si>
  <si>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</si>
  <si>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</si>
  <si>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</si>
  <si>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</si>
  <si>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</si>
  <si>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</si>
  <si>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</si>
  <si>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</si>
  <si>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</si>
  <si>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</si>
  <si>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</si>
  <si>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</si>
  <si>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</si>
  <si>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</si>
  <si>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</si>
  <si>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</si>
  <si>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</si>
  <si>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</si>
  <si>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</si>
  <si>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</si>
  <si>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</si>
  <si>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</si>
  <si>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</si>
  <si>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</si>
  <si>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</si>
  <si>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</si>
  <si>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</si>
  <si>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</si>
  <si>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</si>
  <si>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</si>
  <si>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</si>
  <si>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</si>
  <si>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</si>
  <si>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</si>
  <si>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</si>
  <si>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</si>
  <si>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</si>
  <si>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</si>
  <si>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</si>
  <si>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</si>
  <si>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</si>
  <si>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</si>
  <si>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</si>
  <si>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</si>
  <si>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</si>
  <si>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</si>
  <si>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</si>
  <si>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</si>
  <si>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</si>
  <si>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</si>
  <si>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</si>
  <si>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</si>
  <si>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</si>
  <si>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</si>
  <si>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</si>
  <si>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</si>
  <si>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</si>
  <si>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</si>
  <si>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</si>
  <si>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</si>
  <si>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</si>
  <si>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</si>
  <si>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</si>
  <si>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</si>
  <si>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</si>
  <si>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</si>
  <si>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</si>
  <si>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</si>
  <si>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</si>
  <si>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</si>
  <si>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</si>
  <si>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</si>
  <si>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</si>
  <si>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</si>
  <si>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</si>
  <si>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</si>
  <si>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</si>
  <si>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</si>
  <si>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</si>
  <si>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</si>
  <si>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</si>
  <si>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</si>
  <si>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</si>
  <si>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</si>
  <si>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</si>
  <si>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</si>
  <si>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</si>
  <si>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</si>
  <si>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</si>
  <si>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</si>
  <si>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</si>
  <si>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</si>
  <si>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</si>
  <si>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</si>
  <si>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</si>
  <si>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</si>
  <si>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</si>
  <si>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</si>
  <si>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</si>
  <si>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</si>
  <si>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</si>
  <si>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</si>
  <si>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</si>
  <si>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</si>
  <si>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</si>
  <si>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</si>
  <si>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</si>
  <si>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</si>
  <si>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</si>
  <si>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</si>
  <si>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</si>
  <si>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</si>
  <si>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</si>
  <si>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</si>
  <si>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</si>
  <si>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</si>
  <si>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</si>
  <si>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</si>
  <si>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</si>
  <si>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</si>
  <si>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</si>
  <si>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</si>
  <si>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</si>
  <si>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</si>
  <si>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</si>
  <si>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</si>
  <si>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</si>
  <si>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</si>
  <si>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</si>
  <si>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</si>
  <si>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</si>
  <si>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</si>
  <si>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</si>
  <si>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</si>
  <si>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</si>
  <si>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</si>
  <si>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</si>
  <si>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</si>
  <si>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</si>
  <si>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</si>
  <si>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</si>
  <si>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</si>
  <si>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</si>
  <si>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</si>
  <si>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</si>
  <si>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</si>
  <si>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</si>
  <si>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</si>
  <si>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</si>
  <si>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</si>
  <si>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</si>
  <si>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</si>
  <si>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</si>
  <si>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</si>
  <si>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</si>
  <si>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</si>
  <si>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</si>
  <si>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</si>
  <si>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</si>
  <si>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</si>
  <si>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</si>
  <si>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</si>
  <si>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</si>
  <si>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</si>
  <si>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</si>
  <si>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</si>
  <si>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</si>
  <si>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</si>
  <si>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</si>
  <si>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</si>
  <si>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</si>
  <si>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</si>
  <si>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</si>
  <si>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</si>
  <si>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</si>
  <si>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</si>
  <si>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</si>
  <si>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</si>
  <si>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</si>
  <si>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</si>
  <si>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</si>
  <si>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</si>
  <si>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</si>
  <si>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</si>
  <si>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</si>
  <si>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</si>
  <si>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</si>
  <si>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</si>
  <si>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</si>
  <si>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</si>
  <si>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</si>
  <si>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</si>
  <si>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</si>
  <si>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</si>
  <si>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</si>
  <si>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</si>
  <si>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</si>
  <si>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</si>
  <si>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</si>
  <si>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</si>
  <si>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</si>
  <si>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</si>
  <si>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</si>
  <si>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</si>
  <si>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</si>
  <si>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</si>
  <si>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</si>
  <si>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</si>
  <si>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</si>
  <si>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</si>
  <si>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</si>
  <si>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</si>
  <si>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</si>
  <si>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</si>
  <si>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</si>
  <si>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</si>
  <si>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</si>
  <si>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</si>
  <si>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</si>
  <si>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</si>
  <si>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</si>
  <si>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</si>
  <si>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</si>
  <si>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</si>
  <si>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</si>
  <si>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</si>
  <si>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</si>
  <si>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</si>
  <si>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</si>
  <si>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</si>
  <si>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</si>
  <si>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</si>
  <si>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</si>
  <si>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</si>
  <si>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</si>
  <si>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</si>
  <si>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</si>
  <si>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</si>
  <si>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</si>
  <si>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</si>
  <si>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</si>
  <si>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</si>
  <si>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</si>
  <si>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</si>
  <si>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</si>
  <si>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</si>
  <si>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</si>
  <si>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</si>
  <si>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</si>
  <si>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</si>
  <si>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</si>
  <si>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</si>
  <si>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</si>
  <si>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</si>
  <si>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</si>
  <si>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</si>
  <si>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</si>
  <si>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</si>
  <si>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</si>
  <si>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</si>
  <si>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</si>
  <si>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</si>
  <si>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</si>
  <si>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</si>
  <si>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</si>
  <si>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</si>
  <si>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</si>
  <si>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</si>
  <si>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</si>
  <si>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</si>
  <si>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</si>
  <si>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</si>
  <si>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</si>
  <si>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</si>
  <si>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</si>
  <si>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</si>
  <si>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</si>
  <si>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</si>
  <si>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</si>
  <si>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</si>
  <si>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</si>
  <si>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</si>
  <si>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</si>
  <si>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</si>
  <si>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</si>
  <si>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</si>
  <si>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</si>
  <si>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</si>
  <si>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</si>
  <si>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</si>
  <si>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</si>
  <si>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</si>
  <si>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</si>
  <si>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</si>
  <si>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</si>
  <si>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</si>
  <si>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</si>
  <si>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</si>
  <si>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</si>
  <si>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</si>
  <si>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</si>
  <si>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</si>
  <si>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</si>
  <si>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</si>
  <si>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</si>
  <si>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</si>
  <si>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</si>
  <si>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</si>
  <si>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</si>
  <si>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</si>
  <si>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</si>
  <si>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</si>
  <si>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</si>
  <si>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</si>
  <si>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</si>
  <si>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</si>
  <si>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</si>
  <si>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</si>
  <si>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</si>
  <si>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</si>
  <si>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</si>
  <si>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</si>
  <si>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</si>
  <si>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</si>
  <si>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</si>
  <si>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</si>
  <si>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</si>
  <si>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</si>
  <si>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</si>
  <si>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</si>
  <si>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</si>
  <si>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05/06</t>
  </si>
  <si>
    <t>08/19</t>
  </si>
  <si>
    <t>05/26</t>
  </si>
  <si>
    <t>08/39</t>
  </si>
  <si>
    <t>Refund of Prior Year Expenditures, Insurance Premium Holidays, FSA Forfeits, Royalties, Jury Duty Reimbursement</t>
  </si>
  <si>
    <t>STOP Violence in Schools Grant $67,053.45, Student Assistance Program DHHS and Mayor's Drug Task Force - $62,361.73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</si>
</sst>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0"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1041</v>
      </c>
      <c r="B2">
        <f>INDEX('School Tables'!$AH$3:$AH$209,MATCH('DOE25'!A2,'School Tables'!$AJ$3:$AJ$209,0))</f>
        <v>185</v>
      </c>
      <c r="C2">
        <f>INDEX('School Tables'!$AI$3:$AI$209,MATCH('DOE25'!A2,'School Tables'!$AJ$3:$AJ$209,0))</f>
        <v>185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2109512.14+100+150+200</f>
        <v>2109962.14</v>
      </c>
      <c r="G9" s="18">
        <f>56058.29+317</f>
        <v>56375.29</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-11.49</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33197.29-1259112.66</f>
        <v>-1225915.3699999999</v>
      </c>
      <c r="G13" s="18">
        <v>148289.79999999999</v>
      </c>
      <c r="H13" s="18">
        <f>1649704.88</f>
        <v>1649704.88</v>
      </c>
      <c r="I13" s="18"/>
      <c r="J13" s="13">
        <f>SUM(I443)</f>
        <v>338396.67</v>
      </c>
      <c r="K13" s="23" t="s">
        <v>288</v>
      </c>
      <c r="L13" s="23" t="s">
        <v>288</v>
      </c>
      <c r="M13" s="8"/>
      <c r="N13" s="165"/>
    </row>
    <row r="14" spans="1:14" s="3" customFormat="1" ht="12.2" customHeight="1" x14ac:dyDescent="0.15">
      <c r="A14" s="1" t="s">
        <v>565</v>
      </c>
      <c r="B14" s="2" t="s">
        <v>289</v>
      </c>
      <c r="C14" s="6">
        <v>6</v>
      </c>
      <c r="D14" s="2" t="s">
        <v>428</v>
      </c>
      <c r="E14" s="6">
        <v>150</v>
      </c>
      <c r="F14" s="18">
        <v>18990.07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21762.19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11847.87</v>
      </c>
      <c r="G17" s="18">
        <v>2296</v>
      </c>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914873.22</v>
      </c>
      <c r="G19" s="38">
        <f>SUM(G9:G18)</f>
        <v>228723.28</v>
      </c>
      <c r="H19" s="38">
        <f>SUM(H9:H18)</f>
        <v>1649704.88</v>
      </c>
      <c r="I19" s="38">
        <f>SUM(I9:I18)</f>
        <v>0</v>
      </c>
      <c r="J19" s="38">
        <f>SUM(J9:J18)</f>
        <v>338396.67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-671345.29</v>
      </c>
      <c r="G22" s="18">
        <v>13039.59</v>
      </c>
      <c r="H22" s="18">
        <f>-3000-12419.29+794307.86-5797.29-40511.28-878.18-4923.41-20500-3265.04-31.47-1310.51</f>
        <v>701671.38999999978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108050.31+102729.94</f>
        <v>210780.25</v>
      </c>
      <c r="G24" s="18">
        <f>4795.28+7593.49</f>
        <v>12388.77</v>
      </c>
      <c r="H24" s="18">
        <f>769551.61+4603.32</f>
        <v>774154.92999999993</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29635.68</v>
      </c>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-15.8</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-3995+450.9</f>
        <v>-3544.1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16565.07</v>
      </c>
      <c r="G30" s="18">
        <v>-2338.7600000000002</v>
      </c>
      <c r="H30" s="18">
        <f>12819.29+51139.22+1351.62+15931.96</f>
        <v>81242.09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71733.66</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-417924.19</v>
      </c>
      <c r="G32" s="38">
        <f>SUM(G22:G31)</f>
        <v>94823.260000000009</v>
      </c>
      <c r="H32" s="38">
        <f>SUM(H22:H31)</f>
        <v>1557068.41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266521.44</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1066275.97</v>
      </c>
      <c r="G48" s="18">
        <v>133900.01999999999</v>
      </c>
      <c r="H48" s="18">
        <f>3000+12419.29+5797.29+40511.28+878.18+4923.41+20500+3265.04+31.47+1310.51</f>
        <v>92636.469999999987</v>
      </c>
      <c r="I48" s="18"/>
      <c r="J48" s="13">
        <f>SUM(I460)</f>
        <v>338396.67</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1332797.4099999999</v>
      </c>
      <c r="G51" s="38">
        <f>SUM(G35:G50)</f>
        <v>133900.01999999999</v>
      </c>
      <c r="H51" s="38">
        <f>SUM(H35:H50)</f>
        <v>92636.469999999987</v>
      </c>
      <c r="I51" s="38">
        <f>SUM(I35:I50)</f>
        <v>0</v>
      </c>
      <c r="J51" s="38">
        <f>SUM(J35:J50)</f>
        <v>338396.67</v>
      </c>
      <c r="K51" s="42" t="s">
        <v>288</v>
      </c>
      <c r="L51" s="42" t="s">
        <v>288</v>
      </c>
      <c r="N51" s="131"/>
    </row>
    <row r="52" spans="1:14" s="3" customFormat="1" ht="12.2" customHeight="1" thickTop="1" x14ac:dyDescent="0.15">
      <c r="A52" s="35" t="s">
        <v>455</v>
      </c>
      <c r="B52" s="36" t="s">
        <v>289</v>
      </c>
      <c r="C52" s="6">
        <v>37</v>
      </c>
      <c r="D52" s="36" t="s">
        <v>653</v>
      </c>
      <c r="E52" s="36"/>
      <c r="F52" s="38">
        <f>F51+F32</f>
        <v>914873.22</v>
      </c>
      <c r="G52" s="38">
        <f>G51+G32</f>
        <v>228723.28</v>
      </c>
      <c r="H52" s="38">
        <f>H51+H32</f>
        <v>1649704.88</v>
      </c>
      <c r="I52" s="38">
        <f>I51+I32</f>
        <v>0</v>
      </c>
      <c r="J52" s="38">
        <f>J51+J32</f>
        <v>338396.67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4943755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4943755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18931.939999999999</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18931.939999999999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39315.730000000003</v>
      </c>
      <c r="G96" s="18">
        <v>155.47999999999999</v>
      </c>
      <c r="H96" s="18"/>
      <c r="I96" s="18"/>
      <c r="J96" s="18">
        <v>12893.22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85165.76+9883.75+6772.4+880+27885.05+1710.95</f>
        <v>132297.91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3186.15</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9326.58+6410+212130.52</f>
        <v>227867.09999999998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871.3</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14467.86+102300.03</f>
        <v>116767.89</v>
      </c>
      <c r="G110" s="18"/>
      <c r="H110" s="18">
        <f>9+90112.09</f>
        <v>90121.09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160141.07</v>
      </c>
      <c r="G111" s="38">
        <f>SUM(G96:G110)</f>
        <v>132453.39000000001</v>
      </c>
      <c r="H111" s="38">
        <f>SUM(H96:H110)</f>
        <v>317988.18999999994</v>
      </c>
      <c r="I111" s="38">
        <f>SUM(I96:I110)</f>
        <v>0</v>
      </c>
      <c r="J111" s="38">
        <f>SUM(J96:J110)</f>
        <v>12893.22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5122828.0100000007</v>
      </c>
      <c r="G112" s="38">
        <f>G60+G111</f>
        <v>132453.39000000001</v>
      </c>
      <c r="H112" s="38">
        <f>H60+H79+H94+H111</f>
        <v>317988.18999999994</v>
      </c>
      <c r="I112" s="38">
        <f>I60+I111</f>
        <v>0</v>
      </c>
      <c r="J112" s="38">
        <f>J60+J111</f>
        <v>12893.22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8990625.6099999994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886084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145181.31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10021890.92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81944.160000000003</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170006.48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6552.9</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14522.46</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v>35171.019999999997</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7795.22+1401.76</f>
        <v>9196.98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19296.330000000002</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258503.54</v>
      </c>
      <c r="G136" s="38">
        <f>SUM(G123:G135)</f>
        <v>9196.98</v>
      </c>
      <c r="H136" s="38">
        <f>SUM(H123:H135)</f>
        <v>68989.81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10280394.459999999</v>
      </c>
      <c r="G140" s="38">
        <f>G121+SUM(G136:G137)</f>
        <v>9196.98</v>
      </c>
      <c r="H140" s="38">
        <f>H121+SUM(H136:H139)</f>
        <v>68989.81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842037.05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527715.44999999995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500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379185.86+118379.66+79681.17+55404.07</f>
        <v>632650.76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357178.41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148507.59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128228.91</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2171175.9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148507.59</v>
      </c>
      <c r="G163" s="38">
        <f>SUM(G150:G162)</f>
        <v>632650.76</v>
      </c>
      <c r="H163" s="38">
        <f>SUM(H150:H162)</f>
        <v>4026835.7199999997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30245.48</v>
      </c>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178753.07</v>
      </c>
      <c r="G170" s="38">
        <f>G147+G163+SUM(G164:G169)</f>
        <v>632650.76</v>
      </c>
      <c r="H170" s="38">
        <f>H147+H163+SUM(H164:H169)</f>
        <v>4026835.7199999997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119254.28</v>
      </c>
      <c r="G182" s="18">
        <v>3336.72</v>
      </c>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119254.28</v>
      </c>
      <c r="G184" s="38">
        <f>SUM(G180:G183)</f>
        <v>3336.72</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119254.28</v>
      </c>
      <c r="G193" s="38">
        <f>G184+SUM(G189:G192)</f>
        <v>3336.72</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15701229.819999998</v>
      </c>
      <c r="G194" s="38">
        <f>G112+G140+G170+G193</f>
        <v>777637.85</v>
      </c>
      <c r="H194" s="38">
        <f>H112+H140+H170+H193</f>
        <v>4413813.72</v>
      </c>
      <c r="I194" s="38">
        <f>I112+I140+I170+I193</f>
        <v>0</v>
      </c>
      <c r="J194" s="38">
        <f>J112+J140+J193</f>
        <v>12893.22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2295941.1685500001</v>
      </c>
      <c r="G198" s="18">
        <v>1302121.35534</v>
      </c>
      <c r="H198" s="18">
        <v>52088.07</v>
      </c>
      <c r="I198" s="18">
        <v>37157.550000000003</v>
      </c>
      <c r="J198" s="18">
        <v>5751.28</v>
      </c>
      <c r="K198" s="18">
        <v>0</v>
      </c>
      <c r="L198" s="13">
        <f>SUM(F198:K198)</f>
        <v>3693059.4238899993</v>
      </c>
      <c r="M198" s="8"/>
      <c r="N198" s="165"/>
    </row>
    <row r="199" spans="1:14" s="3" customFormat="1" ht="12.2" customHeight="1" x14ac:dyDescent="0.15">
      <c r="A199" s="1" t="s">
        <v>439</v>
      </c>
      <c r="B199" s="2" t="s">
        <v>341</v>
      </c>
      <c r="C199" s="2" t="s">
        <v>291</v>
      </c>
      <c r="D199" s="2" t="s">
        <v>431</v>
      </c>
      <c r="E199" s="6">
        <v>1200</v>
      </c>
      <c r="F199" s="18">
        <v>1104325.3025</v>
      </c>
      <c r="G199" s="18">
        <v>472604.60496000003</v>
      </c>
      <c r="H199" s="18">
        <v>753940.98068000004</v>
      </c>
      <c r="I199" s="18">
        <v>4212.7899799999996</v>
      </c>
      <c r="J199" s="18">
        <v>0</v>
      </c>
      <c r="K199" s="18">
        <v>376.84500000000003</v>
      </c>
      <c r="L199" s="13">
        <f>SUM(F199:K199)</f>
        <v>2335460.52312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44700.9</v>
      </c>
      <c r="G201" s="18">
        <v>17817.829999999998</v>
      </c>
      <c r="H201" s="18">
        <v>8569.64</v>
      </c>
      <c r="I201" s="18">
        <v>5084</v>
      </c>
      <c r="J201" s="18">
        <v>3049.73</v>
      </c>
      <c r="K201" s="18">
        <v>665</v>
      </c>
      <c r="L201" s="13">
        <f>SUM(F201:K201)</f>
        <v>79887.099999999991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411541.63999999996</v>
      </c>
      <c r="G203" s="18">
        <v>231969.30758999998</v>
      </c>
      <c r="H203" s="18">
        <v>730811.28483000014</v>
      </c>
      <c r="I203" s="18">
        <v>6469.3749400000006</v>
      </c>
      <c r="J203" s="18">
        <v>3715</v>
      </c>
      <c r="K203" s="18">
        <v>244</v>
      </c>
      <c r="L203" s="13">
        <f t="shared" ref="L203:L209" si="0">SUM(F203:K203)</f>
        <v>1384750.6073600003</v>
      </c>
      <c r="M203" s="8"/>
      <c r="N203" s="165"/>
    </row>
    <row r="204" spans="1:14" s="3" customFormat="1" ht="12.2" customHeight="1" x14ac:dyDescent="0.15">
      <c r="A204" s="1" t="s">
        <v>443</v>
      </c>
      <c r="B204" s="2" t="s">
        <v>341</v>
      </c>
      <c r="C204" s="2" t="s">
        <v>295</v>
      </c>
      <c r="D204" s="2" t="s">
        <v>431</v>
      </c>
      <c r="E204" s="6">
        <v>2200</v>
      </c>
      <c r="F204" s="18">
        <v>94510.942999999999</v>
      </c>
      <c r="G204" s="18">
        <v>58336.943500000008</v>
      </c>
      <c r="H204" s="18">
        <v>69212.916799999992</v>
      </c>
      <c r="I204" s="18">
        <v>5060.1313800000007</v>
      </c>
      <c r="J204" s="18">
        <v>4970.3500000000004</v>
      </c>
      <c r="K204" s="18">
        <v>230.86</v>
      </c>
      <c r="L204" s="13">
        <f t="shared" si="0"/>
        <v>232322.14468000003</v>
      </c>
      <c r="M204" s="8"/>
      <c r="N204" s="165"/>
    </row>
    <row r="205" spans="1:14" s="3" customFormat="1" ht="12.2" customHeight="1" x14ac:dyDescent="0.15">
      <c r="A205" s="1" t="s">
        <v>444</v>
      </c>
      <c r="B205" s="2" t="s">
        <v>341</v>
      </c>
      <c r="C205" s="2" t="s">
        <v>296</v>
      </c>
      <c r="D205" s="2" t="s">
        <v>431</v>
      </c>
      <c r="E205" s="6">
        <v>2300</v>
      </c>
      <c r="F205" s="18">
        <v>150553.76693000001</v>
      </c>
      <c r="G205" s="18">
        <v>49489.53289000001</v>
      </c>
      <c r="H205" s="18">
        <v>50155.781270000007</v>
      </c>
      <c r="I205" s="18">
        <v>4592.9053800000002</v>
      </c>
      <c r="J205" s="18"/>
      <c r="K205" s="18">
        <v>7069.4899799999994</v>
      </c>
      <c r="L205" s="13">
        <f t="shared" si="0"/>
        <v>261861.47645000005</v>
      </c>
      <c r="M205" s="8"/>
      <c r="N205" s="165"/>
    </row>
    <row r="206" spans="1:14" s="3" customFormat="1" ht="12.2" customHeight="1" x14ac:dyDescent="0.15">
      <c r="A206" s="1" t="s">
        <v>445</v>
      </c>
      <c r="B206" s="2" t="s">
        <v>341</v>
      </c>
      <c r="C206" s="2" t="s">
        <v>297</v>
      </c>
      <c r="D206" s="2" t="s">
        <v>431</v>
      </c>
      <c r="E206" s="6">
        <v>2400</v>
      </c>
      <c r="F206" s="18">
        <v>456607.28</v>
      </c>
      <c r="G206" s="18">
        <v>217024.16</v>
      </c>
      <c r="H206" s="18">
        <v>14083.54</v>
      </c>
      <c r="I206" s="18">
        <v>2079.54</v>
      </c>
      <c r="J206" s="18">
        <v>3944.63</v>
      </c>
      <c r="K206" s="18">
        <v>4752.91</v>
      </c>
      <c r="L206" s="13">
        <f t="shared" si="0"/>
        <v>698492.06000000017</v>
      </c>
      <c r="M206" s="8"/>
      <c r="N206" s="165"/>
    </row>
    <row r="207" spans="1:14" s="3" customFormat="1" ht="12.2" customHeight="1" x14ac:dyDescent="0.15">
      <c r="A207" s="1" t="s">
        <v>446</v>
      </c>
      <c r="B207" s="2" t="s">
        <v>341</v>
      </c>
      <c r="C207" s="2" t="s">
        <v>298</v>
      </c>
      <c r="D207" s="2" t="s">
        <v>431</v>
      </c>
      <c r="E207" s="6">
        <v>2500</v>
      </c>
      <c r="F207" s="18">
        <v>145037.79500000001</v>
      </c>
      <c r="G207" s="18">
        <v>80696.888930000001</v>
      </c>
      <c r="H207" s="18">
        <v>0</v>
      </c>
      <c r="I207" s="18">
        <v>0</v>
      </c>
      <c r="J207" s="18">
        <v>0</v>
      </c>
      <c r="K207" s="18">
        <v>0</v>
      </c>
      <c r="L207" s="13">
        <f t="shared" si="0"/>
        <v>225734.68393</v>
      </c>
      <c r="M207" s="8"/>
      <c r="N207" s="165"/>
    </row>
    <row r="208" spans="1:14" s="3" customFormat="1" ht="12.2" customHeight="1" x14ac:dyDescent="0.15">
      <c r="A208" s="1" t="s">
        <v>447</v>
      </c>
      <c r="B208" s="2" t="s">
        <v>341</v>
      </c>
      <c r="C208" s="2" t="s">
        <v>299</v>
      </c>
      <c r="D208" s="2" t="s">
        <v>431</v>
      </c>
      <c r="E208" s="6">
        <v>2600</v>
      </c>
      <c r="F208" s="18">
        <v>356322.93400000001</v>
      </c>
      <c r="G208" s="18">
        <v>202415.37724</v>
      </c>
      <c r="H208" s="18">
        <v>194278.90302</v>
      </c>
      <c r="I208" s="18">
        <v>212638.79536000002</v>
      </c>
      <c r="J208" s="18">
        <v>281324.54000000004</v>
      </c>
      <c r="K208" s="18">
        <v>0</v>
      </c>
      <c r="L208" s="13">
        <f t="shared" si="0"/>
        <v>1246980.5496199999</v>
      </c>
      <c r="M208" s="8"/>
      <c r="N208" s="165"/>
    </row>
    <row r="209" spans="1:14" s="3" customFormat="1" ht="12.2" customHeight="1" x14ac:dyDescent="0.15">
      <c r="A209" s="1" t="s">
        <v>448</v>
      </c>
      <c r="B209" s="2" t="s">
        <v>341</v>
      </c>
      <c r="C209" s="2" t="s">
        <v>300</v>
      </c>
      <c r="D209" s="2" t="s">
        <v>431</v>
      </c>
      <c r="E209" s="6">
        <v>2700</v>
      </c>
      <c r="F209" s="18"/>
      <c r="G209" s="18"/>
      <c r="H209" s="18">
        <v>390240.54</v>
      </c>
      <c r="I209" s="18">
        <v>28349.8</v>
      </c>
      <c r="J209" s="18"/>
      <c r="K209" s="18"/>
      <c r="L209" s="13">
        <f t="shared" si="0"/>
        <v>418590.33999999997</v>
      </c>
      <c r="M209" s="8"/>
      <c r="N209" s="165"/>
    </row>
    <row r="210" spans="1:14" s="3" customFormat="1" ht="12.2" customHeight="1" x14ac:dyDescent="0.15">
      <c r="A210" s="1" t="s">
        <v>449</v>
      </c>
      <c r="B210" s="2" t="s">
        <v>341</v>
      </c>
      <c r="C210" s="2" t="s">
        <v>343</v>
      </c>
      <c r="D210" s="2" t="s">
        <v>431</v>
      </c>
      <c r="E210" s="6">
        <v>2800</v>
      </c>
      <c r="F210" s="18">
        <v>112780.85</v>
      </c>
      <c r="G210" s="18">
        <v>59205.503499999999</v>
      </c>
      <c r="H210" s="18"/>
      <c r="I210" s="18"/>
      <c r="J210" s="18"/>
      <c r="K210" s="18"/>
      <c r="L210" s="13">
        <f>SUM(F210:K210)</f>
        <v>171986.3535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5172322.5799799999</v>
      </c>
      <c r="G212" s="38">
        <f t="shared" si="1"/>
        <v>2691681.5039499998</v>
      </c>
      <c r="H212" s="38">
        <f t="shared" si="1"/>
        <v>2263381.6566000003</v>
      </c>
      <c r="I212" s="38">
        <f t="shared" si="1"/>
        <v>305644.88704</v>
      </c>
      <c r="J212" s="38">
        <f t="shared" si="1"/>
        <v>302755.53000000003</v>
      </c>
      <c r="K212" s="38">
        <f t="shared" si="1"/>
        <v>13339.10498</v>
      </c>
      <c r="L212" s="38">
        <f t="shared" si="1"/>
        <v>10749125.262549998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1086960.0514500001</v>
      </c>
      <c r="G234" s="18">
        <v>514903.40466</v>
      </c>
      <c r="H234" s="18">
        <v>60300.11</v>
      </c>
      <c r="I234" s="18">
        <v>41501.39</v>
      </c>
      <c r="J234" s="18">
        <v>12428.65</v>
      </c>
      <c r="K234" s="18">
        <v>3630</v>
      </c>
      <c r="L234" s="13">
        <f>SUM(F234:K234)</f>
        <v>1719723.6061100001</v>
      </c>
      <c r="M234" s="8"/>
      <c r="N234" s="165"/>
    </row>
    <row r="235" spans="1:14" s="3" customFormat="1" ht="12.2" customHeight="1" x14ac:dyDescent="0.15">
      <c r="A235" s="1" t="s">
        <v>439</v>
      </c>
      <c r="B235" s="2" t="s">
        <v>350</v>
      </c>
      <c r="C235" s="2" t="s">
        <v>291</v>
      </c>
      <c r="D235" s="2" t="s">
        <v>431</v>
      </c>
      <c r="E235" s="6">
        <v>1200</v>
      </c>
      <c r="F235" s="18">
        <v>320602.3175</v>
      </c>
      <c r="G235" s="18">
        <v>157625.84504000001</v>
      </c>
      <c r="H235" s="18">
        <v>219614.96931999997</v>
      </c>
      <c r="I235" s="18">
        <v>968.29001999999991</v>
      </c>
      <c r="J235" s="18">
        <v>0</v>
      </c>
      <c r="K235" s="18">
        <v>178.15499999999997</v>
      </c>
      <c r="L235" s="13">
        <f>SUM(F235:K235)</f>
        <v>698989.57688000007</v>
      </c>
      <c r="M235" s="8"/>
      <c r="N235" s="165"/>
    </row>
    <row r="236" spans="1:14" s="3" customFormat="1" ht="12.2" customHeight="1" x14ac:dyDescent="0.15">
      <c r="A236" s="1" t="s">
        <v>440</v>
      </c>
      <c r="B236" s="2" t="s">
        <v>350</v>
      </c>
      <c r="C236" s="2" t="s">
        <v>292</v>
      </c>
      <c r="D236" s="2" t="s">
        <v>431</v>
      </c>
      <c r="E236" s="6">
        <v>1300</v>
      </c>
      <c r="F236" s="18"/>
      <c r="G236" s="18"/>
      <c r="H236" s="18">
        <v>64241.55</v>
      </c>
      <c r="I236" s="18"/>
      <c r="J236" s="18"/>
      <c r="K236" s="18"/>
      <c r="L236" s="13">
        <f>SUM(F236:K236)</f>
        <v>64241.55</v>
      </c>
      <c r="M236" s="8"/>
      <c r="N236" s="165"/>
    </row>
    <row r="237" spans="1:14" s="3" customFormat="1" ht="12.2" customHeight="1" x14ac:dyDescent="0.15">
      <c r="A237" s="1" t="s">
        <v>441</v>
      </c>
      <c r="B237" s="2" t="s">
        <v>350</v>
      </c>
      <c r="C237" s="2" t="s">
        <v>293</v>
      </c>
      <c r="D237" s="2" t="s">
        <v>431</v>
      </c>
      <c r="E237" s="6">
        <v>1400</v>
      </c>
      <c r="F237" s="18">
        <v>90247</v>
      </c>
      <c r="G237" s="18">
        <v>31976.62</v>
      </c>
      <c r="H237" s="18">
        <v>25586.31</v>
      </c>
      <c r="I237" s="18">
        <v>12324.8</v>
      </c>
      <c r="J237" s="18">
        <v>4747.49</v>
      </c>
      <c r="K237" s="18">
        <v>8246</v>
      </c>
      <c r="L237" s="13">
        <f>SUM(F237:K237)</f>
        <v>173128.21999999997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226991.56</v>
      </c>
      <c r="G239" s="18">
        <v>121492.04240999998</v>
      </c>
      <c r="H239" s="18">
        <v>113657.31517</v>
      </c>
      <c r="I239" s="18">
        <v>4597.1750599999996</v>
      </c>
      <c r="J239" s="18">
        <v>0</v>
      </c>
      <c r="K239" s="18">
        <v>343</v>
      </c>
      <c r="L239" s="13">
        <f t="shared" ref="L239:L245" si="4">SUM(F239:K239)</f>
        <v>467081.09263999999</v>
      </c>
      <c r="M239" s="8"/>
      <c r="N239" s="165"/>
    </row>
    <row r="240" spans="1:14" s="3" customFormat="1" ht="12.2" customHeight="1" x14ac:dyDescent="0.15">
      <c r="A240" s="1" t="s">
        <v>443</v>
      </c>
      <c r="B240" s="2" t="s">
        <v>350</v>
      </c>
      <c r="C240" s="2" t="s">
        <v>295</v>
      </c>
      <c r="D240" s="2" t="s">
        <v>431</v>
      </c>
      <c r="E240" s="6">
        <v>2200</v>
      </c>
      <c r="F240" s="18">
        <v>66472.456999999995</v>
      </c>
      <c r="G240" s="18">
        <v>35445.856499999994</v>
      </c>
      <c r="H240" s="18">
        <v>34789.483200000002</v>
      </c>
      <c r="I240" s="18">
        <v>9674.7486200000021</v>
      </c>
      <c r="J240" s="18">
        <v>12745.2</v>
      </c>
      <c r="K240" s="18">
        <v>109.13999999999999</v>
      </c>
      <c r="L240" s="13">
        <f t="shared" si="4"/>
        <v>159236.88532000003</v>
      </c>
      <c r="M240" s="8"/>
      <c r="N240" s="165"/>
    </row>
    <row r="241" spans="1:14" s="3" customFormat="1" ht="12.2" customHeight="1" x14ac:dyDescent="0.15">
      <c r="A241" s="1" t="s">
        <v>444</v>
      </c>
      <c r="B241" s="2" t="s">
        <v>350</v>
      </c>
      <c r="C241" s="2" t="s">
        <v>296</v>
      </c>
      <c r="D241" s="2" t="s">
        <v>431</v>
      </c>
      <c r="E241" s="6">
        <v>2300</v>
      </c>
      <c r="F241" s="18">
        <v>71174.90307</v>
      </c>
      <c r="G241" s="18">
        <v>23396.377109999994</v>
      </c>
      <c r="H241" s="18">
        <v>23711.348729999998</v>
      </c>
      <c r="I241" s="18">
        <v>2171.3146199999992</v>
      </c>
      <c r="J241" s="18">
        <v>0</v>
      </c>
      <c r="K241" s="18">
        <v>3342.1300199999996</v>
      </c>
      <c r="L241" s="13">
        <f t="shared" si="4"/>
        <v>123796.07355</v>
      </c>
      <c r="M241" s="8"/>
      <c r="N241" s="165"/>
    </row>
    <row r="242" spans="1:14" s="3" customFormat="1" ht="12.2" customHeight="1" x14ac:dyDescent="0.15">
      <c r="A242" s="1" t="s">
        <v>445</v>
      </c>
      <c r="B242" s="2" t="s">
        <v>350</v>
      </c>
      <c r="C242" s="2" t="s">
        <v>297</v>
      </c>
      <c r="D242" s="2" t="s">
        <v>431</v>
      </c>
      <c r="E242" s="6">
        <v>2400</v>
      </c>
      <c r="F242" s="18">
        <v>249410.12</v>
      </c>
      <c r="G242" s="18">
        <v>135109.97</v>
      </c>
      <c r="H242" s="18">
        <v>9518.0300000000007</v>
      </c>
      <c r="I242" s="18">
        <v>1718.32</v>
      </c>
      <c r="J242" s="18">
        <v>4654.3100000000004</v>
      </c>
      <c r="K242" s="18">
        <v>7363.06</v>
      </c>
      <c r="L242" s="13">
        <f t="shared" si="4"/>
        <v>407773.81</v>
      </c>
      <c r="M242" s="8"/>
      <c r="N242" s="165"/>
    </row>
    <row r="243" spans="1:14" s="3" customFormat="1" ht="12.2" customHeight="1" x14ac:dyDescent="0.15">
      <c r="A243" s="1" t="s">
        <v>446</v>
      </c>
      <c r="B243" s="2" t="s">
        <v>350</v>
      </c>
      <c r="C243" s="2" t="s">
        <v>298</v>
      </c>
      <c r="D243" s="2" t="s">
        <v>431</v>
      </c>
      <c r="E243" s="6">
        <v>2500</v>
      </c>
      <c r="F243" s="18">
        <v>68567.204999999987</v>
      </c>
      <c r="G243" s="18">
        <v>38149.781069999997</v>
      </c>
      <c r="H243" s="18">
        <v>0</v>
      </c>
      <c r="I243" s="18">
        <v>0</v>
      </c>
      <c r="J243" s="18">
        <v>0</v>
      </c>
      <c r="K243" s="18">
        <v>0</v>
      </c>
      <c r="L243" s="13">
        <f t="shared" si="4"/>
        <v>106716.98606999998</v>
      </c>
      <c r="M243" s="8"/>
      <c r="N243" s="165"/>
    </row>
    <row r="244" spans="1:14" s="3" customFormat="1" ht="12.2" customHeight="1" x14ac:dyDescent="0.15">
      <c r="A244" s="1" t="s">
        <v>447</v>
      </c>
      <c r="B244" s="2" t="s">
        <v>350</v>
      </c>
      <c r="C244" s="2" t="s">
        <v>299</v>
      </c>
      <c r="D244" s="2" t="s">
        <v>431</v>
      </c>
      <c r="E244" s="6">
        <v>2600</v>
      </c>
      <c r="F244" s="18">
        <v>202492.016</v>
      </c>
      <c r="G244" s="18">
        <v>118643.15276</v>
      </c>
      <c r="H244" s="18">
        <v>67480.026979999995</v>
      </c>
      <c r="I244" s="18">
        <v>139299.19464</v>
      </c>
      <c r="J244" s="18">
        <v>186254.93</v>
      </c>
      <c r="K244" s="18">
        <v>0</v>
      </c>
      <c r="L244" s="13">
        <f t="shared" si="4"/>
        <v>714169.32037999993</v>
      </c>
      <c r="M244" s="8"/>
      <c r="N244" s="165"/>
    </row>
    <row r="245" spans="1:14" s="3" customFormat="1" ht="12.2" customHeight="1" x14ac:dyDescent="0.15">
      <c r="A245" s="1" t="s">
        <v>448</v>
      </c>
      <c r="B245" s="2" t="s">
        <v>350</v>
      </c>
      <c r="C245" s="2" t="s">
        <v>300</v>
      </c>
      <c r="D245" s="2" t="s">
        <v>431</v>
      </c>
      <c r="E245" s="6">
        <v>2700</v>
      </c>
      <c r="F245" s="18"/>
      <c r="G245" s="18"/>
      <c r="H245" s="18">
        <v>277027.65877999994</v>
      </c>
      <c r="I245" s="18">
        <v>13402.481879999999</v>
      </c>
      <c r="J245" s="18"/>
      <c r="K245" s="18"/>
      <c r="L245" s="13">
        <f t="shared" si="4"/>
        <v>290430.14065999992</v>
      </c>
      <c r="M245" s="8"/>
      <c r="N245" s="165"/>
    </row>
    <row r="246" spans="1:14" s="3" customFormat="1" ht="12.2" customHeight="1" x14ac:dyDescent="0.15">
      <c r="A246" s="1" t="s">
        <v>449</v>
      </c>
      <c r="B246" s="2" t="s">
        <v>350</v>
      </c>
      <c r="C246" s="2" t="s">
        <v>343</v>
      </c>
      <c r="D246" s="2" t="s">
        <v>431</v>
      </c>
      <c r="E246" s="6">
        <v>2800</v>
      </c>
      <c r="F246" s="18">
        <v>60728.149999999994</v>
      </c>
      <c r="G246" s="18">
        <v>31879.886500000001</v>
      </c>
      <c r="H246" s="18"/>
      <c r="I246" s="18"/>
      <c r="J246" s="18"/>
      <c r="K246" s="18"/>
      <c r="L246" s="13">
        <f>SUM(F246:K246)</f>
        <v>92608.036499999987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2443645.7800199999</v>
      </c>
      <c r="G248" s="38">
        <f t="shared" si="5"/>
        <v>1208622.9360499999</v>
      </c>
      <c r="H248" s="38">
        <f t="shared" si="5"/>
        <v>895926.80217999988</v>
      </c>
      <c r="I248" s="38">
        <f t="shared" si="5"/>
        <v>225657.71484000003</v>
      </c>
      <c r="J248" s="38">
        <f t="shared" si="5"/>
        <v>220830.58</v>
      </c>
      <c r="K248" s="38">
        <f t="shared" si="5"/>
        <v>23211.48502</v>
      </c>
      <c r="L248" s="38">
        <f t="shared" si="5"/>
        <v>5017895.2981100008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20422.5</v>
      </c>
      <c r="G252" s="18">
        <v>1717.16</v>
      </c>
      <c r="H252" s="18"/>
      <c r="I252" s="18">
        <v>393.29</v>
      </c>
      <c r="J252" s="18"/>
      <c r="K252" s="18"/>
      <c r="L252" s="13">
        <f t="shared" si="6"/>
        <v>22532.95</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20422.5</v>
      </c>
      <c r="G257" s="38">
        <f t="shared" si="7"/>
        <v>1717.16</v>
      </c>
      <c r="H257" s="38">
        <f t="shared" si="7"/>
        <v>0</v>
      </c>
      <c r="I257" s="38">
        <f t="shared" si="7"/>
        <v>393.29</v>
      </c>
      <c r="J257" s="38">
        <f t="shared" si="7"/>
        <v>0</v>
      </c>
      <c r="K257" s="38">
        <f t="shared" si="7"/>
        <v>0</v>
      </c>
      <c r="L257" s="38">
        <f>SUM(F257:K257)</f>
        <v>22532.95</v>
      </c>
      <c r="M257" s="8"/>
      <c r="N257" s="165"/>
    </row>
    <row r="258" spans="1:14" s="3" customFormat="1" ht="12.2" customHeight="1" thickTop="1" x14ac:dyDescent="0.15">
      <c r="A258" s="35" t="s">
        <v>462</v>
      </c>
      <c r="B258" s="37">
        <v>10</v>
      </c>
      <c r="C258" s="37">
        <v>8</v>
      </c>
      <c r="D258" s="36" t="s">
        <v>431</v>
      </c>
      <c r="E258" s="37"/>
      <c r="F258" s="38">
        <f t="shared" ref="F258:L258" si="8">F212+F230+F248+F257</f>
        <v>7636390.8599999994</v>
      </c>
      <c r="G258" s="38">
        <f t="shared" si="8"/>
        <v>3902021.5999999996</v>
      </c>
      <c r="H258" s="38">
        <f t="shared" si="8"/>
        <v>3159308.45878</v>
      </c>
      <c r="I258" s="38">
        <f t="shared" si="8"/>
        <v>531695.89188000001</v>
      </c>
      <c r="J258" s="38">
        <f t="shared" si="8"/>
        <v>523586.11</v>
      </c>
      <c r="K258" s="38">
        <f t="shared" si="8"/>
        <v>36550.589999999997</v>
      </c>
      <c r="L258" s="38">
        <f t="shared" si="8"/>
        <v>15789553.510659998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222198.24</v>
      </c>
      <c r="L261" s="13">
        <f>SUM(F261:K261)</f>
        <v>222198.24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84257.21</v>
      </c>
      <c r="L262" s="13">
        <f>SUM(F262:K262)</f>
        <v>84257.21</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306455.45</v>
      </c>
      <c r="L271" s="38">
        <f t="shared" si="9"/>
        <v>306455.45</v>
      </c>
      <c r="M271" s="8"/>
      <c r="N271" s="165"/>
    </row>
    <row r="272" spans="1:14" s="33" customFormat="1" ht="12.2" customHeight="1" thickTop="1" x14ac:dyDescent="0.2">
      <c r="A272" s="40" t="s">
        <v>464</v>
      </c>
      <c r="B272" s="37">
        <v>10</v>
      </c>
      <c r="C272" s="37">
        <v>18</v>
      </c>
      <c r="D272" s="36" t="s">
        <v>431</v>
      </c>
      <c r="E272" s="37"/>
      <c r="F272" s="39">
        <f t="shared" ref="F272:L272" si="11">F258+F271</f>
        <v>7636390.8599999994</v>
      </c>
      <c r="G272" s="39">
        <f t="shared" si="11"/>
        <v>3902021.5999999996</v>
      </c>
      <c r="H272" s="39">
        <f t="shared" si="11"/>
        <v>3159308.45878</v>
      </c>
      <c r="I272" s="39">
        <f t="shared" si="11"/>
        <v>531695.89188000001</v>
      </c>
      <c r="J272" s="39">
        <f t="shared" si="11"/>
        <v>523586.11</v>
      </c>
      <c r="K272" s="39">
        <f t="shared" si="11"/>
        <v>343006.04000000004</v>
      </c>
      <c r="L272" s="39">
        <f t="shared" si="11"/>
        <v>16096008.960659998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459071.44</v>
      </c>
      <c r="G277" s="18">
        <v>281480.55242999998</v>
      </c>
      <c r="H277" s="18">
        <v>2478.3500000000004</v>
      </c>
      <c r="I277" s="18">
        <v>56095.068589999995</v>
      </c>
      <c r="J277" s="18">
        <v>0</v>
      </c>
      <c r="K277" s="18">
        <v>0</v>
      </c>
      <c r="L277" s="13">
        <f>SUM(F277:K277)</f>
        <v>799125.41102</v>
      </c>
      <c r="M277" s="8"/>
      <c r="N277" s="165"/>
    </row>
    <row r="278" spans="1:14" s="3" customFormat="1" ht="12.2" customHeight="1" x14ac:dyDescent="0.15">
      <c r="A278" s="1" t="s">
        <v>439</v>
      </c>
      <c r="B278" s="2" t="s">
        <v>357</v>
      </c>
      <c r="C278" s="2" t="s">
        <v>291</v>
      </c>
      <c r="D278" s="2" t="s">
        <v>431</v>
      </c>
      <c r="E278" s="6">
        <v>1200</v>
      </c>
      <c r="F278" s="18">
        <v>201386.44435000001</v>
      </c>
      <c r="G278" s="18">
        <v>88482.275800000003</v>
      </c>
      <c r="H278" s="18">
        <v>49168.168980000002</v>
      </c>
      <c r="I278" s="18">
        <v>2542.5562400000003</v>
      </c>
      <c r="J278" s="18">
        <v>0</v>
      </c>
      <c r="K278" s="18">
        <v>0</v>
      </c>
      <c r="L278" s="13">
        <f>SUM(F278:K278)</f>
        <v>341579.44537000003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74019.850000000006</v>
      </c>
      <c r="G280" s="18">
        <v>19799.795760000001</v>
      </c>
      <c r="H280" s="18">
        <v>18325.236530000002</v>
      </c>
      <c r="I280" s="18">
        <v>33484.305619999999</v>
      </c>
      <c r="J280" s="18">
        <v>0</v>
      </c>
      <c r="K280" s="18">
        <v>0</v>
      </c>
      <c r="L280" s="13">
        <f>SUM(F280:K280)</f>
        <v>145629.18791000001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260865.32803999999</v>
      </c>
      <c r="G282" s="18">
        <v>117147.41300000002</v>
      </c>
      <c r="H282" s="18">
        <v>31413.109120000001</v>
      </c>
      <c r="I282" s="18">
        <v>5660.98596</v>
      </c>
      <c r="J282" s="18">
        <v>21851.442200000001</v>
      </c>
      <c r="K282" s="18">
        <v>0</v>
      </c>
      <c r="L282" s="13">
        <f t="shared" ref="L282:L288" si="12">SUM(F282:K282)</f>
        <v>436938.27831999998</v>
      </c>
      <c r="M282" s="8"/>
      <c r="N282" s="165"/>
    </row>
    <row r="283" spans="1:14" s="3" customFormat="1" ht="12.2" customHeight="1" x14ac:dyDescent="0.15">
      <c r="A283" s="1" t="s">
        <v>443</v>
      </c>
      <c r="B283" s="2" t="s">
        <v>357</v>
      </c>
      <c r="C283" s="2" t="s">
        <v>295</v>
      </c>
      <c r="D283" s="2" t="s">
        <v>431</v>
      </c>
      <c r="E283" s="6">
        <v>2200</v>
      </c>
      <c r="F283" s="18">
        <v>140873.14850000001</v>
      </c>
      <c r="G283" s="18">
        <v>57014.971370000007</v>
      </c>
      <c r="H283" s="18">
        <v>183101.19737000004</v>
      </c>
      <c r="I283" s="18">
        <v>36015.329720000002</v>
      </c>
      <c r="J283" s="18">
        <v>200959.90371000001</v>
      </c>
      <c r="K283" s="18">
        <v>0</v>
      </c>
      <c r="L283" s="13">
        <f t="shared" si="12"/>
        <v>617964.55067000003</v>
      </c>
      <c r="M283" s="8"/>
      <c r="N283" s="165"/>
    </row>
    <row r="284" spans="1:14" s="3" customFormat="1" ht="12.2" customHeight="1" x14ac:dyDescent="0.15">
      <c r="A284" s="1" t="s">
        <v>444</v>
      </c>
      <c r="B284" s="2" t="s">
        <v>357</v>
      </c>
      <c r="C284" s="2" t="s">
        <v>296</v>
      </c>
      <c r="D284" s="2" t="s">
        <v>431</v>
      </c>
      <c r="E284" s="6">
        <v>2300</v>
      </c>
      <c r="F284" s="18">
        <v>70325.388000000006</v>
      </c>
      <c r="G284" s="18">
        <v>50010.909830000004</v>
      </c>
      <c r="H284" s="18">
        <v>17471.579860000002</v>
      </c>
      <c r="I284" s="18">
        <v>6288.3819600000006</v>
      </c>
      <c r="J284" s="18">
        <v>0</v>
      </c>
      <c r="K284" s="18">
        <v>3394.3210000000004</v>
      </c>
      <c r="L284" s="13">
        <f t="shared" si="12"/>
        <v>147490.58065000002</v>
      </c>
      <c r="M284" s="8"/>
      <c r="N284" s="165"/>
    </row>
    <row r="285" spans="1:14" s="3" customFormat="1" ht="12.2" customHeight="1" x14ac:dyDescent="0.15">
      <c r="A285" s="1" t="s">
        <v>445</v>
      </c>
      <c r="B285" s="2" t="s">
        <v>357</v>
      </c>
      <c r="C285" s="2" t="s">
        <v>297</v>
      </c>
      <c r="D285" s="2" t="s">
        <v>431</v>
      </c>
      <c r="E285" s="6">
        <v>2400</v>
      </c>
      <c r="F285" s="18">
        <v>1033.7775000000001</v>
      </c>
      <c r="G285" s="18">
        <v>296.24770000000001</v>
      </c>
      <c r="H285" s="18">
        <v>0</v>
      </c>
      <c r="I285" s="18">
        <v>0</v>
      </c>
      <c r="J285" s="18">
        <v>0</v>
      </c>
      <c r="K285" s="18">
        <v>0</v>
      </c>
      <c r="L285" s="13">
        <f t="shared" si="12"/>
        <v>1330.0252</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9413.52</v>
      </c>
      <c r="G287" s="18">
        <v>5019.0200000000004</v>
      </c>
      <c r="H287" s="18">
        <v>1358</v>
      </c>
      <c r="I287" s="18">
        <v>0</v>
      </c>
      <c r="J287" s="18">
        <v>541630.31495999999</v>
      </c>
      <c r="K287" s="18">
        <v>0</v>
      </c>
      <c r="L287" s="13">
        <f t="shared" si="12"/>
        <v>557420.85496000003</v>
      </c>
      <c r="M287" s="8"/>
      <c r="N287" s="165"/>
    </row>
    <row r="288" spans="1:14" s="3" customFormat="1" ht="12.2" customHeight="1" x14ac:dyDescent="0.15">
      <c r="A288" s="1" t="s">
        <v>448</v>
      </c>
      <c r="B288" s="2" t="s">
        <v>357</v>
      </c>
      <c r="C288" s="2" t="s">
        <v>300</v>
      </c>
      <c r="D288" s="2" t="s">
        <v>431</v>
      </c>
      <c r="E288" s="6">
        <v>2700</v>
      </c>
      <c r="F288" s="18"/>
      <c r="G288" s="18"/>
      <c r="H288" s="18">
        <v>19380.092690000001</v>
      </c>
      <c r="I288" s="18"/>
      <c r="J288" s="18"/>
      <c r="K288" s="18"/>
      <c r="L288" s="13">
        <f t="shared" si="12"/>
        <v>19380.092690000001</v>
      </c>
      <c r="M288" s="8"/>
      <c r="N288" s="165"/>
    </row>
    <row r="289" spans="1:14" s="3" customFormat="1" ht="12.2" customHeight="1" x14ac:dyDescent="0.15">
      <c r="A289" s="1" t="s">
        <v>449</v>
      </c>
      <c r="B289" s="2" t="s">
        <v>357</v>
      </c>
      <c r="C289" s="2" t="s">
        <v>343</v>
      </c>
      <c r="D289" s="2" t="s">
        <v>431</v>
      </c>
      <c r="E289" s="6">
        <v>2800</v>
      </c>
      <c r="F289" s="18">
        <v>2167.1</v>
      </c>
      <c r="G289" s="18">
        <v>166.9265</v>
      </c>
      <c r="H289" s="18">
        <v>0</v>
      </c>
      <c r="I289" s="18">
        <v>0</v>
      </c>
      <c r="J289" s="18">
        <v>0</v>
      </c>
      <c r="K289" s="18">
        <v>0</v>
      </c>
      <c r="L289" s="13">
        <f>SUM(F289:K289)</f>
        <v>2334.0264999999999</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1219155.99639</v>
      </c>
      <c r="G291" s="39">
        <f t="shared" si="13"/>
        <v>619418.11238999991</v>
      </c>
      <c r="H291" s="39">
        <f t="shared" si="13"/>
        <v>322695.73455000005</v>
      </c>
      <c r="I291" s="39">
        <f t="shared" si="13"/>
        <v>140086.62808999998</v>
      </c>
      <c r="J291" s="39">
        <f t="shared" si="13"/>
        <v>764441.66087000002</v>
      </c>
      <c r="K291" s="39">
        <f t="shared" si="13"/>
        <v>3394.3210000000004</v>
      </c>
      <c r="L291" s="38">
        <f t="shared" si="13"/>
        <v>3069192.4532900006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1955.06</v>
      </c>
      <c r="G315" s="18">
        <v>546.46756999999991</v>
      </c>
      <c r="H315" s="18">
        <v>1171.6499999999996</v>
      </c>
      <c r="I315" s="18">
        <v>10408.171409999999</v>
      </c>
      <c r="J315" s="18">
        <v>6210</v>
      </c>
      <c r="K315" s="18">
        <v>0</v>
      </c>
      <c r="L315" s="13">
        <f>SUM(F315:K315)</f>
        <v>20291.348979999999</v>
      </c>
      <c r="M315" s="8"/>
      <c r="N315" s="165"/>
    </row>
    <row r="316" spans="1:14" s="3" customFormat="1" ht="12.2" customHeight="1" x14ac:dyDescent="0.15">
      <c r="A316" s="1" t="s">
        <v>439</v>
      </c>
      <c r="B316" s="2" t="s">
        <v>359</v>
      </c>
      <c r="C316" s="2" t="s">
        <v>291</v>
      </c>
      <c r="D316" s="2" t="s">
        <v>431</v>
      </c>
      <c r="E316" s="6">
        <v>1200</v>
      </c>
      <c r="F316" s="18">
        <v>181293.60564999998</v>
      </c>
      <c r="G316" s="18">
        <v>93333.724199999997</v>
      </c>
      <c r="H316" s="18">
        <v>23244.451019999993</v>
      </c>
      <c r="I316" s="18">
        <v>1202.0037599999996</v>
      </c>
      <c r="J316" s="18">
        <v>0</v>
      </c>
      <c r="K316" s="18">
        <v>0</v>
      </c>
      <c r="L316" s="13">
        <f>SUM(F316:K316)</f>
        <v>299073.78462999995</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6887.9</v>
      </c>
      <c r="G318" s="18">
        <v>2211.6942399999994</v>
      </c>
      <c r="H318" s="18">
        <v>17901.00347</v>
      </c>
      <c r="I318" s="18">
        <v>18907.40438</v>
      </c>
      <c r="J318" s="18">
        <v>0</v>
      </c>
      <c r="K318" s="18">
        <v>0</v>
      </c>
      <c r="L318" s="13">
        <f>SUM(F318:K318)</f>
        <v>45908.002089999994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124615.43195999999</v>
      </c>
      <c r="G320" s="18">
        <f>40785.247+0.4</f>
        <v>40785.647000000004</v>
      </c>
      <c r="H320" s="18">
        <v>14622.890879999999</v>
      </c>
      <c r="I320" s="18">
        <v>2676.2540399999998</v>
      </c>
      <c r="J320" s="18">
        <v>10330.357799999998</v>
      </c>
      <c r="K320" s="18">
        <v>0</v>
      </c>
      <c r="L320" s="13">
        <f t="shared" ref="L320:L326" si="16">SUM(F320:K320)</f>
        <v>193030.58167999997</v>
      </c>
      <c r="M320" s="8"/>
      <c r="N320" s="165"/>
    </row>
    <row r="321" spans="1:14" s="3" customFormat="1" ht="12.2" customHeight="1" x14ac:dyDescent="0.15">
      <c r="A321" s="1" t="s">
        <v>443</v>
      </c>
      <c r="B321" s="2" t="s">
        <v>359</v>
      </c>
      <c r="C321" s="2" t="s">
        <v>295</v>
      </c>
      <c r="D321" s="2" t="s">
        <v>431</v>
      </c>
      <c r="E321" s="6">
        <v>2200</v>
      </c>
      <c r="F321" s="18">
        <v>66598.35149999999</v>
      </c>
      <c r="G321" s="18">
        <v>26954.058629999992</v>
      </c>
      <c r="H321" s="18">
        <v>86561.83262999999</v>
      </c>
      <c r="I321" s="18">
        <v>17247.870279999999</v>
      </c>
      <c r="J321" s="18">
        <v>112835.08629000001</v>
      </c>
      <c r="K321" s="18">
        <v>0</v>
      </c>
      <c r="L321" s="13">
        <f t="shared" si="16"/>
        <v>310197.19932999997</v>
      </c>
      <c r="M321" s="8"/>
      <c r="N321" s="165"/>
    </row>
    <row r="322" spans="1:14" s="3" customFormat="1" ht="12.2" customHeight="1" x14ac:dyDescent="0.15">
      <c r="A322" s="1" t="s">
        <v>444</v>
      </c>
      <c r="B322" s="2" t="s">
        <v>359</v>
      </c>
      <c r="C322" s="2" t="s">
        <v>296</v>
      </c>
      <c r="D322" s="2" t="s">
        <v>431</v>
      </c>
      <c r="E322" s="6">
        <v>2300</v>
      </c>
      <c r="F322" s="18">
        <v>33246.611999999994</v>
      </c>
      <c r="G322" s="18">
        <v>23642.86017</v>
      </c>
      <c r="H322" s="18">
        <v>8259.7601399999985</v>
      </c>
      <c r="I322" s="18">
        <v>2972.8580399999992</v>
      </c>
      <c r="J322" s="18">
        <v>0</v>
      </c>
      <c r="K322" s="18">
        <v>1604.6789999999996</v>
      </c>
      <c r="L322" s="13">
        <f t="shared" si="16"/>
        <v>69726.769349999988</v>
      </c>
      <c r="M322" s="8"/>
      <c r="N322" s="165"/>
    </row>
    <row r="323" spans="1:14" s="3" customFormat="1" ht="12.2" customHeight="1" x14ac:dyDescent="0.15">
      <c r="A323" s="1" t="s">
        <v>445</v>
      </c>
      <c r="B323" s="2" t="s">
        <v>359</v>
      </c>
      <c r="C323" s="2" t="s">
        <v>297</v>
      </c>
      <c r="D323" s="2" t="s">
        <v>431</v>
      </c>
      <c r="E323" s="6">
        <v>2400</v>
      </c>
      <c r="F323" s="18">
        <v>488.72249999999985</v>
      </c>
      <c r="G323" s="18">
        <v>140.0523</v>
      </c>
      <c r="H323" s="18">
        <v>0</v>
      </c>
      <c r="I323" s="18">
        <v>0</v>
      </c>
      <c r="J323" s="18">
        <v>0</v>
      </c>
      <c r="K323" s="18">
        <v>0</v>
      </c>
      <c r="L323" s="13">
        <f t="shared" si="16"/>
        <v>628.77479999999991</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642</v>
      </c>
      <c r="I325" s="18">
        <v>0</v>
      </c>
      <c r="J325" s="18">
        <v>256057.92504</v>
      </c>
      <c r="K325" s="18">
        <v>0</v>
      </c>
      <c r="L325" s="13">
        <f t="shared" si="16"/>
        <v>256699.92504</v>
      </c>
      <c r="M325" s="8"/>
      <c r="N325" s="165"/>
    </row>
    <row r="326" spans="1:14" s="3" customFormat="1" ht="12.2" customHeight="1" x14ac:dyDescent="0.15">
      <c r="A326" s="1" t="s">
        <v>448</v>
      </c>
      <c r="B326" s="2" t="s">
        <v>359</v>
      </c>
      <c r="C326" s="2" t="s">
        <v>300</v>
      </c>
      <c r="D326" s="2" t="s">
        <v>431</v>
      </c>
      <c r="E326" s="6">
        <v>2700</v>
      </c>
      <c r="F326" s="18"/>
      <c r="G326" s="18"/>
      <c r="H326" s="18">
        <v>11110.96731</v>
      </c>
      <c r="I326" s="18"/>
      <c r="J326" s="18"/>
      <c r="K326" s="18"/>
      <c r="L326" s="13">
        <f t="shared" si="16"/>
        <v>11110.96731</v>
      </c>
      <c r="M326" s="8"/>
      <c r="N326" s="165"/>
    </row>
    <row r="327" spans="1:14" s="3" customFormat="1" ht="12.2" customHeight="1" x14ac:dyDescent="0.15">
      <c r="A327" s="1" t="s">
        <v>449</v>
      </c>
      <c r="B327" s="2" t="s">
        <v>359</v>
      </c>
      <c r="C327" s="2" t="s">
        <v>343</v>
      </c>
      <c r="D327" s="2" t="s">
        <v>431</v>
      </c>
      <c r="E327" s="6">
        <v>2800</v>
      </c>
      <c r="F327" s="18">
        <v>1166.9000000000001</v>
      </c>
      <c r="G327" s="18">
        <v>89.883499999999998</v>
      </c>
      <c r="H327" s="18">
        <v>0</v>
      </c>
      <c r="I327" s="18">
        <v>0</v>
      </c>
      <c r="J327" s="18">
        <v>0</v>
      </c>
      <c r="K327" s="18">
        <v>0</v>
      </c>
      <c r="L327" s="13">
        <f>SUM(F327:K327)</f>
        <v>1256.7835</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416252.58360999991</v>
      </c>
      <c r="G329" s="39">
        <f t="shared" si="17"/>
        <v>187704.38760999998</v>
      </c>
      <c r="H329" s="39">
        <f t="shared" si="17"/>
        <v>163514.55544999999</v>
      </c>
      <c r="I329" s="39">
        <f t="shared" si="17"/>
        <v>53414.561909999997</v>
      </c>
      <c r="J329" s="39">
        <f t="shared" si="17"/>
        <v>385433.36913000001</v>
      </c>
      <c r="K329" s="39">
        <f t="shared" si="17"/>
        <v>1604.6789999999996</v>
      </c>
      <c r="L329" s="38">
        <f t="shared" si="17"/>
        <v>1207924.1367099998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16200</v>
      </c>
      <c r="G334" s="18">
        <v>4546.97</v>
      </c>
      <c r="H334" s="18"/>
      <c r="I334" s="18"/>
      <c r="J334" s="18"/>
      <c r="K334" s="18"/>
      <c r="L334" s="13">
        <f t="shared" si="18"/>
        <v>20746.97</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16200</v>
      </c>
      <c r="G338" s="38">
        <f t="shared" si="19"/>
        <v>4546.97</v>
      </c>
      <c r="H338" s="38">
        <f t="shared" si="19"/>
        <v>0</v>
      </c>
      <c r="I338" s="38">
        <f t="shared" si="19"/>
        <v>0</v>
      </c>
      <c r="J338" s="38">
        <f t="shared" si="19"/>
        <v>0</v>
      </c>
      <c r="K338" s="38">
        <f t="shared" si="19"/>
        <v>0</v>
      </c>
      <c r="L338" s="38">
        <f t="shared" si="18"/>
        <v>20746.97</v>
      </c>
      <c r="M338" s="8"/>
      <c r="N338" s="165"/>
    </row>
    <row r="339" spans="1:43" s="3" customFormat="1" ht="12.2" customHeight="1" thickTop="1" x14ac:dyDescent="0.15">
      <c r="A339" s="35" t="s">
        <v>468</v>
      </c>
      <c r="B339" s="37">
        <v>14</v>
      </c>
      <c r="C339" s="37">
        <v>7</v>
      </c>
      <c r="D339" s="36" t="s">
        <v>431</v>
      </c>
      <c r="E339" s="37"/>
      <c r="F339" s="38">
        <f t="shared" ref="F339:L339" si="20">F291+F310+F329+F338</f>
        <v>1651608.5799999998</v>
      </c>
      <c r="G339" s="38">
        <f t="shared" si="20"/>
        <v>811669.46999999986</v>
      </c>
      <c r="H339" s="38">
        <f t="shared" si="20"/>
        <v>486210.29000000004</v>
      </c>
      <c r="I339" s="38">
        <f t="shared" si="20"/>
        <v>193501.18999999997</v>
      </c>
      <c r="J339" s="38">
        <f t="shared" si="20"/>
        <v>1149875.03</v>
      </c>
      <c r="K339" s="38">
        <f t="shared" si="20"/>
        <v>4999</v>
      </c>
      <c r="L339" s="38">
        <f t="shared" si="20"/>
        <v>4297863.5599999996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118975.66</v>
      </c>
      <c r="L345" s="13">
        <f t="shared" ref="L345:L351" si="21">SUM(F345:K345)</f>
        <v>118975.66</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3336.72</v>
      </c>
      <c r="L346" s="13">
        <f t="shared" si="21"/>
        <v>3336.72</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122312.38</v>
      </c>
      <c r="L352" s="38">
        <f>SUM(L342:L351)</f>
        <v>122312.38</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1651608.5799999998</v>
      </c>
      <c r="G353" s="38">
        <f>G339</f>
        <v>811669.46999999986</v>
      </c>
      <c r="H353" s="38">
        <f>H339</f>
        <v>486210.29000000004</v>
      </c>
      <c r="I353" s="38">
        <f>I339</f>
        <v>193501.18999999997</v>
      </c>
      <c r="J353" s="38">
        <f>J339</f>
        <v>1149875.03</v>
      </c>
      <c r="K353" s="38">
        <f>K339+K352</f>
        <v>127311.38</v>
      </c>
      <c r="L353" s="38">
        <f>L339+L352</f>
        <v>4420175.9399999995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59987.91+88132.66+(0.679*73202.96)+1367.08</f>
        <v>199192.45984</v>
      </c>
      <c r="G359" s="18">
        <f>42310.33+(0.679*41125.29)+801.79</f>
        <v>71036.191909999994</v>
      </c>
      <c r="H359" s="18">
        <f>0.679*15542.73</f>
        <v>10553.51367</v>
      </c>
      <c r="I359" s="18">
        <f>45561.21+(0.679*321705.44)</f>
        <v>263999.20376</v>
      </c>
      <c r="J359" s="18">
        <f>0.679*49519.27</f>
        <v>33623.584329999998</v>
      </c>
      <c r="K359" s="18">
        <f>0.679*800</f>
        <v>543.20000000000005</v>
      </c>
      <c r="L359" s="13">
        <f>SUM(F359:K359)</f>
        <v>578948.15350999986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f>61728.81+(73202.96-(0.679*73202.96))+736.12</f>
        <v>85963.080159999983</v>
      </c>
      <c r="G361" s="18">
        <f>15901.96+(41125.29-(0.679*41125.29))+431.73</f>
        <v>29534.908089999997</v>
      </c>
      <c r="H361" s="18">
        <f>15542.73-H359</f>
        <v>4989.2163299999993</v>
      </c>
      <c r="I361" s="18">
        <f>321705.44-(0.679*321705.44)</f>
        <v>103267.44623999999</v>
      </c>
      <c r="J361" s="18">
        <f>49519.27-J359</f>
        <v>15895.685669999999</v>
      </c>
      <c r="K361" s="18">
        <f>800-K359</f>
        <v>256.79999999999995</v>
      </c>
      <c r="L361" s="13">
        <f>SUM(F361:K361)</f>
        <v>239907.13648999998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285155.53999999998</v>
      </c>
      <c r="G363" s="38">
        <f t="shared" si="22"/>
        <v>100571.09999999999</v>
      </c>
      <c r="H363" s="38">
        <f t="shared" si="22"/>
        <v>15542.73</v>
      </c>
      <c r="I363" s="38">
        <f t="shared" si="22"/>
        <v>367266.65</v>
      </c>
      <c r="J363" s="38">
        <f t="shared" si="22"/>
        <v>49519.27</v>
      </c>
      <c r="K363" s="38">
        <f t="shared" si="22"/>
        <v>800</v>
      </c>
      <c r="L363" s="38">
        <f t="shared" si="22"/>
        <v>818855.2899999998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45561.21+(0.679*297050.55)</f>
        <v>247258.53344999999</v>
      </c>
      <c r="G368" s="18"/>
      <c r="H368" s="18">
        <f>297050.55-(0.679*297050.55)</f>
        <v>95353.226549999992</v>
      </c>
      <c r="I368" s="13">
        <f>SUM(F368:H368)</f>
        <v>342611.76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0.679*24654.89</f>
        <v>16740.670310000001</v>
      </c>
      <c r="G369" s="53"/>
      <c r="H369" s="53">
        <f>24654.89-F369</f>
        <v>7914.2196899999981</v>
      </c>
      <c r="I369" s="13">
        <f>SUM(F369:H369)</f>
        <v>24654.89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263999.20376</v>
      </c>
      <c r="G370" s="38">
        <f>SUM(G368:G369)</f>
        <v>0</v>
      </c>
      <c r="H370" s="38">
        <f>SUM(H368:H369)</f>
        <v>103267.44623999999</v>
      </c>
      <c r="I370" s="38">
        <f>SUM(I368:I369)</f>
        <v>367266.65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5739.16</v>
      </c>
      <c r="I397" s="18"/>
      <c r="J397" s="23" t="s">
        <v>288</v>
      </c>
      <c r="K397" s="23" t="s">
        <v>288</v>
      </c>
      <c r="L397" s="13">
        <f t="shared" si="26"/>
        <v>5739.16</v>
      </c>
      <c r="M397" s="8"/>
      <c r="N397" s="165"/>
    </row>
    <row r="398" spans="1:14" s="3" customFormat="1" ht="12.2" customHeight="1" x14ac:dyDescent="0.15">
      <c r="A398" s="62" t="s">
        <v>515</v>
      </c>
      <c r="B398" s="2" t="s">
        <v>381</v>
      </c>
      <c r="C398" s="6">
        <v>10</v>
      </c>
      <c r="D398" s="2" t="s">
        <v>432</v>
      </c>
      <c r="E398" s="6"/>
      <c r="F398" s="18"/>
      <c r="G398" s="18"/>
      <c r="H398" s="18">
        <v>7154.06</v>
      </c>
      <c r="I398" s="18"/>
      <c r="J398" s="23" t="s">
        <v>288</v>
      </c>
      <c r="K398" s="23" t="s">
        <v>288</v>
      </c>
      <c r="L398" s="13">
        <f t="shared" si="26"/>
        <v>7154.06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12893.220000000001</v>
      </c>
      <c r="I402" s="38">
        <f>SUM(I396:I401)</f>
        <v>0</v>
      </c>
      <c r="J402" s="42" t="s">
        <v>288</v>
      </c>
      <c r="K402" s="42" t="s">
        <v>288</v>
      </c>
      <c r="L402" s="38">
        <f>SUM(L396:L401)</f>
        <v>12893.220000000001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12893.220000000001</v>
      </c>
      <c r="I409" s="38">
        <f>I394+I402+I408</f>
        <v>0</v>
      </c>
      <c r="J409" s="23" t="s">
        <v>288</v>
      </c>
      <c r="K409" s="23" t="s">
        <v>288</v>
      </c>
      <c r="L409" s="38">
        <f>L394+L402+L408</f>
        <v>12893.220000000001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338396.67</v>
      </c>
      <c r="G443" s="18"/>
      <c r="H443" s="18"/>
      <c r="I443" s="13">
        <f t="shared" si="33"/>
        <v>338396.67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338396.67</v>
      </c>
      <c r="G447" s="13">
        <f>SUM(G440:G446)</f>
        <v>0</v>
      </c>
      <c r="H447" s="13">
        <f>SUM(H440:H446)</f>
        <v>0</v>
      </c>
      <c r="I447" s="13">
        <f>SUM(I440:I446)</f>
        <v>338396.67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338396.67</v>
      </c>
      <c r="G460" s="18"/>
      <c r="H460" s="18"/>
      <c r="I460" s="13">
        <f t="shared" si="34"/>
        <v>338396.67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338396.67</v>
      </c>
      <c r="G461" s="65">
        <f>SUM(G455:G460)</f>
        <v>0</v>
      </c>
      <c r="H461" s="65">
        <f>SUM(H455:H460)</f>
        <v>0</v>
      </c>
      <c r="I461" s="65">
        <f>SUM(I455:I460)</f>
        <v>338396.67</v>
      </c>
      <c r="J461" s="23" t="s">
        <v>288</v>
      </c>
      <c r="K461" s="23" t="s">
        <v>288</v>
      </c>
      <c r="L461" s="23" t="s">
        <v>288</v>
      </c>
      <c r="N461" s="131"/>
    </row>
    <row r="462" spans="1:86" ht="12.2" customHeight="1" thickTop="1" x14ac:dyDescent="0.2">
      <c r="A462" s="40" t="s">
        <v>424</v>
      </c>
      <c r="B462" s="41">
        <v>18</v>
      </c>
      <c r="C462" s="64">
        <v>21</v>
      </c>
      <c r="D462" s="114" t="s">
        <v>432</v>
      </c>
      <c r="E462" s="64"/>
      <c r="F462" s="39">
        <f>F453+F461</f>
        <v>338396.67</v>
      </c>
      <c r="G462" s="39">
        <f>G453+G461</f>
        <v>0</v>
      </c>
      <c r="H462" s="39">
        <f>H453+H461</f>
        <v>0</v>
      </c>
      <c r="I462" s="39">
        <f>I453+I461</f>
        <v>338396.67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1281869.58+445706.97</f>
        <v>1727576.55</v>
      </c>
      <c r="G466" s="18">
        <v>175117.46</v>
      </c>
      <c r="H466" s="18">
        <v>98998.69</v>
      </c>
      <c r="I466" s="18">
        <v>0</v>
      </c>
      <c r="J466" s="18">
        <v>325503.45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15701229.819999998</v>
      </c>
      <c r="G469" s="18">
        <f>774301.13+3336.72</f>
        <v>777637.85</v>
      </c>
      <c r="H469" s="18">
        <f>9+4398068.14+6410+9326.58</f>
        <v>4413813.72</v>
      </c>
      <c r="I469" s="18"/>
      <c r="J469" s="18">
        <f>12893.22</f>
        <v>12893.22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15701229.819999998</v>
      </c>
      <c r="G471" s="19">
        <f>SUM(G469:G470)</f>
        <v>777637.85</v>
      </c>
      <c r="H471" s="19">
        <f>SUM(H469:H470)</f>
        <v>4413813.72</v>
      </c>
      <c r="I471" s="19">
        <f>SUM(I469:I470)</f>
        <v>0</v>
      </c>
      <c r="J471" s="19">
        <f>SUM(J469:J470)</f>
        <v>12893.22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16096008.960000001</v>
      </c>
      <c r="G473" s="18">
        <f>815518.57+3336.72</f>
        <v>818855.28999999992</v>
      </c>
      <c r="H473" s="18">
        <f>4416838.82+3336.72+0.4</f>
        <v>4420175.9400000004</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16096008.960000001</v>
      </c>
      <c r="G475" s="19">
        <f>SUM(G473:G474)</f>
        <v>818855.28999999992</v>
      </c>
      <c r="H475" s="19">
        <f>SUM(H473:H474)</f>
        <v>4420175.9400000004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1332797.4099999964</v>
      </c>
      <c r="G477" s="19">
        <f>(G466+G471)- G475</f>
        <v>133900.02000000002</v>
      </c>
      <c r="H477" s="19">
        <f>(H466+H471)- H475</f>
        <v>92636.469999999739</v>
      </c>
      <c r="I477" s="19">
        <f>(I466+I471)- I475</f>
        <v>0</v>
      </c>
      <c r="J477" s="19">
        <f>(J466+J471)- J475</f>
        <v>338396.67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2700000</v>
      </c>
      <c r="G494" s="18">
        <v>2000000</v>
      </c>
      <c r="H494" s="18"/>
      <c r="I494" s="18"/>
      <c r="J494" s="18"/>
      <c r="K494" s="23" t="s">
        <v>288</v>
      </c>
      <c r="L494" s="23" t="s">
        <v>288</v>
      </c>
      <c r="N494" s="131"/>
    </row>
    <row r="495" spans="1:14" ht="12.2" customHeight="1" x14ac:dyDescent="0.2">
      <c r="A495" s="21" t="s">
        <v>618</v>
      </c>
      <c r="B495" s="22">
        <v>20</v>
      </c>
      <c r="C495" s="22">
        <v>5</v>
      </c>
      <c r="D495" s="2" t="s">
        <v>432</v>
      </c>
      <c r="E495" s="22"/>
      <c r="F495" s="18">
        <v>4.26</v>
      </c>
      <c r="G495" s="18">
        <v>3.55</v>
      </c>
      <c r="H495" s="18"/>
      <c r="I495" s="18"/>
      <c r="J495" s="18"/>
      <c r="K495" s="23" t="s">
        <v>288</v>
      </c>
      <c r="L495" s="23" t="s">
        <v>288</v>
      </c>
      <c r="N495" s="131"/>
    </row>
    <row r="496" spans="1:14" ht="12.2" customHeight="1" x14ac:dyDescent="0.2">
      <c r="A496" s="21" t="s">
        <v>619</v>
      </c>
      <c r="B496" s="22">
        <v>20</v>
      </c>
      <c r="C496" s="22">
        <v>6</v>
      </c>
      <c r="D496" s="2" t="s">
        <v>432</v>
      </c>
      <c r="E496" s="22"/>
      <c r="F496" s="18">
        <v>728236.15</v>
      </c>
      <c r="G496" s="18">
        <v>1778767.48</v>
      </c>
      <c r="H496" s="18"/>
      <c r="I496" s="18"/>
      <c r="J496" s="18"/>
      <c r="K496" s="19">
        <f>SUM(F496:J496)</f>
        <v>2507003.63</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142105.26</v>
      </c>
      <c r="G498" s="18">
        <v>80092.98</v>
      </c>
      <c r="H498" s="18"/>
      <c r="I498" s="18"/>
      <c r="J498" s="18"/>
      <c r="K498" s="19">
        <f t="shared" si="35"/>
        <v>222198.24</v>
      </c>
      <c r="L498" s="23" t="s">
        <v>288</v>
      </c>
      <c r="N498" s="131"/>
    </row>
    <row r="499" spans="1:14" ht="12.2" customHeight="1" x14ac:dyDescent="0.2">
      <c r="A499" s="144" t="s">
        <v>622</v>
      </c>
      <c r="B499" s="145">
        <v>20</v>
      </c>
      <c r="C499" s="145">
        <v>9</v>
      </c>
      <c r="D499" s="146" t="s">
        <v>432</v>
      </c>
      <c r="E499" s="145"/>
      <c r="F499" s="147">
        <f>F496-F498</f>
        <v>586130.89</v>
      </c>
      <c r="G499" s="147">
        <f>G496-G498</f>
        <v>1698674.5</v>
      </c>
      <c r="H499" s="147"/>
      <c r="I499" s="147"/>
      <c r="J499" s="147"/>
      <c r="K499" s="148">
        <f t="shared" si="35"/>
        <v>2284805.39</v>
      </c>
      <c r="L499" s="149" t="s">
        <v>288</v>
      </c>
      <c r="N499" s="131"/>
    </row>
    <row r="500" spans="1:14" ht="12.2" customHeight="1" thickBot="1" x14ac:dyDescent="0.25">
      <c r="A500" s="21" t="s">
        <v>623</v>
      </c>
      <c r="B500" s="22">
        <v>20</v>
      </c>
      <c r="C500" s="22">
        <v>10</v>
      </c>
      <c r="D500" s="2" t="s">
        <v>432</v>
      </c>
      <c r="E500" s="22"/>
      <c r="F500" s="18">
        <f>54865-22457.19</f>
        <v>32407.81</v>
      </c>
      <c r="G500" s="18">
        <f>629953-61800.02</f>
        <v>568152.98</v>
      </c>
      <c r="H500" s="18"/>
      <c r="I500" s="18"/>
      <c r="J500" s="18"/>
      <c r="K500" s="19">
        <f t="shared" si="35"/>
        <v>600560.79</v>
      </c>
      <c r="L500" s="23" t="s">
        <v>288</v>
      </c>
      <c r="N500" s="131"/>
    </row>
    <row r="501" spans="1:14" ht="12.2" customHeight="1" thickTop="1" x14ac:dyDescent="0.2">
      <c r="A501" s="97" t="s">
        <v>624</v>
      </c>
      <c r="B501" s="41">
        <v>20</v>
      </c>
      <c r="C501" s="41">
        <v>11</v>
      </c>
      <c r="D501" s="36" t="s">
        <v>432</v>
      </c>
      <c r="E501" s="41"/>
      <c r="F501" s="39">
        <f>SUM(F499:F500)</f>
        <v>618538.70000000007</v>
      </c>
      <c r="G501" s="39">
        <f>SUM(G499:G500)</f>
        <v>2266827.48</v>
      </c>
      <c r="H501" s="39">
        <f>SUM(H499:H500)</f>
        <v>0</v>
      </c>
      <c r="I501" s="39">
        <f>SUM(I499:I500)</f>
        <v>0</v>
      </c>
      <c r="J501" s="39">
        <f>SUM(J499:J500)</f>
        <v>0</v>
      </c>
      <c r="K501" s="39">
        <f t="shared" si="35"/>
        <v>2885366.18</v>
      </c>
      <c r="L501" s="42" t="s">
        <v>288</v>
      </c>
      <c r="N501" s="131"/>
    </row>
    <row r="502" spans="1:14" ht="12.2" customHeight="1" x14ac:dyDescent="0.2">
      <c r="A502" s="144" t="s">
        <v>651</v>
      </c>
      <c r="B502" s="145">
        <v>20</v>
      </c>
      <c r="C502" s="145">
        <v>12</v>
      </c>
      <c r="D502" s="146" t="s">
        <v>432</v>
      </c>
      <c r="E502" s="145"/>
      <c r="F502" s="147">
        <v>142105</v>
      </c>
      <c r="G502" s="147">
        <v>80722.75</v>
      </c>
      <c r="H502" s="147"/>
      <c r="I502" s="147"/>
      <c r="J502" s="147"/>
      <c r="K502" s="148">
        <f t="shared" si="35"/>
        <v>222827.75</v>
      </c>
      <c r="L502" s="149" t="s">
        <v>288</v>
      </c>
      <c r="N502" s="131"/>
    </row>
    <row r="503" spans="1:14" ht="12.2" customHeight="1" thickBot="1" x14ac:dyDescent="0.25">
      <c r="A503" s="21" t="s">
        <v>625</v>
      </c>
      <c r="B503" s="22">
        <v>20</v>
      </c>
      <c r="C503" s="22">
        <v>13</v>
      </c>
      <c r="D503" s="2" t="s">
        <v>432</v>
      </c>
      <c r="E503" s="22"/>
      <c r="F503" s="18">
        <v>16764</v>
      </c>
      <c r="G503" s="18">
        <v>61170.25</v>
      </c>
      <c r="H503" s="18"/>
      <c r="I503" s="18"/>
      <c r="J503" s="18"/>
      <c r="K503" s="19">
        <f t="shared" si="35"/>
        <v>77934.25</v>
      </c>
      <c r="L503" s="23" t="s">
        <v>288</v>
      </c>
      <c r="N503" s="131"/>
    </row>
    <row r="504" spans="1:14" ht="12.2" customHeight="1" thickTop="1" x14ac:dyDescent="0.2">
      <c r="A504" s="97" t="s">
        <v>626</v>
      </c>
      <c r="B504" s="41">
        <v>20</v>
      </c>
      <c r="C504" s="41">
        <v>14</v>
      </c>
      <c r="D504" s="36" t="s">
        <v>432</v>
      </c>
      <c r="E504" s="41"/>
      <c r="F504" s="39">
        <f>SUM(F502:F503)</f>
        <v>158869</v>
      </c>
      <c r="G504" s="39">
        <f>SUM(G502:G503)</f>
        <v>141893</v>
      </c>
      <c r="H504" s="39">
        <f>SUM(H502:H503)</f>
        <v>0</v>
      </c>
      <c r="I504" s="39">
        <f>SUM(I502:I503)</f>
        <v>0</v>
      </c>
      <c r="J504" s="39">
        <f>SUM(J502:J503)</f>
        <v>0</v>
      </c>
      <c r="K504" s="39">
        <f t="shared" si="35"/>
        <v>300762</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1222510.8213499999</v>
      </c>
      <c r="G522" s="18">
        <v>521449.86194000003</v>
      </c>
      <c r="H522" s="18">
        <v>785607.88392000005</v>
      </c>
      <c r="I522" s="18">
        <v>6068.4562399999995</v>
      </c>
      <c r="J522" s="18">
        <v>0</v>
      </c>
      <c r="K522" s="18">
        <v>376.84500000000003</v>
      </c>
      <c r="L522" s="69">
        <f>SUM(F522:K522)</f>
        <v>2536013.8684500004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462562.34865</v>
      </c>
      <c r="G524" s="18">
        <v>232221.00806000002</v>
      </c>
      <c r="H524" s="18">
        <v>234585.62607999996</v>
      </c>
      <c r="I524" s="18">
        <v>1845.5637599999995</v>
      </c>
      <c r="J524" s="18">
        <v>0</v>
      </c>
      <c r="K524" s="18">
        <v>0</v>
      </c>
      <c r="L524" s="69">
        <f>SUM(F524:K524)</f>
        <v>931214.54654999997</v>
      </c>
      <c r="N524" s="131"/>
    </row>
    <row r="525" spans="1:14" ht="12.2" customHeight="1" thickTop="1" x14ac:dyDescent="0.2">
      <c r="A525" s="97" t="s">
        <v>63</v>
      </c>
      <c r="B525" s="41">
        <v>21</v>
      </c>
      <c r="C525" s="41">
        <v>4</v>
      </c>
      <c r="D525" s="115" t="s">
        <v>432</v>
      </c>
      <c r="E525" s="41"/>
      <c r="F525" s="81">
        <f>SUM(F522:F524)</f>
        <v>1685073.17</v>
      </c>
      <c r="G525" s="81">
        <f t="shared" ref="G525:L525" si="36">SUM(G522:G524)</f>
        <v>753670.87000000011</v>
      </c>
      <c r="H525" s="81">
        <f t="shared" si="36"/>
        <v>1020193.51</v>
      </c>
      <c r="I525" s="81">
        <f t="shared" si="36"/>
        <v>7914.0199999999986</v>
      </c>
      <c r="J525" s="81">
        <f t="shared" si="36"/>
        <v>0</v>
      </c>
      <c r="K525" s="81">
        <f t="shared" si="36"/>
        <v>376.84500000000003</v>
      </c>
      <c r="L525" s="70">
        <f t="shared" si="36"/>
        <v>3467228.4150000005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331048.60112800007</v>
      </c>
      <c r="G527" s="18">
        <v>178044.661184</v>
      </c>
      <c r="H527" s="18">
        <v>734755.98488999996</v>
      </c>
      <c r="I527" s="18">
        <v>4870.2129400000003</v>
      </c>
      <c r="J527" s="18">
        <v>1486</v>
      </c>
      <c r="K527" s="18">
        <v>97.600000000000009</v>
      </c>
      <c r="L527" s="69">
        <f>SUM(F527:K527)</f>
        <v>1250303.0601420002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109367.030872</v>
      </c>
      <c r="G529" s="18">
        <v>62434.258816000001</v>
      </c>
      <c r="H529" s="18">
        <v>95317.508170000001</v>
      </c>
      <c r="I529" s="18">
        <v>2301.5930600000002</v>
      </c>
      <c r="J529" s="18">
        <v>0</v>
      </c>
      <c r="K529" s="18">
        <v>177.20000000000002</v>
      </c>
      <c r="L529" s="69">
        <f>SUM(F529:K529)</f>
        <v>269597.59091799997</v>
      </c>
      <c r="M529" s="8"/>
      <c r="N529" s="165"/>
    </row>
    <row r="530" spans="1:14" s="3" customFormat="1" ht="12.2" customHeight="1" thickTop="1" x14ac:dyDescent="0.15">
      <c r="A530" s="97" t="s">
        <v>65</v>
      </c>
      <c r="B530" s="41">
        <v>21</v>
      </c>
      <c r="C530" s="41">
        <v>8</v>
      </c>
      <c r="D530" s="115" t="s">
        <v>432</v>
      </c>
      <c r="E530" s="41"/>
      <c r="F530" s="70">
        <f>SUM(F527:F529)</f>
        <v>440415.6320000001</v>
      </c>
      <c r="G530" s="70">
        <f t="shared" ref="G530:L530" si="37">SUM(G527:G529)</f>
        <v>240478.91999999998</v>
      </c>
      <c r="H530" s="70">
        <f t="shared" si="37"/>
        <v>830073.49306000001</v>
      </c>
      <c r="I530" s="70">
        <f t="shared" si="37"/>
        <v>7171.8060000000005</v>
      </c>
      <c r="J530" s="70">
        <f t="shared" si="37"/>
        <v>1486</v>
      </c>
      <c r="K530" s="70">
        <f t="shared" si="37"/>
        <v>274.8</v>
      </c>
      <c r="L530" s="70">
        <f t="shared" si="37"/>
        <v>1519900.6510600001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83200.925500000012</v>
      </c>
      <c r="G532" s="18">
        <v>39637.018820000005</v>
      </c>
      <c r="H532" s="18">
        <v>17501.265740000003</v>
      </c>
      <c r="I532" s="18">
        <v>686.88998000000004</v>
      </c>
      <c r="J532" s="18">
        <v>0</v>
      </c>
      <c r="K532" s="18">
        <v>376.84500000000003</v>
      </c>
      <c r="L532" s="69">
        <f>SUM(F532:K532)</f>
        <v>141402.94504000002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39333.574499999988</v>
      </c>
      <c r="G534" s="18">
        <v>18738.561179999997</v>
      </c>
      <c r="H534" s="18">
        <v>8273.7942599999988</v>
      </c>
      <c r="I534" s="18">
        <v>324.73001999999997</v>
      </c>
      <c r="J534" s="18">
        <v>0</v>
      </c>
      <c r="K534" s="18">
        <v>178.15499999999997</v>
      </c>
      <c r="L534" s="69">
        <f>SUM(F534:K534)</f>
        <v>66848.814959999989</v>
      </c>
      <c r="M534" s="8"/>
      <c r="N534" s="165"/>
    </row>
    <row r="535" spans="1:14" s="3" customFormat="1" ht="12.2" customHeight="1" thickTop="1" x14ac:dyDescent="0.15">
      <c r="A535" s="97" t="s">
        <v>67</v>
      </c>
      <c r="B535" s="41">
        <v>21</v>
      </c>
      <c r="C535" s="41">
        <v>12</v>
      </c>
      <c r="D535" s="115" t="s">
        <v>432</v>
      </c>
      <c r="E535" s="41"/>
      <c r="F535" s="70">
        <f>SUM(F532:F534)</f>
        <v>122534.5</v>
      </c>
      <c r="G535" s="70">
        <f t="shared" ref="G535:L535" si="38">SUM(G532:G534)</f>
        <v>58375.58</v>
      </c>
      <c r="H535" s="70">
        <f t="shared" si="38"/>
        <v>25775.06</v>
      </c>
      <c r="I535" s="70">
        <f t="shared" si="38"/>
        <v>1011.62</v>
      </c>
      <c r="J535" s="70">
        <f t="shared" si="38"/>
        <v>0</v>
      </c>
      <c r="K535" s="70">
        <f t="shared" si="38"/>
        <v>555</v>
      </c>
      <c r="L535" s="70">
        <f t="shared" si="38"/>
        <v>208251.76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1938.7622800000001</v>
      </c>
      <c r="I537" s="18"/>
      <c r="J537" s="18"/>
      <c r="K537" s="18"/>
      <c r="L537" s="69">
        <f>SUM(F537:K537)</f>
        <v>1938.7622800000001</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916.55772000000002</v>
      </c>
      <c r="I539" s="18"/>
      <c r="J539" s="18"/>
      <c r="K539" s="18"/>
      <c r="L539" s="69">
        <f>SUM(F539:K539)</f>
        <v>916.55772000000002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2855.32</v>
      </c>
      <c r="I540" s="70">
        <f t="shared" si="39"/>
        <v>0</v>
      </c>
      <c r="J540" s="70">
        <f t="shared" si="39"/>
        <v>0</v>
      </c>
      <c r="K540" s="70">
        <f t="shared" si="39"/>
        <v>0</v>
      </c>
      <c r="L540" s="70">
        <f t="shared" si="39"/>
        <v>2855.32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220777.3</v>
      </c>
      <c r="I542" s="18"/>
      <c r="J542" s="18"/>
      <c r="K542" s="18"/>
      <c r="L542" s="69">
        <f>SUM(F542:K542)</f>
        <v>220777.3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87630.974549999999</v>
      </c>
      <c r="I544" s="18"/>
      <c r="J544" s="18"/>
      <c r="K544" s="18"/>
      <c r="L544" s="69">
        <f>SUM(F544:K544)</f>
        <v>87630.974549999999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308408.27454999997</v>
      </c>
      <c r="I545" s="141">
        <f t="shared" si="40"/>
        <v>0</v>
      </c>
      <c r="J545" s="141">
        <f t="shared" si="40"/>
        <v>0</v>
      </c>
      <c r="K545" s="141">
        <f t="shared" si="40"/>
        <v>0</v>
      </c>
      <c r="L545" s="141">
        <f t="shared" si="40"/>
        <v>308408.27454999997</v>
      </c>
      <c r="M545" s="8"/>
      <c r="N545" s="165"/>
    </row>
    <row r="546" spans="1:14" s="3" customFormat="1" ht="12.2" customHeight="1" thickTop="1" x14ac:dyDescent="0.15">
      <c r="A546" s="75" t="s">
        <v>72</v>
      </c>
      <c r="B546" s="41">
        <v>21</v>
      </c>
      <c r="C546" s="41">
        <v>21</v>
      </c>
      <c r="D546" s="115" t="s">
        <v>432</v>
      </c>
      <c r="E546" s="41"/>
      <c r="F546" s="70">
        <f>F525+F530+F535+F540+F545</f>
        <v>2248023.3020000001</v>
      </c>
      <c r="G546" s="70">
        <f t="shared" ref="G546:L546" si="41">G525+G530+G535+G540+G545</f>
        <v>1052525.3700000001</v>
      </c>
      <c r="H546" s="70">
        <f t="shared" si="41"/>
        <v>2187305.6576100001</v>
      </c>
      <c r="I546" s="70">
        <f t="shared" si="41"/>
        <v>16097.446</v>
      </c>
      <c r="J546" s="70">
        <f t="shared" si="41"/>
        <v>1486</v>
      </c>
      <c r="K546" s="70">
        <f t="shared" si="41"/>
        <v>1206.645</v>
      </c>
      <c r="L546" s="70">
        <f t="shared" si="41"/>
        <v>5506644.4206100013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2536013.8684500004</v>
      </c>
      <c r="G550" s="69">
        <f>L527</f>
        <v>1250303.0601420002</v>
      </c>
      <c r="H550" s="69">
        <f>L532</f>
        <v>141402.94504000002</v>
      </c>
      <c r="I550" s="69">
        <f>L537</f>
        <v>1938.7622800000001</v>
      </c>
      <c r="J550" s="69">
        <f>L542</f>
        <v>220777.3</v>
      </c>
      <c r="K550" s="69">
        <f>SUM(F550:J550)</f>
        <v>4150435.9359120005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931214.54654999997</v>
      </c>
      <c r="G552" s="69">
        <f>L529</f>
        <v>269597.59091799997</v>
      </c>
      <c r="H552" s="69">
        <f>L534</f>
        <v>66848.814959999989</v>
      </c>
      <c r="I552" s="69">
        <f>L539</f>
        <v>916.55772000000002</v>
      </c>
      <c r="J552" s="69">
        <f>L544</f>
        <v>87630.974549999999</v>
      </c>
      <c r="K552" s="69">
        <f>SUM(F552:J552)</f>
        <v>1356208.4846979999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3467228.4150000005</v>
      </c>
      <c r="G553" s="70">
        <f t="shared" si="42"/>
        <v>1519900.6510600001</v>
      </c>
      <c r="H553" s="70">
        <f t="shared" si="42"/>
        <v>208251.76</v>
      </c>
      <c r="I553" s="70">
        <f t="shared" si="42"/>
        <v>2855.32</v>
      </c>
      <c r="J553" s="70">
        <f t="shared" si="42"/>
        <v>308408.27454999997</v>
      </c>
      <c r="K553" s="70">
        <f t="shared" si="42"/>
        <v>5506644.4206100004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f>0.679*11913</f>
        <v>8088.9270000000006</v>
      </c>
      <c r="G563" s="18">
        <f>0.679*1022.97</f>
        <v>694.59663000000012</v>
      </c>
      <c r="H563" s="18">
        <f>0.679*11549.86</f>
        <v>7842.3549400000011</v>
      </c>
      <c r="I563" s="18">
        <f>0.679*40</f>
        <v>27.160000000000004</v>
      </c>
      <c r="J563" s="18"/>
      <c r="K563" s="18"/>
      <c r="L563" s="69">
        <f>SUM(F563:K563)</f>
        <v>16653.038570000001</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f>11913-F563</f>
        <v>3824.0729999999994</v>
      </c>
      <c r="G565" s="18">
        <f>1022.97-G563</f>
        <v>328.37336999999991</v>
      </c>
      <c r="H565" s="18">
        <f>11549.86-H563</f>
        <v>3707.5050599999995</v>
      </c>
      <c r="I565" s="18">
        <f>40-I563</f>
        <v>12.839999999999996</v>
      </c>
      <c r="J565" s="18"/>
      <c r="K565" s="18"/>
      <c r="L565" s="69">
        <f>SUM(F565:K565)</f>
        <v>7872.7914299999993</v>
      </c>
      <c r="M565" s="8"/>
      <c r="N565" s="165"/>
    </row>
    <row r="566" spans="1:14" s="3" customFormat="1" ht="12.2" customHeight="1" thickTop="1" x14ac:dyDescent="0.15">
      <c r="A566" s="97" t="s">
        <v>65</v>
      </c>
      <c r="B566" s="41">
        <v>22</v>
      </c>
      <c r="C566" s="41">
        <v>8</v>
      </c>
      <c r="D566" s="115" t="s">
        <v>432</v>
      </c>
      <c r="E566" s="41"/>
      <c r="F566" s="70">
        <f t="shared" ref="F566:L566" si="44">SUM(F563:F565)</f>
        <v>11913</v>
      </c>
      <c r="G566" s="70">
        <f t="shared" si="44"/>
        <v>1022.97</v>
      </c>
      <c r="H566" s="70">
        <f t="shared" si="44"/>
        <v>11549.86</v>
      </c>
      <c r="I566" s="70">
        <f t="shared" si="44"/>
        <v>40</v>
      </c>
      <c r="J566" s="70">
        <f t="shared" si="44"/>
        <v>0</v>
      </c>
      <c r="K566" s="70">
        <f t="shared" si="44"/>
        <v>0</v>
      </c>
      <c r="L566" s="70">
        <f t="shared" si="44"/>
        <v>24525.83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11913</v>
      </c>
      <c r="G572" s="70">
        <f t="shared" ref="G572:L572" si="46">G561+G566+G571</f>
        <v>1022.97</v>
      </c>
      <c r="H572" s="70">
        <f t="shared" si="46"/>
        <v>11549.86</v>
      </c>
      <c r="I572" s="70">
        <f t="shared" si="46"/>
        <v>40</v>
      </c>
      <c r="J572" s="70">
        <f t="shared" si="46"/>
        <v>0</v>
      </c>
      <c r="K572" s="70">
        <f t="shared" si="46"/>
        <v>0</v>
      </c>
      <c r="L572" s="70">
        <f t="shared" si="46"/>
        <v>24525.83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16876</v>
      </c>
      <c r="I576" s="69">
        <f>SUM(F576:H576)</f>
        <v>16876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675</v>
      </c>
      <c r="I579" s="69">
        <f t="shared" si="47"/>
        <v>675</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33880.76</v>
      </c>
      <c r="I582" s="69">
        <f t="shared" si="47"/>
        <v>33880.76</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40239.199999999997</v>
      </c>
      <c r="G583" s="18"/>
      <c r="H583" s="18">
        <f>120531.51</f>
        <v>120531.51</v>
      </c>
      <c r="I583" s="69">
        <f t="shared" si="47"/>
        <v>160770.71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49814.05</v>
      </c>
      <c r="G584" s="18"/>
      <c r="H584" s="18"/>
      <c r="I584" s="69">
        <f t="shared" si="47"/>
        <v>49814.05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64241.55</v>
      </c>
      <c r="I585" s="69">
        <f t="shared" si="47"/>
        <v>64241.55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(310681.28*0.679)</f>
        <v>210952.58912000005</v>
      </c>
      <c r="I592" s="18"/>
      <c r="J592" s="18">
        <f>310681.28-H592</f>
        <v>99728.69087999998</v>
      </c>
      <c r="K592" s="80">
        <f t="shared" ref="K592:K598" si="48">SUM(H592:J592)</f>
        <v>310681.28000000003</v>
      </c>
      <c r="L592" s="23" t="s">
        <v>288</v>
      </c>
      <c r="M592" s="8"/>
      <c r="N592" s="165"/>
    </row>
    <row r="593" spans="1:14" s="3" customFormat="1" ht="12.2" customHeight="1" x14ac:dyDescent="0.15">
      <c r="A593" s="3" t="s">
        <v>638</v>
      </c>
      <c r="B593" s="22">
        <v>23</v>
      </c>
      <c r="C593" s="22">
        <v>2</v>
      </c>
      <c r="D593" s="2" t="s">
        <v>432</v>
      </c>
      <c r="E593" s="22"/>
      <c r="F593" s="78">
        <v>2722</v>
      </c>
      <c r="G593" s="79" t="s">
        <v>97</v>
      </c>
      <c r="H593" s="18">
        <f>14938.75+(205838.55*0.679)</f>
        <v>154703.12544999999</v>
      </c>
      <c r="I593" s="18"/>
      <c r="J593" s="18">
        <f>21556.8+(205838.55-(0.679*205838.55))</f>
        <v>87630.974549999999</v>
      </c>
      <c r="K593" s="80">
        <f t="shared" si="48"/>
        <v>242334.09999999998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53785.8</v>
      </c>
      <c r="K594" s="80">
        <f t="shared" si="48"/>
        <v>53785.8</v>
      </c>
      <c r="L594" s="23" t="s">
        <v>288</v>
      </c>
      <c r="M594" s="8"/>
      <c r="N594" s="165"/>
    </row>
    <row r="595" spans="1:14" s="3" customFormat="1" ht="12.2" customHeight="1" x14ac:dyDescent="0.15">
      <c r="A595" s="21" t="s">
        <v>640</v>
      </c>
      <c r="B595" s="22">
        <v>23</v>
      </c>
      <c r="C595" s="22">
        <v>4</v>
      </c>
      <c r="D595" s="2" t="s">
        <v>432</v>
      </c>
      <c r="E595" s="22"/>
      <c r="F595" s="78">
        <v>2724</v>
      </c>
      <c r="G595" s="79" t="s">
        <v>97</v>
      </c>
      <c r="H595" s="18">
        <v>5889.09</v>
      </c>
      <c r="I595" s="18"/>
      <c r="J595" s="18">
        <v>24760.240000000002</v>
      </c>
      <c r="K595" s="80">
        <f t="shared" si="48"/>
        <v>30649.33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3200.04</v>
      </c>
      <c r="I596" s="18"/>
      <c r="J596" s="18">
        <v>3796.3</v>
      </c>
      <c r="K596" s="80">
        <f t="shared" si="48"/>
        <v>6996.34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f>64573.63*0.679</f>
        <v>43845.494770000005</v>
      </c>
      <c r="I598" s="18"/>
      <c r="J598" s="18">
        <f>64573.63-H598</f>
        <v>20728.135229999993</v>
      </c>
      <c r="K598" s="80">
        <f t="shared" si="48"/>
        <v>64573.63</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418590.33934000006</v>
      </c>
      <c r="I599" s="81">
        <f>SUM(I592:I598)</f>
        <v>0</v>
      </c>
      <c r="J599" s="81">
        <f>SUM(J592:J598)</f>
        <v>290430.14065999998</v>
      </c>
      <c r="K599" s="81">
        <f>SUM(K592:K598)</f>
        <v>709020.48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1067197.19</v>
      </c>
      <c r="I605" s="18"/>
      <c r="J605" s="18">
        <v>606263.94999999995</v>
      </c>
      <c r="K605" s="80">
        <f>SUM(H605:J605)</f>
        <v>1673461.14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1067197.19</v>
      </c>
      <c r="I606" s="81">
        <f>SUM(I603:I605)</f>
        <v>0</v>
      </c>
      <c r="J606" s="81">
        <f>SUM(J603:J605)</f>
        <v>606263.94999999995</v>
      </c>
      <c r="K606" s="81">
        <f>SUM(K603:K605)</f>
        <v>1673461.14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29976.25+25031.5</f>
        <v>55007.75</v>
      </c>
      <c r="G612" s="18">
        <f>1429.82+7858.53+6235.08</f>
        <v>15523.43</v>
      </c>
      <c r="H612" s="18">
        <v>7822.44</v>
      </c>
      <c r="I612" s="18">
        <v>15293.36</v>
      </c>
      <c r="J612" s="18"/>
      <c r="K612" s="18"/>
      <c r="L612" s="69">
        <f>SUM(F612:K612)</f>
        <v>93646.98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15400</v>
      </c>
      <c r="G614" s="18">
        <f>5550.75-1429.82</f>
        <v>4120.93</v>
      </c>
      <c r="H614" s="18"/>
      <c r="I614" s="18"/>
      <c r="J614" s="18"/>
      <c r="K614" s="18"/>
      <c r="L614" s="69">
        <f>SUM(F614:K614)</f>
        <v>19520.93</v>
      </c>
      <c r="M614" s="8"/>
      <c r="N614" s="165"/>
    </row>
    <row r="615" spans="1:14" s="3" customFormat="1" ht="12.2" customHeight="1" thickTop="1" x14ac:dyDescent="0.15">
      <c r="A615" s="75" t="s">
        <v>340</v>
      </c>
      <c r="B615" s="41">
        <v>23</v>
      </c>
      <c r="C615" s="41">
        <v>16</v>
      </c>
      <c r="D615" s="36" t="s">
        <v>432</v>
      </c>
      <c r="E615" s="41"/>
      <c r="F615" s="81">
        <f t="shared" ref="F615:L615" si="49">SUM(F612:F614)</f>
        <v>70407.75</v>
      </c>
      <c r="G615" s="81">
        <f t="shared" si="49"/>
        <v>19644.36</v>
      </c>
      <c r="H615" s="81">
        <f t="shared" si="49"/>
        <v>7822.44</v>
      </c>
      <c r="I615" s="81">
        <f t="shared" si="49"/>
        <v>15293.36</v>
      </c>
      <c r="J615" s="81">
        <f t="shared" si="49"/>
        <v>0</v>
      </c>
      <c r="K615" s="81">
        <f t="shared" si="49"/>
        <v>0</v>
      </c>
      <c r="L615" s="70">
        <f t="shared" si="49"/>
        <v>113167.91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914873.22</v>
      </c>
      <c r="H618" s="80">
        <f>SUM(F52)</f>
        <v>914873.22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228723.28</v>
      </c>
      <c r="H619" s="80">
        <f>SUM(G52)</f>
        <v>228723.28</v>
      </c>
      <c r="I619" s="87" t="s">
        <v>875</v>
      </c>
      <c r="J619" s="80">
        <f>G619-H619</f>
        <v>0</v>
      </c>
      <c r="K619" s="80"/>
      <c r="L619" s="80"/>
      <c r="M619" s="8"/>
    </row>
    <row r="620" spans="1:14" s="3" customFormat="1" ht="12.2" customHeight="1" x14ac:dyDescent="0.15">
      <c r="A620" s="74"/>
      <c r="B620" s="22"/>
      <c r="C620" s="22"/>
      <c r="D620" s="22"/>
      <c r="E620" s="22"/>
      <c r="F620" s="87" t="s">
        <v>685</v>
      </c>
      <c r="G620" s="80">
        <f>SUM(H19)</f>
        <v>1649704.88</v>
      </c>
      <c r="H620" s="80">
        <f>SUM(H52)</f>
        <v>1649704.88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338396.67</v>
      </c>
      <c r="H622" s="80">
        <f>SUM(J52)</f>
        <v>338396.67</v>
      </c>
      <c r="I622" s="87" t="s">
        <v>878</v>
      </c>
      <c r="J622" s="80">
        <f>G622-H622</f>
        <v>0</v>
      </c>
      <c r="K622" s="80"/>
      <c r="L622" s="80"/>
      <c r="M622" s="8"/>
    </row>
    <row r="623" spans="1:14" s="3" customFormat="1" ht="12.2" customHeight="1" x14ac:dyDescent="0.15">
      <c r="A623" s="74"/>
      <c r="B623" s="22"/>
      <c r="C623" s="22"/>
      <c r="D623" s="22"/>
      <c r="E623" s="22"/>
      <c r="F623" s="87" t="s">
        <v>864</v>
      </c>
      <c r="G623" s="80">
        <f>F51</f>
        <v>1332797.4099999999</v>
      </c>
      <c r="H623" s="80">
        <f>F477</f>
        <v>1332797.4099999964</v>
      </c>
      <c r="I623" s="87" t="s">
        <v>101</v>
      </c>
      <c r="J623" s="80">
        <f t="shared" ref="J623:J656" si="50">G623-H623</f>
        <v>3.4924596548080444E-9</v>
      </c>
      <c r="K623" s="80"/>
      <c r="L623" s="80"/>
      <c r="M623" s="8"/>
    </row>
    <row r="624" spans="1:14" s="3" customFormat="1" ht="12.2" customHeight="1" x14ac:dyDescent="0.15">
      <c r="A624" s="74"/>
      <c r="B624" s="22"/>
      <c r="C624" s="85"/>
      <c r="D624" s="85"/>
      <c r="E624" s="85"/>
      <c r="F624" s="85" t="s">
        <v>865</v>
      </c>
      <c r="G624" s="80">
        <f>G51</f>
        <v>133900.01999999999</v>
      </c>
      <c r="H624" s="80">
        <f>G477</f>
        <v>133900.02000000002</v>
      </c>
      <c r="I624" s="87" t="s">
        <v>102</v>
      </c>
      <c r="J624" s="80">
        <f t="shared" si="50"/>
        <v>0</v>
      </c>
      <c r="K624" s="80"/>
      <c r="L624" s="80"/>
      <c r="M624" s="8"/>
    </row>
    <row r="625" spans="1:13" s="3" customFormat="1" ht="12.2" customHeight="1" x14ac:dyDescent="0.15">
      <c r="A625" s="74"/>
      <c r="B625" s="22"/>
      <c r="C625" s="22"/>
      <c r="D625" s="22"/>
      <c r="E625" s="22"/>
      <c r="F625" s="86" t="s">
        <v>866</v>
      </c>
      <c r="G625" s="80">
        <f>H51</f>
        <v>92636.469999999987</v>
      </c>
      <c r="H625" s="80">
        <f>H477</f>
        <v>92636.469999999739</v>
      </c>
      <c r="I625" s="87" t="s">
        <v>103</v>
      </c>
      <c r="J625" s="80">
        <f t="shared" si="50"/>
        <v>2.4738255888223648E-10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338396.67</v>
      </c>
      <c r="H627" s="80">
        <f>J477</f>
        <v>338396.67</v>
      </c>
      <c r="I627" s="87" t="s">
        <v>105</v>
      </c>
      <c r="J627" s="80">
        <f t="shared" si="50"/>
        <v>0</v>
      </c>
      <c r="K627" s="67"/>
      <c r="L627" s="69"/>
      <c r="M627" s="8"/>
    </row>
    <row r="628" spans="1:13" s="3" customFormat="1" ht="12.2" customHeight="1" x14ac:dyDescent="0.15">
      <c r="A628" s="21"/>
      <c r="B628" s="22"/>
      <c r="C628" s="22"/>
      <c r="D628" s="22"/>
      <c r="E628" s="22"/>
      <c r="F628" s="86" t="s">
        <v>658</v>
      </c>
      <c r="G628" s="80">
        <f>F194</f>
        <v>15701229.819999998</v>
      </c>
      <c r="H628" s="80">
        <f>SUM(F469)</f>
        <v>15701229.819999998</v>
      </c>
      <c r="I628" s="87" t="s">
        <v>106</v>
      </c>
      <c r="J628" s="80">
        <f>G628-H628</f>
        <v>0</v>
      </c>
      <c r="K628" s="67"/>
      <c r="L628" s="69"/>
      <c r="M628" s="8"/>
    </row>
    <row r="629" spans="1:13" s="3" customFormat="1" ht="12.2" customHeight="1" x14ac:dyDescent="0.15">
      <c r="A629" s="21"/>
      <c r="B629" s="22"/>
      <c r="C629" s="22"/>
      <c r="D629" s="22"/>
      <c r="E629" s="22"/>
      <c r="F629" s="86" t="s">
        <v>659</v>
      </c>
      <c r="G629" s="80">
        <f>G194</f>
        <v>777637.85</v>
      </c>
      <c r="H629" s="80">
        <f>SUM(G469)</f>
        <v>777637.85</v>
      </c>
      <c r="I629" s="87" t="s">
        <v>107</v>
      </c>
      <c r="J629" s="80">
        <f>G629-H629</f>
        <v>0</v>
      </c>
      <c r="K629" s="67"/>
      <c r="L629" s="69"/>
      <c r="M629" s="8"/>
    </row>
    <row r="630" spans="1:13" s="3" customFormat="1" ht="12.2" customHeight="1" x14ac:dyDescent="0.15">
      <c r="A630" s="21"/>
      <c r="B630" s="22"/>
      <c r="C630" s="22"/>
      <c r="D630" s="22"/>
      <c r="E630" s="22"/>
      <c r="F630" s="86" t="s">
        <v>660</v>
      </c>
      <c r="G630" s="80">
        <f>H194</f>
        <v>4413813.72</v>
      </c>
      <c r="H630" s="80">
        <f>SUM(H469)</f>
        <v>4413813.72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12893.22</v>
      </c>
      <c r="H632" s="80">
        <f>SUM(J469)</f>
        <v>12893.22</v>
      </c>
      <c r="I632" s="87" t="s">
        <v>110</v>
      </c>
      <c r="J632" s="80">
        <f>G632-H632</f>
        <v>0</v>
      </c>
      <c r="K632" s="67"/>
      <c r="L632" s="69"/>
      <c r="M632" s="8"/>
    </row>
    <row r="633" spans="1:13" s="3" customFormat="1" ht="12.2" customHeight="1" x14ac:dyDescent="0.15">
      <c r="A633" s="21"/>
      <c r="B633" s="22"/>
      <c r="C633" s="22"/>
      <c r="D633" s="22"/>
      <c r="E633" s="22"/>
      <c r="F633" s="86" t="s">
        <v>394</v>
      </c>
      <c r="G633" s="80">
        <f>SUM(L272)</f>
        <v>16096008.960659998</v>
      </c>
      <c r="H633" s="80">
        <f>SUM(F473)</f>
        <v>16096008.960000001</v>
      </c>
      <c r="I633" s="87" t="s">
        <v>111</v>
      </c>
      <c r="J633" s="80">
        <f t="shared" si="50"/>
        <v>6.599966436624527E-4</v>
      </c>
      <c r="K633" s="67"/>
      <c r="L633" s="69"/>
      <c r="M633" s="8"/>
    </row>
    <row r="634" spans="1:13" s="3" customFormat="1" ht="12.2" customHeight="1" x14ac:dyDescent="0.15">
      <c r="A634" s="21"/>
      <c r="B634" s="22"/>
      <c r="C634" s="22"/>
      <c r="D634" s="22"/>
      <c r="E634" s="22"/>
      <c r="F634" s="86" t="s">
        <v>395</v>
      </c>
      <c r="G634" s="80">
        <f>SUM(L353)</f>
        <v>4420175.9399999995</v>
      </c>
      <c r="H634" s="80">
        <f>SUM(H473)</f>
        <v>4420175.9400000004</v>
      </c>
      <c r="I634" s="87" t="s">
        <v>112</v>
      </c>
      <c r="J634" s="80">
        <f>G634-H634</f>
        <v>0</v>
      </c>
      <c r="K634" s="67"/>
      <c r="L634" s="69"/>
      <c r="M634" s="8"/>
    </row>
    <row r="635" spans="1:13" s="124" customFormat="1" ht="12.2" customHeight="1" x14ac:dyDescent="0.15">
      <c r="A635" s="21"/>
      <c r="B635" s="22"/>
      <c r="C635" s="22"/>
      <c r="D635" s="22"/>
      <c r="E635" s="22"/>
      <c r="F635" s="99" t="s">
        <v>247</v>
      </c>
      <c r="G635" s="80">
        <f>I363</f>
        <v>367266.65</v>
      </c>
      <c r="H635" s="80">
        <f>I370</f>
        <v>367266.65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818855.2899999998</v>
      </c>
      <c r="H636" s="80">
        <f>SUM(G473)</f>
        <v>818855.28999999992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12893.220000000001</v>
      </c>
      <c r="H638" s="108">
        <f>SUM(J469)</f>
        <v>12893.22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338396.67</v>
      </c>
      <c r="H640" s="80">
        <f>SUM(F462)</f>
        <v>338396.67</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338396.67</v>
      </c>
      <c r="H643" s="80">
        <f>SUM(I462)</f>
        <v>338396.67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12893.22</v>
      </c>
      <c r="H645" s="80">
        <f>H409</f>
        <v>12893.220000000001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12893.22</v>
      </c>
      <c r="H647" s="80">
        <f>L409</f>
        <v>12893.220000000001</v>
      </c>
      <c r="I647" s="87" t="s">
        <v>477</v>
      </c>
      <c r="J647" s="80">
        <f t="shared" si="50"/>
        <v>0</v>
      </c>
      <c r="K647" s="67"/>
      <c r="L647" s="69"/>
      <c r="M647" s="8"/>
    </row>
    <row r="648" spans="1:13" s="3" customFormat="1" ht="12.2" customHeight="1" x14ac:dyDescent="0.15">
      <c r="A648" s="21"/>
      <c r="B648" s="22"/>
      <c r="C648" s="22"/>
      <c r="D648" s="22"/>
      <c r="E648" s="22"/>
      <c r="F648" s="86" t="s">
        <v>51</v>
      </c>
      <c r="G648" s="80">
        <f>K599</f>
        <v>709020.48</v>
      </c>
      <c r="H648" s="80">
        <f>L209+L227+L245</f>
        <v>709020.48065999988</v>
      </c>
      <c r="I648" s="87" t="s">
        <v>396</v>
      </c>
      <c r="J648" s="80">
        <f t="shared" si="50"/>
        <v>-6.5999990329146385E-4</v>
      </c>
      <c r="K648" s="67"/>
      <c r="L648" s="69"/>
      <c r="M648" s="8"/>
    </row>
    <row r="649" spans="1:13" s="3" customFormat="1" ht="12.2" customHeight="1" x14ac:dyDescent="0.15">
      <c r="A649" s="21"/>
      <c r="B649" s="22"/>
      <c r="C649" s="22"/>
      <c r="D649" s="22"/>
      <c r="E649" s="22"/>
      <c r="F649" s="86" t="s">
        <v>52</v>
      </c>
      <c r="G649" s="80">
        <f>K606</f>
        <v>1673461.14</v>
      </c>
      <c r="H649" s="80">
        <f>(J258+J339)-(J256+J337)</f>
        <v>1673461.1400000001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418590.33999999997</v>
      </c>
      <c r="H650" s="80">
        <f>H599</f>
        <v>418590.33934000006</v>
      </c>
      <c r="I650" s="87" t="s">
        <v>388</v>
      </c>
      <c r="J650" s="80">
        <f t="shared" si="50"/>
        <v>6.5999990329146385E-4</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290430.14065999992</v>
      </c>
      <c r="H652" s="80">
        <f>J599</f>
        <v>290430.14065999998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3336.72</v>
      </c>
      <c r="H653" s="80">
        <f>K264+K346</f>
        <v>3336.72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6.5999478101730347E-4</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14397265.869349999</v>
      </c>
      <c r="G661" s="13">
        <f>(L230+L310+L360)</f>
        <v>0</v>
      </c>
      <c r="H661" s="13">
        <f>(L248+L329+L361)</f>
        <v>6465726.5713100005</v>
      </c>
      <c r="I661" s="13">
        <f>SUM(F661:H661)</f>
        <v>20862992.44066</v>
      </c>
      <c r="J661" s="13"/>
      <c r="K661" s="13"/>
      <c r="L661" s="13"/>
      <c r="M661" s="9"/>
    </row>
    <row r="662" spans="1:13" s="3" customFormat="1" ht="12.2" customHeight="1" x14ac:dyDescent="0.2">
      <c r="A662" s="1" t="s">
        <v>127</v>
      </c>
      <c r="F662" s="13">
        <f>(L359/IF(SUM(L359:L361)=0,1,SUM(L359:L361))*(SUM(G97:G110)))</f>
        <v>93537.443847657341</v>
      </c>
      <c r="G662" s="13">
        <f>(L360/IF(SUM(L359:L361)=0,1,SUM(L359:L361))*(SUM(G97:G110)))</f>
        <v>0</v>
      </c>
      <c r="H662" s="13">
        <f>(L361/IF(SUM(L359:L361)=0,1,SUM(L359:L361))*(SUM(G97:G110)))</f>
        <v>38760.466152342669</v>
      </c>
      <c r="I662" s="13">
        <f>SUM(F662:H662)</f>
        <v>132297.91</v>
      </c>
      <c r="J662"/>
      <c r="K662" s="13"/>
      <c r="L662" s="13"/>
      <c r="M662" s="8"/>
    </row>
    <row r="663" spans="1:13" s="3" customFormat="1" ht="12.2" customHeight="1" x14ac:dyDescent="0.2">
      <c r="A663" s="1" t="s">
        <v>128</v>
      </c>
      <c r="F663" s="13">
        <f>(L209+L288)-(J209+J288)</f>
        <v>437970.43268999999</v>
      </c>
      <c r="G663" s="13">
        <f>(L227+L307)-(J227+J307)</f>
        <v>0</v>
      </c>
      <c r="H663" s="13">
        <f>(L245+L326)-(J245+J326)</f>
        <v>301541.1079699999</v>
      </c>
      <c r="I663" s="13">
        <f>SUM(F663:H663)</f>
        <v>739511.54065999994</v>
      </c>
      <c r="J663"/>
      <c r="K663" s="13"/>
      <c r="L663" s="13"/>
      <c r="M663" s="9"/>
    </row>
    <row r="664" spans="1:13" s="3" customFormat="1" ht="12.2" customHeight="1" x14ac:dyDescent="0.15">
      <c r="A664" s="142" t="s">
        <v>129</v>
      </c>
      <c r="B664" s="124"/>
      <c r="C664" s="124"/>
      <c r="D664" s="124"/>
      <c r="E664" s="124"/>
      <c r="F664" s="143">
        <f>SUM(F576:F588)+SUM(H603:H605)+SUM(L612)</f>
        <v>1250897.42</v>
      </c>
      <c r="G664" s="143">
        <f>SUM(G576:G588)+SUM(I603:I605)+L613</f>
        <v>0</v>
      </c>
      <c r="H664" s="143">
        <f>SUM(H576:H588)+SUM(J603:J605)+L614</f>
        <v>861989.70000000007</v>
      </c>
      <c r="I664" s="13">
        <f>SUM(F664:H664)</f>
        <v>2112887.12</v>
      </c>
      <c r="J664" s="13"/>
      <c r="K664" s="13"/>
      <c r="L664" s="13"/>
      <c r="M664" s="9"/>
    </row>
    <row r="665" spans="1:13" s="3" customFormat="1" ht="12.2" customHeight="1" x14ac:dyDescent="0.15">
      <c r="A665" s="1" t="s">
        <v>130</v>
      </c>
      <c r="F665" s="13">
        <f>F661-SUM(F662:F664)</f>
        <v>12614860.572812341</v>
      </c>
      <c r="G665" s="13">
        <f>G661-SUM(G662:G664)</f>
        <v>0</v>
      </c>
      <c r="H665" s="13">
        <f>H661-SUM(H662:H664)</f>
        <v>5263435.297187658</v>
      </c>
      <c r="I665" s="13">
        <f>I661-SUM(I662:I664)</f>
        <v>17878295.870000001</v>
      </c>
      <c r="J665" s="13"/>
      <c r="K665" s="13"/>
      <c r="L665" s="13"/>
      <c r="M665" s="8"/>
    </row>
    <row r="666" spans="1:13" s="3" customFormat="1" ht="12.2" customHeight="1" x14ac:dyDescent="0.2">
      <c r="A666" s="1" t="s">
        <v>131</v>
      </c>
      <c r="F666" s="183">
        <v>645.73</v>
      </c>
      <c r="G666" s="184"/>
      <c r="H666" s="184">
        <v>268.95</v>
      </c>
      <c r="I666" s="13">
        <f>SUM(F666:H666)</f>
        <v>914.68000000000006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19535.810000000001</v>
      </c>
      <c r="G668" s="13" t="e">
        <f>ROUND(G665/G666,2)</f>
        <v>#DIV/0!</v>
      </c>
      <c r="H668" s="13">
        <f>ROUND(H665/H666,2)</f>
        <v>19570.310000000001</v>
      </c>
      <c r="I668" s="13">
        <f>ROUND(I665/I666,2)</f>
        <v>19545.96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-6.39</v>
      </c>
      <c r="I671" s="13">
        <f>SUM(F671:H671)</f>
        <v>-6.39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19535.810000000001</v>
      </c>
      <c r="G673" s="13" t="e">
        <f>ROUND((G665+G670)/(G666+G671),2)</f>
        <v>#DIV/0!</v>
      </c>
      <c r="H673" s="13">
        <f>ROUND((H665+H670)/(H666+H671),2)</f>
        <v>20046.599999999999</v>
      </c>
      <c r="I673" s="13">
        <f>ROUND((I665+I670)/(I666+I671),2)</f>
        <v>19683.47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5" sqref="C2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527715.44999999995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147.87+85666.73</f>
        <v>85814.599999999991</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47020.86+31327.05+2583.31+1068.68</f>
        <v>81999.899999999994</v>
      </c>
      <c r="F13" s="272" t="s">
        <v>1629</v>
      </c>
    </row>
    <row r="14" spans="2:8" x14ac:dyDescent="0.25">
      <c r="B14" s="271"/>
      <c r="C14" s="271"/>
      <c r="D14" s="272"/>
      <c r="E14" s="271"/>
      <c r="F14" s="271"/>
    </row>
    <row r="15" spans="2:8" x14ac:dyDescent="0.25">
      <c r="B15" s="271"/>
      <c r="C15" s="272" t="s">
        <v>1623</v>
      </c>
      <c r="D15" s="272" t="s">
        <v>1636</v>
      </c>
      <c r="E15" s="260">
        <v>307238.09000000003</v>
      </c>
      <c r="F15" s="272" t="s">
        <v>1630</v>
      </c>
    </row>
    <row r="16" spans="2:8" x14ac:dyDescent="0.25">
      <c r="B16" s="271"/>
      <c r="C16" s="271"/>
      <c r="D16" s="271"/>
      <c r="E16" s="271"/>
      <c r="F16" s="271"/>
    </row>
    <row r="17" spans="2:8" x14ac:dyDescent="0.25">
      <c r="B17" s="271"/>
      <c r="C17" s="272" t="s">
        <v>1622</v>
      </c>
      <c r="D17" s="272" t="s">
        <v>1637</v>
      </c>
      <c r="E17" s="260">
        <f>237.82+17842.32+17921.67+16661.05</f>
        <v>52662.86</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7"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1"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Franklin</v>
      </c>
      <c r="C5" s="317"/>
      <c r="D5" s="317"/>
      <c r="E5" s="317"/>
      <c r="F5" s="317"/>
    </row>
    <row r="8" spans="1:9" ht="18" x14ac:dyDescent="0.25">
      <c r="A8" s="240" t="s">
        <v>1560</v>
      </c>
      <c r="F8" s="247" t="s">
        <v>1578</v>
      </c>
    </row>
    <row r="9" spans="1:9" ht="15" x14ac:dyDescent="0.2">
      <c r="A9" s="238" t="s">
        <v>1561</v>
      </c>
      <c r="B9" s="241">
        <f>'DOE25'!G97</f>
        <v>132297.91</v>
      </c>
      <c r="F9" s="238" t="s">
        <v>1574</v>
      </c>
    </row>
    <row r="10" spans="1:9" ht="15" x14ac:dyDescent="0.2">
      <c r="A10" s="238" t="s">
        <v>1562</v>
      </c>
      <c r="B10" s="241">
        <f>'DOE25'!G112-'DOE25'!G97</f>
        <v>155.48000000001048</v>
      </c>
      <c r="F10" s="238" t="s">
        <v>1575</v>
      </c>
    </row>
    <row r="11" spans="1:9" ht="15" x14ac:dyDescent="0.2">
      <c r="A11" s="238" t="s">
        <v>1563</v>
      </c>
      <c r="B11" s="241">
        <f>'DOE25'!G140</f>
        <v>9196.98</v>
      </c>
      <c r="F11" s="238" t="s">
        <v>1576</v>
      </c>
    </row>
    <row r="12" spans="1:9" ht="15" x14ac:dyDescent="0.2">
      <c r="A12" s="238" t="s">
        <v>1564</v>
      </c>
      <c r="B12" s="241">
        <f>'DOE25'!G170</f>
        <v>632650.76</v>
      </c>
      <c r="F12" s="238" t="s">
        <v>1577</v>
      </c>
    </row>
    <row r="13" spans="1:9" ht="15" x14ac:dyDescent="0.2">
      <c r="A13" s="238" t="s">
        <v>1565</v>
      </c>
      <c r="B13" s="241">
        <f>'DOE25'!G193-'DOE25'!G180</f>
        <v>3336.72</v>
      </c>
      <c r="F13" s="238" t="s">
        <v>1587</v>
      </c>
    </row>
    <row r="14" spans="1:9" ht="18" x14ac:dyDescent="0.25">
      <c r="A14" s="240" t="s">
        <v>732</v>
      </c>
      <c r="B14" s="242">
        <f>SUM(B9:B13)</f>
        <v>777637.85</v>
      </c>
    </row>
    <row r="16" spans="1:9" ht="18" x14ac:dyDescent="0.25">
      <c r="A16" s="240" t="s">
        <v>786</v>
      </c>
      <c r="F16" s="247" t="s">
        <v>1579</v>
      </c>
    </row>
    <row r="17" spans="1:6" ht="15" x14ac:dyDescent="0.2">
      <c r="A17" s="238" t="s">
        <v>1566</v>
      </c>
      <c r="B17" s="241">
        <f>'DOE25'!L363-'DOE25'!L362</f>
        <v>818855.2899999998</v>
      </c>
      <c r="F17" s="238" t="s">
        <v>1580</v>
      </c>
    </row>
    <row r="18" spans="1:6" ht="15" x14ac:dyDescent="0.2">
      <c r="A18" s="238" t="s">
        <v>1567</v>
      </c>
      <c r="B18" s="251"/>
      <c r="F18" s="247" t="s">
        <v>1604</v>
      </c>
    </row>
    <row r="19" spans="1:6" ht="18" x14ac:dyDescent="0.25">
      <c r="A19" s="240" t="s">
        <v>725</v>
      </c>
      <c r="B19" s="242">
        <f>SUM(B17:B18)</f>
        <v>818855.2899999998</v>
      </c>
    </row>
    <row r="21" spans="1:6" ht="18.75" thickBot="1" x14ac:dyDescent="0.3">
      <c r="A21" s="240" t="s">
        <v>1568</v>
      </c>
    </row>
    <row r="22" spans="1:6" ht="18.75" thickTop="1" x14ac:dyDescent="0.25">
      <c r="A22" s="240" t="s">
        <v>1569</v>
      </c>
      <c r="B22" s="246">
        <f>B14-B19</f>
        <v>-41217.439999999828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175117.46</v>
      </c>
      <c r="F31" s="238" t="s">
        <v>1584</v>
      </c>
    </row>
    <row r="33" spans="1:6" ht="15" x14ac:dyDescent="0.2">
      <c r="A33" s="238" t="s">
        <v>1798</v>
      </c>
      <c r="B33" s="241">
        <f>'DOE25'!G477</f>
        <v>133900.02000000002</v>
      </c>
      <c r="F33" s="238" t="s">
        <v>1585</v>
      </c>
    </row>
    <row r="36" spans="1:6" ht="15" x14ac:dyDescent="0.2">
      <c r="A36" s="238" t="s">
        <v>1571</v>
      </c>
      <c r="B36" s="252">
        <v>39604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Franklin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3843927.72</v>
      </c>
      <c r="C9" s="167">
        <f>'DOE25'!G198+'DOE25'!G216+'DOE25'!G234+'DOE25'!G277+'DOE25'!G296+'DOE25'!G315</f>
        <v>2099051.7799999998</v>
      </c>
    </row>
    <row r="10" spans="1:3" x14ac:dyDescent="0.2">
      <c r="A10" t="s">
        <v>775</v>
      </c>
      <c r="B10" s="177">
        <v>3643154.97</v>
      </c>
      <c r="C10" s="177">
        <v>2062587.17</v>
      </c>
    </row>
    <row r="11" spans="1:3" x14ac:dyDescent="0.2">
      <c r="A11" t="s">
        <v>776</v>
      </c>
      <c r="B11" s="177">
        <v>77344.66</v>
      </c>
      <c r="C11" s="177">
        <v>25123.74</v>
      </c>
    </row>
    <row r="12" spans="1:3" x14ac:dyDescent="0.2">
      <c r="A12" t="s">
        <v>777</v>
      </c>
      <c r="B12" s="177">
        <v>123428.09</v>
      </c>
      <c r="C12" s="177">
        <f>9442.25+1756.8+141.82</f>
        <v>11340.869999999999</v>
      </c>
    </row>
    <row r="13" spans="1:3" x14ac:dyDescent="0.2">
      <c r="A13" t="str">
        <f>IF(B9=B13,IF(C9=C13,"Check Total OK","Check Total Error"),"Check Total Error")</f>
        <v>Check Total OK</v>
      </c>
      <c r="B13" s="169">
        <f>SUM(B10:B12)</f>
        <v>3843927.72</v>
      </c>
      <c r="C13" s="169">
        <f>SUM(C10:C12)</f>
        <v>2099051.7799999998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1807607.6700000002</v>
      </c>
      <c r="C18" s="167">
        <f>'DOE25'!G199+'DOE25'!G217+'DOE25'!G235+'DOE25'!G278+'DOE25'!G297+'DOE25'!G316</f>
        <v>812046.45000000019</v>
      </c>
    </row>
    <row r="19" spans="1:3" x14ac:dyDescent="0.2">
      <c r="A19" t="s">
        <v>775</v>
      </c>
      <c r="B19" s="177">
        <f>515831.27+378603.5</f>
        <v>894434.77</v>
      </c>
      <c r="C19" s="177">
        <v>500825.06</v>
      </c>
    </row>
    <row r="20" spans="1:3" x14ac:dyDescent="0.2">
      <c r="A20" t="s">
        <v>776</v>
      </c>
      <c r="B20" s="177">
        <v>790638.4</v>
      </c>
      <c r="C20" s="177">
        <f>190454+9900+25177.74+48480.18+453.6</f>
        <v>274465.51999999996</v>
      </c>
    </row>
    <row r="21" spans="1:3" x14ac:dyDescent="0.2">
      <c r="A21" t="s">
        <v>777</v>
      </c>
      <c r="B21" s="177">
        <f>1000+95358+26176.5</f>
        <v>122534.5</v>
      </c>
      <c r="C21" s="177">
        <f>76.5+210.2+23459.88+7331.61+2002.5+3675.18</f>
        <v>36755.870000000003</v>
      </c>
    </row>
    <row r="22" spans="1:3" x14ac:dyDescent="0.2">
      <c r="A22" t="str">
        <f>IF(B18=B22,IF(C18=C22,"Check Total OK","Check Total Error"),"Check Total Error")</f>
        <v>Check Total OK</v>
      </c>
      <c r="B22" s="169">
        <f>SUM(B19:B21)</f>
        <v>1807607.67</v>
      </c>
      <c r="C22" s="169">
        <f>SUM(C19:C21)</f>
        <v>812046.45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215855.65</v>
      </c>
      <c r="C36" s="173">
        <f>'DOE25'!G201+'DOE25'!G219+'DOE25'!G237+'DOE25'!G280+'DOE25'!G299+'DOE25'!G318</f>
        <v>71805.939999999988</v>
      </c>
    </row>
    <row r="37" spans="1:3" x14ac:dyDescent="0.2">
      <c r="A37" t="s">
        <v>775</v>
      </c>
      <c r="B37" s="177">
        <v>70407.75</v>
      </c>
      <c r="C37" s="177">
        <v>19644.36</v>
      </c>
    </row>
    <row r="38" spans="1:3" x14ac:dyDescent="0.2">
      <c r="A38" t="s">
        <v>776</v>
      </c>
      <c r="B38" s="177"/>
      <c r="C38" s="177"/>
    </row>
    <row r="39" spans="1:3" x14ac:dyDescent="0.2">
      <c r="A39" t="s">
        <v>777</v>
      </c>
      <c r="B39" s="177">
        <v>145447.9</v>
      </c>
      <c r="C39" s="177">
        <v>52161.58</v>
      </c>
    </row>
    <row r="40" spans="1:3" x14ac:dyDescent="0.2">
      <c r="A40" t="str">
        <f>IF(B36=B40,IF(C36=C40,"Check Total OK","Check Total Error"),"Check Total Error")</f>
        <v>Check Total OK</v>
      </c>
      <c r="B40" s="169">
        <f>SUM(B37:B39)</f>
        <v>215855.65</v>
      </c>
      <c r="C40" s="169">
        <f>SUM(C37:C39)</f>
        <v>71805.94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Franklin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8764490</v>
      </c>
      <c r="D5" s="19">
        <f>SUM('DOE25'!L198:L201)+SUM('DOE25'!L216:L219)+SUM('DOE25'!L234:L237)-F5-G5-H5</f>
        <v>8327018.0899999999</v>
      </c>
      <c r="E5" s="180"/>
      <c r="F5" s="181">
        <f>134334-25000+59352.5-25000+36199.54-25000+98123.72+82442.5+26291.75-25000+6176.5+61537.5-25000+18940.75</f>
        <v>398398.76</v>
      </c>
      <c r="G5" s="19">
        <f>SUM('DOE25'!J198:J201)+SUM('DOE25'!J216:J219)+SUM('DOE25'!J234:J237)</f>
        <v>25977.15</v>
      </c>
      <c r="H5" s="19">
        <f>SUM('DOE25'!K198:K201)+SUM('DOE25'!K216:K219)+SUM('DOE25'!K234:K237)</f>
        <v>13095.999999999998</v>
      </c>
      <c r="I5" s="192"/>
    </row>
    <row r="6" spans="1:9" x14ac:dyDescent="0.2">
      <c r="A6" s="31">
        <v>2100</v>
      </c>
      <c r="B6" t="s">
        <v>796</v>
      </c>
      <c r="C6" s="206">
        <f t="shared" si="0"/>
        <v>1851831.7000000002</v>
      </c>
      <c r="D6" s="19">
        <f>'DOE25'!L203+'DOE25'!L221+'DOE25'!L239-F6-G6-H6</f>
        <v>1256348.4100000001</v>
      </c>
      <c r="E6" s="180"/>
      <c r="F6" s="181">
        <f>62947.73+68013.73+33408.32-25000+26500.38-25000+23901.15+19980.72-25000+49035.82+14641.72+2520+138960+23040-25000+25687.6-25000+67233.25-25000+79579.84+55754.16-25000+99976.87-25000</f>
        <v>591181.29</v>
      </c>
      <c r="G6" s="19">
        <f>'DOE25'!J203+'DOE25'!J221+'DOE25'!J239</f>
        <v>3715</v>
      </c>
      <c r="H6" s="19">
        <f>'DOE25'!K203+'DOE25'!K221+'DOE25'!K239</f>
        <v>587</v>
      </c>
      <c r="I6" s="192"/>
    </row>
    <row r="7" spans="1:9" x14ac:dyDescent="0.2">
      <c r="A7" s="31">
        <v>2200</v>
      </c>
      <c r="B7" t="s">
        <v>820</v>
      </c>
      <c r="C7" s="206">
        <f t="shared" si="0"/>
        <v>391559.03</v>
      </c>
      <c r="D7" s="19">
        <f>'DOE25'!L204+'DOE25'!L222+'DOE25'!L240-F7-G7-H7</f>
        <v>373503.48000000004</v>
      </c>
      <c r="E7" s="180"/>
      <c r="F7" s="181"/>
      <c r="G7" s="19">
        <f>'DOE25'!J204+'DOE25'!J222+'DOE25'!J240</f>
        <v>17715.550000000003</v>
      </c>
      <c r="H7" s="19">
        <f>'DOE25'!K204+'DOE25'!K222+'DOE25'!K240</f>
        <v>340</v>
      </c>
      <c r="I7" s="192"/>
    </row>
    <row r="8" spans="1:9" x14ac:dyDescent="0.2">
      <c r="A8" s="31">
        <v>2300</v>
      </c>
      <c r="B8" t="s">
        <v>797</v>
      </c>
      <c r="C8" s="206">
        <f t="shared" si="0"/>
        <v>32380.600000000039</v>
      </c>
      <c r="D8" s="180"/>
      <c r="E8" s="19">
        <f>'DOE25'!L205+'DOE25'!L223+'DOE25'!L241-F8-G8-H8-D9-D11</f>
        <v>21968.98000000004</v>
      </c>
      <c r="F8" s="181"/>
      <c r="G8" s="19">
        <f>'DOE25'!J205+'DOE25'!J223+'DOE25'!J241</f>
        <v>0</v>
      </c>
      <c r="H8" s="19">
        <f>'DOE25'!K205+'DOE25'!K223+'DOE25'!K241</f>
        <v>10411.619999999999</v>
      </c>
      <c r="I8" s="192"/>
    </row>
    <row r="9" spans="1:9" ht="14.25" x14ac:dyDescent="0.2">
      <c r="A9" s="31">
        <v>2310</v>
      </c>
      <c r="B9" s="71" t="s">
        <v>887</v>
      </c>
      <c r="C9" s="206">
        <f t="shared" si="0"/>
        <v>18987.27</v>
      </c>
      <c r="D9" s="181">
        <v>18987.27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334289.68</v>
      </c>
      <c r="D11" s="181">
        <v>334289.68</v>
      </c>
      <c r="E11" s="180"/>
      <c r="F11" s="180"/>
      <c r="G11" s="180"/>
      <c r="H11" s="180"/>
      <c r="I11" s="192"/>
    </row>
    <row r="12" spans="1:9" x14ac:dyDescent="0.2">
      <c r="A12" s="31">
        <v>2400</v>
      </c>
      <c r="B12" t="s">
        <v>711</v>
      </c>
      <c r="C12" s="206">
        <f t="shared" si="0"/>
        <v>1106265.8700000001</v>
      </c>
      <c r="D12" s="19">
        <f>'DOE25'!L206+'DOE25'!L224+'DOE25'!L242-F12-G12-H12</f>
        <v>1085550.9600000002</v>
      </c>
      <c r="E12" s="180"/>
      <c r="F12" s="181"/>
      <c r="G12" s="19">
        <f>'DOE25'!J206+'DOE25'!J224+'DOE25'!J242</f>
        <v>8598.94</v>
      </c>
      <c r="H12" s="19">
        <f>'DOE25'!K206+'DOE25'!K224+'DOE25'!K242</f>
        <v>12115.970000000001</v>
      </c>
      <c r="I12" s="192"/>
    </row>
    <row r="13" spans="1:9" x14ac:dyDescent="0.2">
      <c r="A13" s="31">
        <v>2500</v>
      </c>
      <c r="B13" t="s">
        <v>798</v>
      </c>
      <c r="C13" s="206">
        <f t="shared" si="0"/>
        <v>332451.67</v>
      </c>
      <c r="D13" s="180"/>
      <c r="E13" s="19">
        <f>'DOE25'!L207+'DOE25'!L225+'DOE25'!L243-F13-G13-H13</f>
        <v>332451.67</v>
      </c>
      <c r="F13" s="181"/>
      <c r="G13" s="19">
        <f>'DOE25'!J207+'DOE25'!J225+'DOE25'!J243</f>
        <v>0</v>
      </c>
      <c r="H13" s="19">
        <f>'DOE25'!K207+'DOE25'!K225+'DOE25'!K243</f>
        <v>0</v>
      </c>
      <c r="I13" s="192"/>
    </row>
    <row r="14" spans="1:9" x14ac:dyDescent="0.2">
      <c r="A14" s="31">
        <v>2600</v>
      </c>
      <c r="B14" t="s">
        <v>818</v>
      </c>
      <c r="C14" s="206">
        <f t="shared" si="0"/>
        <v>1961149.8699999999</v>
      </c>
      <c r="D14" s="19">
        <f>'DOE25'!L208+'DOE25'!L226+'DOE25'!L244-F14-G14-H14</f>
        <v>1493570.4</v>
      </c>
      <c r="E14" s="180"/>
      <c r="F14" s="181"/>
      <c r="G14" s="19">
        <f>'DOE25'!J208+'DOE25'!J226+'DOE25'!J244</f>
        <v>467579.47000000003</v>
      </c>
      <c r="H14" s="19">
        <f>'DOE25'!K208+'DOE25'!K226+'DOE25'!K244</f>
        <v>0</v>
      </c>
      <c r="I14" s="192"/>
    </row>
    <row r="15" spans="1:9" x14ac:dyDescent="0.2">
      <c r="A15" s="31">
        <v>2700</v>
      </c>
      <c r="B15" t="s">
        <v>799</v>
      </c>
      <c r="C15" s="206">
        <f t="shared" si="0"/>
        <v>709020.48065999988</v>
      </c>
      <c r="D15" s="19">
        <f>'DOE25'!L209+'DOE25'!L227+'DOE25'!L245-F15-G15-H15</f>
        <v>205467.13065999991</v>
      </c>
      <c r="E15" s="180"/>
      <c r="F15" s="181">
        <f>268929+205838.55+53785.8-25000</f>
        <v>503553.35</v>
      </c>
      <c r="G15" s="19">
        <f>'DOE25'!J209+'DOE25'!J227+'DOE25'!J245</f>
        <v>0</v>
      </c>
      <c r="H15" s="19">
        <f>'DOE25'!K209+'DOE25'!K227+'DOE25'!K245</f>
        <v>0</v>
      </c>
      <c r="I15" s="192"/>
    </row>
    <row r="16" spans="1:9" x14ac:dyDescent="0.2">
      <c r="A16" s="31">
        <v>2800</v>
      </c>
      <c r="B16" t="s">
        <v>800</v>
      </c>
      <c r="C16" s="206">
        <f t="shared" si="0"/>
        <v>264594.39</v>
      </c>
      <c r="D16" s="180"/>
      <c r="E16" s="19">
        <f>'DOE25'!L210+'DOE25'!L228+'DOE25'!L246-F16-G16-H16</f>
        <v>264594.39</v>
      </c>
      <c r="F16" s="181"/>
      <c r="G16" s="19">
        <f>'DOE25'!J210+'DOE25'!J228+'DOE25'!J246</f>
        <v>0</v>
      </c>
      <c r="H16" s="19">
        <f>'DOE25'!K210+'DOE25'!K228+'DOE25'!K246</f>
        <v>0</v>
      </c>
      <c r="I16" s="192"/>
    </row>
    <row r="17" spans="1:9" x14ac:dyDescent="0.2">
      <c r="A17" s="31">
        <v>1600</v>
      </c>
      <c r="B17" t="s">
        <v>801</v>
      </c>
      <c r="C17" s="206">
        <f t="shared" si="0"/>
        <v>22532.95</v>
      </c>
      <c r="D17" s="19">
        <f>'DOE25'!L252-F17-G17-H17</f>
        <v>22532.95</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306455.45</v>
      </c>
      <c r="D25" s="180"/>
      <c r="E25" s="180"/>
      <c r="F25" s="191"/>
      <c r="G25" s="180"/>
      <c r="H25" s="180"/>
      <c r="I25" s="190">
        <f>'DOE25'!L261+'DOE25'!L262+'DOE25'!L342+'DOE25'!L343</f>
        <v>306455.45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476243.5299999998</v>
      </c>
      <c r="D29" s="212">
        <f>'DOE25'!L359+'DOE25'!L360+'DOE25'!L361-'DOE25'!I368-F29-G29-H29-F39</f>
        <v>425924.25999999978</v>
      </c>
      <c r="E29" s="180"/>
      <c r="F29" s="180"/>
      <c r="G29" s="19">
        <f>'DOE25'!J359+'DOE25'!J360+'DOE25'!J361</f>
        <v>49519.27</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4297863.5599999996</v>
      </c>
      <c r="D31" s="19">
        <f>'DOE25'!L291+'DOE25'!L310+'DOE25'!L329+'DOE25'!L334+'DOE25'!L335+'DOE25'!L336-F31-G31-H31</f>
        <v>2994172.4099999992</v>
      </c>
      <c r="E31" s="180"/>
      <c r="F31" s="181">
        <f>153939-25000+44878.12-25000</f>
        <v>148817.12</v>
      </c>
      <c r="G31" s="19">
        <f>'DOE25'!J291+'DOE25'!J310+'DOE25'!J329+'DOE25'!J334+'DOE25'!J335+'DOE25'!J336</f>
        <v>1149875.03</v>
      </c>
      <c r="H31" s="19">
        <f>'DOE25'!K291+'DOE25'!K310+'DOE25'!K329+'DOE25'!K334+'DOE25'!K335+'DOE25'!K336</f>
        <v>4999</v>
      </c>
      <c r="I31" s="192"/>
    </row>
    <row r="32" spans="1:9" ht="12" thickBot="1" x14ac:dyDescent="0.25">
      <c r="C32" s="207"/>
      <c r="G32" s="188"/>
      <c r="H32" s="188"/>
      <c r="I32" s="194"/>
    </row>
    <row r="33" spans="1:9" ht="12" thickTop="1" x14ac:dyDescent="0.2">
      <c r="B33" t="s">
        <v>809</v>
      </c>
      <c r="D33" s="182">
        <f t="shared" ref="D33:I33" si="1">SUM(D5:D31)</f>
        <v>16537365.040659998</v>
      </c>
      <c r="E33" s="182">
        <f t="shared" si="1"/>
        <v>619015.04</v>
      </c>
      <c r="F33" s="182">
        <f t="shared" si="1"/>
        <v>1641950.52</v>
      </c>
      <c r="G33" s="182">
        <f t="shared" si="1"/>
        <v>1722980.4100000001</v>
      </c>
      <c r="H33" s="182">
        <f t="shared" si="1"/>
        <v>42349.59</v>
      </c>
      <c r="I33" s="182">
        <f t="shared" si="1"/>
        <v>306455.45</v>
      </c>
    </row>
    <row r="34" spans="1:9" ht="12" thickBot="1" x14ac:dyDescent="0.25"/>
    <row r="35" spans="1:9" ht="12" thickBot="1" x14ac:dyDescent="0.25">
      <c r="B35" s="188" t="s">
        <v>830</v>
      </c>
      <c r="D35" s="189">
        <f>E33</f>
        <v>619015.04</v>
      </c>
      <c r="E35" s="185"/>
      <c r="F35" s="295" t="s">
        <v>1608</v>
      </c>
      <c r="G35" s="296"/>
      <c r="H35" s="296"/>
      <c r="I35" s="297"/>
    </row>
    <row r="36" spans="1:9" ht="12" thickTop="1" x14ac:dyDescent="0.2">
      <c r="B36" t="s">
        <v>810</v>
      </c>
      <c r="D36" s="19">
        <f>D33</f>
        <v>16537365.040659998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A14" sqref="A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Franklin</v>
      </c>
      <c r="B2">
        <f>'DOE25'!B2</f>
        <v>185</v>
      </c>
      <c r="J2" s="224" t="s">
        <v>1808</v>
      </c>
      <c r="K2" s="309">
        <f>SUM('DOE25'!L198:L201)+SUM('DOE25'!L216:L219)+SUM('DOE25'!L234:L237)+SUM('DOE25'!L277:L280)+SUM('DOE25'!L296:L299)+SUM('DOE25'!L315:L318)</f>
        <v>10416097.180000002</v>
      </c>
      <c r="L2" s="309">
        <f>'DOE25'!L203+'DOE25'!L221+'DOE25'!L239+'DOE25'!L282+'DOE25'!L301+'DOE25'!L320</f>
        <v>2481800.56</v>
      </c>
      <c r="M2" s="309">
        <f>'DOE25'!L204+'DOE25'!L222+'DOE25'!L240+'DOE25'!L283+'DOE25'!L302+'DOE25'!L321</f>
        <v>1319720.78</v>
      </c>
      <c r="N2" s="309">
        <f>'DOE25'!L206+'DOE25'!L224+'DOE25'!L242+'DOE25'!L285+'DOE25'!L304+'DOE25'!L323</f>
        <v>1108224.6700000002</v>
      </c>
      <c r="O2" s="309">
        <f>'Salaries-Benefits'!B10+'Salaries-Benefits'!B12+'Salaries-Benefits'!B19+'Salaries-Benefits'!B21+'Salaries-Benefits'!B28+'Salaries-Benefits'!B30+'Salaries-Benefits'!B37+'Salaries-Benefits'!B39</f>
        <v>4999407.9800000004</v>
      </c>
      <c r="P2" s="309">
        <f>'Salaries-Benefits'!B11+'Salaries-Benefits'!B20+'Salaries-Benefits'!B29+'Salaries-Benefits'!B38</f>
        <v>867983.06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-10416097.180000002</v>
      </c>
      <c r="L3" s="311">
        <f t="shared" ref="L3:P3" si="0">L21+L33+L43-L2</f>
        <v>-2481800.56</v>
      </c>
      <c r="M3" s="311">
        <f t="shared" si="0"/>
        <v>-1319720.78</v>
      </c>
      <c r="N3" s="311">
        <f t="shared" si="0"/>
        <v>-1108224.6700000002</v>
      </c>
      <c r="O3" s="311">
        <f t="shared" si="0"/>
        <v>-4999407.9800000004</v>
      </c>
      <c r="P3" s="311">
        <f t="shared" si="0"/>
        <v>-867983.06</v>
      </c>
      <c r="Q3" s="310"/>
      <c r="R3" s="306"/>
      <c r="S3" s="215"/>
      <c r="T3" s="215"/>
      <c r="U3" s="216"/>
    </row>
    <row r="4" spans="1:21" ht="55.5" customHeight="1" thickBot="1" x14ac:dyDescent="0.25">
      <c r="A4" s="224" t="s">
        <v>1522</v>
      </c>
      <c r="B4" s="224" t="s">
        <v>1523</v>
      </c>
      <c r="C4" s="224" t="s">
        <v>896</v>
      </c>
      <c r="D4" s="224" t="s">
        <v>786</v>
      </c>
      <c r="E4" s="224" t="s">
        <v>786</v>
      </c>
      <c r="F4" s="228">
        <f>SUM(F5:F20)</f>
        <v>13818317.719999999</v>
      </c>
      <c r="G4" s="229">
        <f>'DOE25'!L212+'DOE25'!L291</f>
        <v>13818317.715839999</v>
      </c>
      <c r="H4" s="264">
        <f>F4-G4</f>
        <v>4.1600000113248825E-3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1768123.15-150177.63</f>
        <v>1617945.52</v>
      </c>
      <c r="E5" s="220">
        <f>1880468.31-481063.3+150177.63</f>
        <v>1549582.6400000001</v>
      </c>
      <c r="F5" s="232">
        <f>D5+E5</f>
        <v>3167528.16</v>
      </c>
      <c r="G5" s="223"/>
      <c r="H5" s="223"/>
      <c r="J5" s="223"/>
      <c r="K5" s="223"/>
      <c r="L5" s="223"/>
      <c r="M5" s="223"/>
      <c r="N5" s="223"/>
      <c r="O5" s="223"/>
      <c r="P5" s="223"/>
      <c r="Q5" s="223"/>
    </row>
    <row r="6" spans="1:21" x14ac:dyDescent="0.2">
      <c r="A6" t="str" cm="1">
        <f t="array" ref="A6">IFERROR(INDEX('School Tables'!$A$4:$G$325,'School Tables'!$J4,3),"")</f>
        <v>Franklin Middle School</v>
      </c>
      <c r="B6" s="230">
        <f>IFERROR(VLOOKUP(A6,'School Tables'!$C$3:$D$365,2,FALSE),"")</f>
        <v>26755</v>
      </c>
      <c r="C6" s="223" t="str">
        <f>IFERROR(INDEX('School Tables'!$B$3:$B$365,MATCH('School Level Expenditures'!B6,'School Tables'!$D$3:$D$365,0)),"")</f>
        <v>Franklin</v>
      </c>
      <c r="D6" s="220">
        <v>5003756.72</v>
      </c>
      <c r="E6" s="220">
        <f>5732477.77-D6</f>
        <v>728721.04999999981</v>
      </c>
      <c r="F6" s="232">
        <f t="shared" ref="F6:F20" si="1">D6+E6</f>
        <v>5732477.7699999996</v>
      </c>
      <c r="G6" s="223"/>
      <c r="H6" s="223"/>
      <c r="J6" t="str">
        <f>A6</f>
        <v>Franklin Middle School</v>
      </c>
      <c r="K6" s="20"/>
      <c r="L6" s="20"/>
      <c r="M6" s="308"/>
      <c r="N6" s="20"/>
      <c r="O6" s="20"/>
      <c r="P6" s="20"/>
      <c r="Q6" s="20"/>
    </row>
    <row r="7" spans="1:21" x14ac:dyDescent="0.2">
      <c r="A7" t="str" cm="1">
        <f t="array" ref="A7">IFERROR(INDEX('School Tables'!$A$4:$G$325,'School Tables'!$J5,3),"")</f>
        <v>Paul A. Smith School</v>
      </c>
      <c r="B7" s="230">
        <f>IFERROR(VLOOKUP(A7,'School Tables'!$C$3:$D$365,2,FALSE),"")</f>
        <v>20650</v>
      </c>
      <c r="C7" s="223" t="str">
        <f>IFERROR(INDEX('School Tables'!$B$3:$B$365,MATCH('School Level Expenditures'!B7,'School Tables'!$D$3:$D$365,0)),"")</f>
        <v>Franklin</v>
      </c>
      <c r="D7" s="220">
        <v>4127423.02</v>
      </c>
      <c r="E7" s="220">
        <f>4918311.79-D7</f>
        <v>790888.77</v>
      </c>
      <c r="F7" s="232">
        <f t="shared" si="1"/>
        <v>4918311.79</v>
      </c>
      <c r="G7" s="223"/>
      <c r="H7" s="223"/>
      <c r="J7" t="str">
        <f t="shared" ref="J7:J20" si="2">A7</f>
        <v>Paul A. Smith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10749125.26</v>
      </c>
      <c r="E21" s="262">
        <f>SUM(E5:E20)</f>
        <v>3069192.46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6225819.4299999997</v>
      </c>
      <c r="G36" s="229">
        <f>'DOE25'!L248+'DOE25'!L329</f>
        <v>6225819.4348200001</v>
      </c>
      <c r="H36" s="264">
        <f>F36-G36</f>
        <v>-4.8200003802776337E-3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f>847188.17-71078.89</f>
        <v>776109.28</v>
      </c>
      <c r="E37" s="220">
        <f>889294.89-115489.42</f>
        <v>773805.47</v>
      </c>
      <c r="F37" s="232">
        <f t="shared" ref="F37:F42" si="7">D37+E37</f>
        <v>1549914.75</v>
      </c>
      <c r="G37" s="223"/>
      <c r="H37" s="223"/>
      <c r="J37" s="223"/>
      <c r="K37" s="223"/>
      <c r="L37" s="224"/>
      <c r="M37" s="223"/>
      <c r="N37" s="223"/>
      <c r="O37" s="223"/>
      <c r="P37" s="223"/>
      <c r="Q37" s="223"/>
    </row>
    <row r="38" spans="1:18" x14ac:dyDescent="0.2">
      <c r="A38" t="str" cm="1">
        <f t="array" ref="A38">IFERROR(INDEX('School Tables'!$W$4:$AC$100,'School Tables'!$AF4,3),"")</f>
        <v>Franklin High School</v>
      </c>
      <c r="B38" s="230">
        <f>IFERROR(VLOOKUP(A38,'School Tables'!$Y$4:$Z$100,2,FALSE),"")</f>
        <v>20660</v>
      </c>
      <c r="C38" s="223" t="str">
        <f>IFERROR(INDEX('School Tables'!$X$4:$X$100,MATCH('School Level Expenditures'!A38,'School Tables'!$Y$4:$Y$100,0)),"")</f>
        <v>Franklin</v>
      </c>
      <c r="D38" s="220">
        <v>4241786.0199999996</v>
      </c>
      <c r="E38" s="220">
        <f>4675904.68-D38</f>
        <v>434118.66000000015</v>
      </c>
      <c r="F38" s="232">
        <f t="shared" si="7"/>
        <v>4675904.68</v>
      </c>
      <c r="G38" s="223"/>
      <c r="H38" s="223"/>
      <c r="J38" t="str">
        <f t="shared" ref="J38:J42" si="8">A38</f>
        <v>Franklin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5017895.3</v>
      </c>
      <c r="E43" s="263">
        <f>SUM(E37:E42)</f>
        <v>1207924.1300000001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Franklin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2109962.14</v>
      </c>
      <c r="D8" s="73">
        <f>'DOE25'!G9</f>
        <v>56375.29</v>
      </c>
      <c r="E8" s="73">
        <f>'DOE25'!H9</f>
        <v>0</v>
      </c>
      <c r="F8" s="73">
        <f>'DOE25'!I9</f>
        <v>0</v>
      </c>
      <c r="G8" s="73">
        <f>'DOE25'!J9</f>
        <v>0</v>
      </c>
      <c r="H8" s="13">
        <f>SUM(C8:G8)</f>
        <v>2166337.4300000002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-11.49</v>
      </c>
      <c r="D11" s="73">
        <f>'DOE25'!G12</f>
        <v>0</v>
      </c>
      <c r="E11" s="73">
        <f>'DOE25'!H12</f>
        <v>0</v>
      </c>
      <c r="F11" s="73">
        <f>'DOE25'!I12</f>
        <v>0</v>
      </c>
      <c r="G11" s="73">
        <f>'DOE25'!J12</f>
        <v>0</v>
      </c>
      <c r="H11" s="13">
        <f t="shared" si="0"/>
        <v>-11.49</v>
      </c>
      <c r="I11" s="90"/>
    </row>
    <row r="12" spans="1:9" x14ac:dyDescent="0.2">
      <c r="A12" s="1" t="s">
        <v>143</v>
      </c>
      <c r="B12" s="6">
        <v>140</v>
      </c>
      <c r="C12" s="73">
        <f>'DOE25'!F13</f>
        <v>-1225915.3699999999</v>
      </c>
      <c r="D12" s="73">
        <f>'DOE25'!G13</f>
        <v>148289.79999999999</v>
      </c>
      <c r="E12" s="73">
        <f>'DOE25'!H13</f>
        <v>1649704.88</v>
      </c>
      <c r="F12" s="73">
        <f>'DOE25'!I13</f>
        <v>0</v>
      </c>
      <c r="G12" s="73">
        <f>'DOE25'!J13</f>
        <v>338396.67</v>
      </c>
      <c r="H12" s="13">
        <f t="shared" si="0"/>
        <v>910475.98</v>
      </c>
      <c r="I12" s="90"/>
    </row>
    <row r="13" spans="1:9" x14ac:dyDescent="0.2">
      <c r="A13" s="1" t="s">
        <v>144</v>
      </c>
      <c r="B13" s="6">
        <v>150</v>
      </c>
      <c r="C13" s="73">
        <f>'DOE25'!F14</f>
        <v>18990.07</v>
      </c>
      <c r="D13" s="73">
        <f>'DOE25'!G14</f>
        <v>0</v>
      </c>
      <c r="E13" s="73">
        <f>'DOE25'!H14</f>
        <v>0</v>
      </c>
      <c r="F13" s="73">
        <f>'DOE25'!I14</f>
        <v>0</v>
      </c>
      <c r="G13" s="73">
        <f>'DOE25'!J14</f>
        <v>0</v>
      </c>
      <c r="H13" s="13">
        <f t="shared" si="0"/>
        <v>18990.07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21762.19</v>
      </c>
      <c r="E15" s="73">
        <f>'DOE25'!H16</f>
        <v>0</v>
      </c>
      <c r="F15" s="73">
        <f>'DOE25'!I16</f>
        <v>0</v>
      </c>
      <c r="G15" s="23" t="s">
        <v>288</v>
      </c>
      <c r="H15" s="13">
        <f t="shared" si="0"/>
        <v>21762.19</v>
      </c>
      <c r="I15" s="90"/>
    </row>
    <row r="16" spans="1:9" x14ac:dyDescent="0.2">
      <c r="A16" s="1" t="s">
        <v>147</v>
      </c>
      <c r="B16" s="6">
        <v>180</v>
      </c>
      <c r="C16" s="73">
        <f>'DOE25'!F17</f>
        <v>11847.87</v>
      </c>
      <c r="D16" s="73">
        <f>'DOE25'!G17</f>
        <v>2296</v>
      </c>
      <c r="E16" s="73">
        <f>'DOE25'!H17</f>
        <v>0</v>
      </c>
      <c r="F16" s="73">
        <f>'DOE25'!I17</f>
        <v>0</v>
      </c>
      <c r="G16" s="73">
        <f>'DOE25'!J17</f>
        <v>0</v>
      </c>
      <c r="H16" s="13">
        <f t="shared" si="0"/>
        <v>14143.87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914873.22</v>
      </c>
      <c r="D18" s="38">
        <f>SUM(D8:D17)</f>
        <v>228723.28</v>
      </c>
      <c r="E18" s="38">
        <f>SUM(E8:E17)</f>
        <v>1649704.88</v>
      </c>
      <c r="F18" s="38">
        <f>SUM(F8:F17)</f>
        <v>0</v>
      </c>
      <c r="G18" s="38">
        <f>SUM(G8:G17)</f>
        <v>338396.67</v>
      </c>
      <c r="H18" s="38">
        <f t="shared" si="0"/>
        <v>3131698.05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-671345.29</v>
      </c>
      <c r="D21" s="73">
        <f>'DOE25'!G22</f>
        <v>13039.59</v>
      </c>
      <c r="E21" s="73">
        <f>'DOE25'!H22</f>
        <v>701671.38999999978</v>
      </c>
      <c r="F21" s="73">
        <f>'DOE25'!I22</f>
        <v>0</v>
      </c>
      <c r="G21" s="73">
        <f>'DOE25'!J22</f>
        <v>0</v>
      </c>
      <c r="H21" s="13">
        <f t="shared" ref="H21:H31" si="1">SUM(C21:G21)</f>
        <v>43365.689999999711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210780.25</v>
      </c>
      <c r="D23" s="73">
        <f>'DOE25'!G24</f>
        <v>12388.77</v>
      </c>
      <c r="E23" s="73">
        <f>'DOE25'!H24</f>
        <v>774154.92999999993</v>
      </c>
      <c r="F23" s="73">
        <f>'DOE25'!I24</f>
        <v>0</v>
      </c>
      <c r="G23" s="73">
        <f>'DOE25'!J24</f>
        <v>0</v>
      </c>
      <c r="H23" s="13">
        <f t="shared" si="1"/>
        <v>997323.95</v>
      </c>
      <c r="I23" s="90"/>
    </row>
    <row r="24" spans="1:9" x14ac:dyDescent="0.2">
      <c r="A24" s="1" t="s">
        <v>153</v>
      </c>
      <c r="B24" s="6">
        <v>430</v>
      </c>
      <c r="C24" s="73">
        <f>'DOE25'!F25</f>
        <v>29635.68</v>
      </c>
      <c r="D24" s="73">
        <f>'DOE25'!G25</f>
        <v>0</v>
      </c>
      <c r="E24" s="73">
        <f>'DOE25'!H25</f>
        <v>0</v>
      </c>
      <c r="F24" s="73">
        <f>'DOE25'!I25</f>
        <v>0</v>
      </c>
      <c r="G24" s="23" t="s">
        <v>288</v>
      </c>
      <c r="H24" s="13">
        <f t="shared" si="1"/>
        <v>29635.68</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-15.8</v>
      </c>
      <c r="D27" s="73">
        <f>'DOE25'!G28</f>
        <v>0</v>
      </c>
      <c r="E27" s="73">
        <f>'DOE25'!H28</f>
        <v>0</v>
      </c>
      <c r="F27" s="73">
        <f>'DOE25'!I28</f>
        <v>0</v>
      </c>
      <c r="G27" s="23" t="s">
        <v>288</v>
      </c>
      <c r="H27" s="13">
        <f t="shared" si="1"/>
        <v>-15.8</v>
      </c>
      <c r="I27" s="90"/>
    </row>
    <row r="28" spans="1:9" x14ac:dyDescent="0.2">
      <c r="A28" s="1" t="s">
        <v>157</v>
      </c>
      <c r="B28" s="6">
        <v>470</v>
      </c>
      <c r="C28" s="73">
        <f>'DOE25'!F29</f>
        <v>-3544.1</v>
      </c>
      <c r="D28" s="73">
        <f>'DOE25'!G29</f>
        <v>0</v>
      </c>
      <c r="E28" s="73">
        <f>'DOE25'!H29</f>
        <v>0</v>
      </c>
      <c r="F28" s="73">
        <f>'DOE25'!I29</f>
        <v>0</v>
      </c>
      <c r="G28" s="23" t="s">
        <v>288</v>
      </c>
      <c r="H28" s="13">
        <f t="shared" si="1"/>
        <v>-3544.1</v>
      </c>
      <c r="I28" s="90"/>
    </row>
    <row r="29" spans="1:9" x14ac:dyDescent="0.2">
      <c r="A29" s="1" t="s">
        <v>158</v>
      </c>
      <c r="B29" s="6">
        <v>480</v>
      </c>
      <c r="C29" s="73">
        <f>'DOE25'!F30</f>
        <v>16565.07</v>
      </c>
      <c r="D29" s="73">
        <f>'DOE25'!G30</f>
        <v>-2338.7600000000002</v>
      </c>
      <c r="E29" s="73">
        <f>'DOE25'!H30</f>
        <v>81242.09</v>
      </c>
      <c r="F29" s="73">
        <f>'DOE25'!I30</f>
        <v>0</v>
      </c>
      <c r="G29" s="23" t="s">
        <v>288</v>
      </c>
      <c r="H29" s="13">
        <f t="shared" si="1"/>
        <v>95468.4</v>
      </c>
      <c r="I29" s="90"/>
    </row>
    <row r="30" spans="1:9" ht="12" thickBot="1" x14ac:dyDescent="0.25">
      <c r="A30" s="1" t="s">
        <v>159</v>
      </c>
      <c r="B30" s="56">
        <v>490</v>
      </c>
      <c r="C30" s="73">
        <f>'DOE25'!F31</f>
        <v>0</v>
      </c>
      <c r="D30" s="73">
        <f>'DOE25'!G31</f>
        <v>71733.66</v>
      </c>
      <c r="E30" s="73">
        <f>'DOE25'!H31</f>
        <v>0</v>
      </c>
      <c r="F30" s="73">
        <f>'DOE25'!I31</f>
        <v>0</v>
      </c>
      <c r="G30" s="73">
        <f>'DOE25'!J31</f>
        <v>0</v>
      </c>
      <c r="H30" s="13">
        <f t="shared" si="1"/>
        <v>71733.66</v>
      </c>
      <c r="I30" s="90"/>
    </row>
    <row r="31" spans="1:9" ht="12" thickTop="1" x14ac:dyDescent="0.2">
      <c r="A31" s="35" t="s">
        <v>160</v>
      </c>
      <c r="B31" s="2"/>
      <c r="C31" s="38">
        <f>SUM(C21:C30)</f>
        <v>-417924.19</v>
      </c>
      <c r="D31" s="38">
        <f>SUM(D21:D30)</f>
        <v>94823.260000000009</v>
      </c>
      <c r="E31" s="38">
        <f>SUM(E21:E30)</f>
        <v>1557068.41</v>
      </c>
      <c r="F31" s="38">
        <f>SUM(F21:F30)</f>
        <v>0</v>
      </c>
      <c r="G31" s="38">
        <f>SUM(G21:G30)</f>
        <v>0</v>
      </c>
      <c r="H31" s="38">
        <f t="shared" si="1"/>
        <v>1233967.48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266521.44</v>
      </c>
      <c r="D44" s="73">
        <f>'DOE25'!G45</f>
        <v>0</v>
      </c>
      <c r="E44" s="73">
        <f>'DOE25'!H45</f>
        <v>0</v>
      </c>
      <c r="F44" s="73">
        <f>'DOE25'!I45</f>
        <v>0</v>
      </c>
      <c r="G44" s="73">
        <f>'DOE25'!J45</f>
        <v>0</v>
      </c>
      <c r="H44" s="13">
        <f t="shared" si="2"/>
        <v>266521.44</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1066275.97</v>
      </c>
      <c r="D47" s="73">
        <f>'DOE25'!G48</f>
        <v>133900.01999999999</v>
      </c>
      <c r="E47" s="73">
        <f>'DOE25'!H48</f>
        <v>92636.469999999987</v>
      </c>
      <c r="F47" s="73">
        <f>'DOE25'!I48</f>
        <v>0</v>
      </c>
      <c r="G47" s="73">
        <f>'DOE25'!J48</f>
        <v>338396.67</v>
      </c>
      <c r="H47" s="13">
        <f t="shared" si="2"/>
        <v>1631209.13</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1332797.4099999999</v>
      </c>
      <c r="D50" s="38">
        <f>SUM(D34:D49)</f>
        <v>133900.01999999999</v>
      </c>
      <c r="E50" s="38">
        <f>SUM(E34:E49)</f>
        <v>92636.469999999987</v>
      </c>
      <c r="F50" s="38">
        <f>SUM(F34:F49)</f>
        <v>0</v>
      </c>
      <c r="G50" s="38">
        <f>SUM(G34:G49)</f>
        <v>338396.67</v>
      </c>
      <c r="H50" s="38">
        <f t="shared" si="2"/>
        <v>1897730.5699999998</v>
      </c>
      <c r="I50" s="90"/>
    </row>
    <row r="51" spans="1:9" ht="12" thickTop="1" x14ac:dyDescent="0.2">
      <c r="A51" s="35" t="s">
        <v>884</v>
      </c>
      <c r="B51" s="2"/>
      <c r="C51" s="38">
        <f>C50+C31</f>
        <v>914873.22</v>
      </c>
      <c r="D51" s="38">
        <f>D50+D31</f>
        <v>228723.28</v>
      </c>
      <c r="E51" s="38">
        <f>E50+E31</f>
        <v>1649704.88</v>
      </c>
      <c r="F51" s="38">
        <f>F50+F31</f>
        <v>0</v>
      </c>
      <c r="G51" s="38">
        <f>G50+G31</f>
        <v>338396.67</v>
      </c>
      <c r="H51" s="38">
        <f t="shared" si="2"/>
        <v>3131698.05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4943755</v>
      </c>
      <c r="D56" s="73">
        <f>'DOE25'!G60</f>
        <v>0</v>
      </c>
      <c r="E56" s="73">
        <f>'DOE25'!H60</f>
        <v>0</v>
      </c>
      <c r="F56" s="73">
        <f>'DOE25'!I60</f>
        <v>0</v>
      </c>
      <c r="G56" s="73">
        <f>'DOE25'!J60</f>
        <v>0</v>
      </c>
      <c r="H56" s="13">
        <f t="shared" ref="H56:H63" si="3">SUM(C56:G56)</f>
        <v>4943755</v>
      </c>
      <c r="I56"/>
    </row>
    <row r="57" spans="1:9" x14ac:dyDescent="0.2">
      <c r="A57" s="1" t="s">
        <v>164</v>
      </c>
      <c r="B57" s="6" t="s">
        <v>165</v>
      </c>
      <c r="C57" s="73">
        <f>'DOE25'!F79</f>
        <v>18931.939999999999</v>
      </c>
      <c r="D57" s="23" t="s">
        <v>288</v>
      </c>
      <c r="E57" s="73">
        <f>'DOE25'!H79</f>
        <v>0</v>
      </c>
      <c r="F57" s="23" t="s">
        <v>288</v>
      </c>
      <c r="G57" s="23" t="s">
        <v>288</v>
      </c>
      <c r="H57" s="13">
        <f t="shared" si="3"/>
        <v>18931.939999999999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39315.730000000003</v>
      </c>
      <c r="D59" s="73">
        <f>'DOE25'!G96</f>
        <v>155.47999999999999</v>
      </c>
      <c r="E59" s="73">
        <f>'DOE25'!H96</f>
        <v>0</v>
      </c>
      <c r="F59" s="73">
        <f>'DOE25'!I96</f>
        <v>0</v>
      </c>
      <c r="G59" s="73">
        <f>'DOE25'!J96</f>
        <v>12893.22</v>
      </c>
      <c r="H59" s="13">
        <f t="shared" si="3"/>
        <v>52364.430000000008</v>
      </c>
      <c r="I59"/>
    </row>
    <row r="60" spans="1:9" x14ac:dyDescent="0.2">
      <c r="A60" s="1" t="s">
        <v>170</v>
      </c>
      <c r="B60" s="22" t="s">
        <v>171</v>
      </c>
      <c r="C60" s="23" t="s">
        <v>288</v>
      </c>
      <c r="D60" s="73">
        <f>'DOE25'!G97</f>
        <v>132297.91</v>
      </c>
      <c r="E60" s="23" t="s">
        <v>288</v>
      </c>
      <c r="F60" s="23" t="s">
        <v>288</v>
      </c>
      <c r="G60" s="23" t="s">
        <v>288</v>
      </c>
      <c r="H60" s="13">
        <f t="shared" si="3"/>
        <v>132297.91</v>
      </c>
      <c r="I60"/>
    </row>
    <row r="61" spans="1:9" ht="12" thickBot="1" x14ac:dyDescent="0.25">
      <c r="A61" s="1" t="s">
        <v>172</v>
      </c>
      <c r="B61" s="22" t="s">
        <v>173</v>
      </c>
      <c r="C61" s="73">
        <f>SUM('DOE25'!F98:F110)</f>
        <v>120825.34</v>
      </c>
      <c r="D61" s="73">
        <f>SUM('DOE25'!G98:G110)</f>
        <v>0</v>
      </c>
      <c r="E61" s="73">
        <f>SUM('DOE25'!H98:H110)</f>
        <v>317988.18999999994</v>
      </c>
      <c r="F61" s="73">
        <f>SUM('DOE25'!I98:I110)</f>
        <v>0</v>
      </c>
      <c r="G61" s="73">
        <f>SUM('DOE25'!J98:J110)</f>
        <v>0</v>
      </c>
      <c r="H61" s="13">
        <f t="shared" si="3"/>
        <v>438813.52999999991</v>
      </c>
      <c r="I61"/>
    </row>
    <row r="62" spans="1:9" ht="12.75" thickTop="1" thickBot="1" x14ac:dyDescent="0.25">
      <c r="A62" s="28" t="s">
        <v>174</v>
      </c>
      <c r="B62" s="6"/>
      <c r="C62" s="93">
        <f>SUM(C57:C61)</f>
        <v>179073.01</v>
      </c>
      <c r="D62" s="93">
        <f>SUM(D57:D61)</f>
        <v>132453.39000000001</v>
      </c>
      <c r="E62" s="93">
        <f>SUM(E57:E61)</f>
        <v>317988.18999999994</v>
      </c>
      <c r="F62" s="93">
        <f>SUM(F57:F61)</f>
        <v>0</v>
      </c>
      <c r="G62" s="93">
        <f>SUM(G57:G61)</f>
        <v>12893.22</v>
      </c>
      <c r="H62" s="13">
        <f t="shared" si="3"/>
        <v>642407.80999999994</v>
      </c>
      <c r="I62"/>
    </row>
    <row r="63" spans="1:9" ht="12" thickTop="1" x14ac:dyDescent="0.2">
      <c r="A63" s="28" t="s">
        <v>175</v>
      </c>
      <c r="B63" s="6"/>
      <c r="C63" s="21">
        <f>C56+C62</f>
        <v>5122828.01</v>
      </c>
      <c r="D63" s="21">
        <f>D56+D62</f>
        <v>132453.39000000001</v>
      </c>
      <c r="E63" s="21">
        <f>E56+E62</f>
        <v>317988.18999999994</v>
      </c>
      <c r="F63" s="21">
        <f>F56+F62</f>
        <v>0</v>
      </c>
      <c r="G63" s="21">
        <f>G56+G62</f>
        <v>12893.22</v>
      </c>
      <c r="H63" s="13">
        <f t="shared" si="3"/>
        <v>5586162.8099999996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8990625.6099999994</v>
      </c>
      <c r="D66" s="23" t="s">
        <v>288</v>
      </c>
      <c r="E66" s="23" t="s">
        <v>288</v>
      </c>
      <c r="F66" s="23" t="s">
        <v>288</v>
      </c>
      <c r="G66" s="23" t="s">
        <v>288</v>
      </c>
      <c r="H66" s="13">
        <f t="shared" ref="H66:H81" si="4">SUM(C66:G66)</f>
        <v>8990625.6099999994</v>
      </c>
      <c r="I66"/>
    </row>
    <row r="67" spans="1:9" x14ac:dyDescent="0.2">
      <c r="A67" s="1" t="s">
        <v>770</v>
      </c>
      <c r="B67" s="6">
        <v>3112</v>
      </c>
      <c r="C67" s="73">
        <f>'DOE25'!F118</f>
        <v>886084</v>
      </c>
      <c r="D67" s="23"/>
      <c r="E67" s="23"/>
      <c r="F67" s="23"/>
      <c r="G67" s="23"/>
      <c r="H67" s="13">
        <f t="shared" si="4"/>
        <v>886084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145181.31</v>
      </c>
      <c r="D69" s="73">
        <f>'DOE25'!G120</f>
        <v>0</v>
      </c>
      <c r="E69" s="73">
        <f>'DOE25'!H120</f>
        <v>0</v>
      </c>
      <c r="F69" s="73">
        <f>'DOE25'!I120</f>
        <v>0</v>
      </c>
      <c r="G69" s="73">
        <f>'DOE25'!J120</f>
        <v>0</v>
      </c>
      <c r="H69" s="13">
        <f t="shared" si="4"/>
        <v>145181.31</v>
      </c>
      <c r="I69"/>
    </row>
    <row r="70" spans="1:9" ht="12" thickTop="1" x14ac:dyDescent="0.2">
      <c r="A70" s="28" t="s">
        <v>252</v>
      </c>
      <c r="B70" s="2"/>
      <c r="C70" s="97">
        <f>SUM(C66:C69)</f>
        <v>10021890.92</v>
      </c>
      <c r="D70" s="97">
        <f>D69</f>
        <v>0</v>
      </c>
      <c r="E70" s="97">
        <f>E69</f>
        <v>0</v>
      </c>
      <c r="F70" s="97">
        <f>F69</f>
        <v>0</v>
      </c>
      <c r="G70" s="97">
        <f>G69</f>
        <v>0</v>
      </c>
      <c r="H70" s="13">
        <f t="shared" si="4"/>
        <v>10021890.92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81944.160000000003</v>
      </c>
      <c r="D72" s="23" t="s">
        <v>288</v>
      </c>
      <c r="E72" s="23" t="s">
        <v>288</v>
      </c>
      <c r="F72" s="73">
        <f>'DOE25'!I123</f>
        <v>0</v>
      </c>
      <c r="G72" s="23" t="s">
        <v>288</v>
      </c>
      <c r="H72" s="13">
        <f t="shared" si="4"/>
        <v>81944.160000000003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170006.48</v>
      </c>
      <c r="D75" s="23" t="s">
        <v>288</v>
      </c>
      <c r="E75" s="23" t="s">
        <v>288</v>
      </c>
      <c r="F75" s="23" t="s">
        <v>288</v>
      </c>
      <c r="G75" s="23" t="s">
        <v>288</v>
      </c>
      <c r="H75" s="13">
        <f t="shared" si="4"/>
        <v>170006.48</v>
      </c>
      <c r="I75"/>
    </row>
    <row r="76" spans="1:9" x14ac:dyDescent="0.2">
      <c r="A76" s="1" t="s">
        <v>257</v>
      </c>
      <c r="B76" s="6" t="s">
        <v>179</v>
      </c>
      <c r="C76" s="73">
        <f>SUM('DOE25'!F127:F130)</f>
        <v>6552.9</v>
      </c>
      <c r="D76" s="23" t="s">
        <v>288</v>
      </c>
      <c r="E76" s="73">
        <f>SUM('DOE25'!H127:H130)</f>
        <v>14522.46</v>
      </c>
      <c r="F76" s="73">
        <f>SUM('DOE25'!I127:I130)</f>
        <v>0</v>
      </c>
      <c r="G76" s="23" t="s">
        <v>288</v>
      </c>
      <c r="H76" s="13">
        <f t="shared" si="4"/>
        <v>21075.360000000001</v>
      </c>
      <c r="I76"/>
    </row>
    <row r="77" spans="1:9" ht="12" thickBot="1" x14ac:dyDescent="0.25">
      <c r="A77" s="1" t="s">
        <v>258</v>
      </c>
      <c r="B77" s="6" t="s">
        <v>180</v>
      </c>
      <c r="C77" s="73">
        <f>SUM('DOE25'!F131:F135)</f>
        <v>0</v>
      </c>
      <c r="D77" s="73">
        <f>SUM('DOE25'!G131:G135)</f>
        <v>9196.98</v>
      </c>
      <c r="E77" s="73">
        <f>SUM('DOE25'!H131:H135)</f>
        <v>54467.35</v>
      </c>
      <c r="F77" s="73">
        <f>SUM('DOE25'!I131:I135)</f>
        <v>0</v>
      </c>
      <c r="G77" s="73">
        <f>SUM('DOE25'!J131:J135)</f>
        <v>0</v>
      </c>
      <c r="H77" s="13">
        <f t="shared" si="4"/>
        <v>63664.33</v>
      </c>
      <c r="I77"/>
    </row>
    <row r="78" spans="1:9" ht="12.75" thickTop="1" thickBot="1" x14ac:dyDescent="0.25">
      <c r="A78" s="28" t="s">
        <v>259</v>
      </c>
      <c r="B78" s="6"/>
      <c r="C78" s="93">
        <f>SUM(C72:C77)</f>
        <v>258503.54</v>
      </c>
      <c r="D78" s="93">
        <f>SUM(D72:D77)</f>
        <v>9196.98</v>
      </c>
      <c r="E78" s="93">
        <f>SUM(E72:E77)</f>
        <v>68989.81</v>
      </c>
      <c r="F78" s="93">
        <f>SUM(F72:F77)</f>
        <v>0</v>
      </c>
      <c r="G78" s="93">
        <f>SUM(G72:G77)</f>
        <v>0</v>
      </c>
      <c r="H78" s="13">
        <f t="shared" si="4"/>
        <v>336690.33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10280394.459999999</v>
      </c>
      <c r="D81" s="93">
        <f>SUM(D79:D80)+D78+D70</f>
        <v>9196.98</v>
      </c>
      <c r="E81" s="93">
        <f>SUM(E79:E80)+E78+E70</f>
        <v>68989.81</v>
      </c>
      <c r="F81" s="93">
        <f>SUM(F79:F80)+F78+F70</f>
        <v>0</v>
      </c>
      <c r="G81" s="93">
        <f>SUM(G79:G80)+G78+G70</f>
        <v>0</v>
      </c>
      <c r="H81" s="93">
        <f t="shared" si="4"/>
        <v>10358581.25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148507.59</v>
      </c>
      <c r="D88" s="253">
        <f>SUM('DOE25'!G153:G162)</f>
        <v>632650.76</v>
      </c>
      <c r="E88" s="253">
        <f>SUM('DOE25'!H153:H162)</f>
        <v>4026835.7199999997</v>
      </c>
      <c r="F88" s="253">
        <f>SUM('DOE25'!I153:I162)</f>
        <v>0</v>
      </c>
      <c r="G88" s="23" t="s">
        <v>288</v>
      </c>
      <c r="H88" s="13">
        <f t="shared" si="5"/>
        <v>4807994.0699999994</v>
      </c>
    </row>
    <row r="89" spans="1:9" x14ac:dyDescent="0.2">
      <c r="A89" t="s">
        <v>748</v>
      </c>
      <c r="B89" s="31" t="s">
        <v>185</v>
      </c>
      <c r="C89" s="73">
        <f>'DOE25'!F164+'DOE25'!F167+'DOE25'!F169</f>
        <v>30245.48</v>
      </c>
      <c r="D89" s="73">
        <f>'DOE25'!G164+'DOE25'!G169</f>
        <v>0</v>
      </c>
      <c r="E89" s="73">
        <f>'DOE25'!H164+'DOE25'!H169</f>
        <v>0</v>
      </c>
      <c r="F89" s="73">
        <f>'DOE25'!I164</f>
        <v>0</v>
      </c>
      <c r="G89" s="23" t="s">
        <v>288</v>
      </c>
      <c r="H89" s="13">
        <f t="shared" si="5"/>
        <v>30245.48</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178753.07</v>
      </c>
      <c r="D91" s="94">
        <f>SUM(D85:D90)</f>
        <v>632650.76</v>
      </c>
      <c r="E91" s="94">
        <f>SUM(E85:E90)</f>
        <v>4026835.7199999997</v>
      </c>
      <c r="F91" s="94">
        <f>SUM(F85:F90)</f>
        <v>0</v>
      </c>
      <c r="G91" s="23" t="s">
        <v>288</v>
      </c>
      <c r="H91" s="13">
        <f t="shared" si="5"/>
        <v>4838239.55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119254.28</v>
      </c>
      <c r="D97" s="73">
        <f>SUM('DOE25'!G181:G182)</f>
        <v>3336.72</v>
      </c>
      <c r="E97" s="73">
        <f>SUM('DOE25'!H181:H182)</f>
        <v>0</v>
      </c>
      <c r="F97" s="73">
        <f>SUM('DOE25'!I181:I182)</f>
        <v>0</v>
      </c>
      <c r="G97" s="73">
        <f>SUM('DOE25'!J181:J182)</f>
        <v>0</v>
      </c>
      <c r="H97" s="13">
        <f t="shared" si="5"/>
        <v>122591</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119254.28</v>
      </c>
      <c r="D103" s="68">
        <f>SUM(D93:D102)</f>
        <v>3336.72</v>
      </c>
      <c r="E103" s="68">
        <f>SUM(E93:E102)</f>
        <v>0</v>
      </c>
      <c r="F103" s="68">
        <f>SUM(F93:F102)</f>
        <v>0</v>
      </c>
      <c r="G103" s="68">
        <f>SUM(G93:G102)</f>
        <v>0</v>
      </c>
      <c r="H103" s="68">
        <f t="shared" si="5"/>
        <v>122591</v>
      </c>
    </row>
    <row r="104" spans="1:8" ht="12.75" thickTop="1" thickBot="1" x14ac:dyDescent="0.25">
      <c r="A104" s="32" t="s">
        <v>761</v>
      </c>
      <c r="C104" s="68">
        <f>C63+C81+C91+C103</f>
        <v>15701229.819999998</v>
      </c>
      <c r="D104" s="68">
        <f>D63+D81+D91+D103</f>
        <v>777637.85</v>
      </c>
      <c r="E104" s="68">
        <f>E63+E81+E91+E103</f>
        <v>4413813.72</v>
      </c>
      <c r="F104" s="68">
        <f>F63+F81+F91+F103</f>
        <v>0</v>
      </c>
      <c r="G104" s="68">
        <f>G63+G81+G103</f>
        <v>12893.22</v>
      </c>
      <c r="H104" s="68">
        <f t="shared" si="5"/>
        <v>20905574.609999996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5412783.0299999993</v>
      </c>
      <c r="D109" s="23" t="s">
        <v>288</v>
      </c>
      <c r="E109" s="73">
        <f>('DOE25'!L277)+('DOE25'!L296)+('DOE25'!L315)</f>
        <v>819416.76</v>
      </c>
      <c r="F109" s="23" t="s">
        <v>288</v>
      </c>
      <c r="G109" s="23" t="s">
        <v>288</v>
      </c>
      <c r="H109" s="13">
        <f t="shared" ref="H109:H115" si="6">SUM(C109:G109)</f>
        <v>6232199.7899999991</v>
      </c>
    </row>
    <row r="110" spans="1:8" x14ac:dyDescent="0.2">
      <c r="A110" t="s">
        <v>198</v>
      </c>
      <c r="B110" s="31" t="s">
        <v>199</v>
      </c>
      <c r="C110" s="73">
        <f>('DOE25'!L199)+('DOE25'!L217)+('DOE25'!L235)</f>
        <v>3034450.1</v>
      </c>
      <c r="D110" s="23" t="s">
        <v>288</v>
      </c>
      <c r="E110" s="73">
        <f>('DOE25'!L278)+('DOE25'!L297)+('DOE25'!L316)</f>
        <v>640653.23</v>
      </c>
      <c r="F110" s="23" t="s">
        <v>288</v>
      </c>
      <c r="G110" s="23" t="s">
        <v>288</v>
      </c>
      <c r="H110" s="13">
        <f t="shared" si="6"/>
        <v>3675103.33</v>
      </c>
    </row>
    <row r="111" spans="1:8" x14ac:dyDescent="0.2">
      <c r="A111" t="s">
        <v>200</v>
      </c>
      <c r="B111" s="31" t="s">
        <v>165</v>
      </c>
      <c r="C111" s="73">
        <f>('DOE25'!L200)+('DOE25'!L218)+('DOE25'!L236)</f>
        <v>64241.55</v>
      </c>
      <c r="D111" s="23" t="s">
        <v>288</v>
      </c>
      <c r="E111" s="73">
        <f>('DOE25'!L279)+('DOE25'!L298)+('DOE25'!L317)</f>
        <v>0</v>
      </c>
      <c r="F111" s="23" t="s">
        <v>288</v>
      </c>
      <c r="G111" s="23" t="s">
        <v>288</v>
      </c>
      <c r="H111" s="13">
        <f t="shared" si="6"/>
        <v>64241.55</v>
      </c>
    </row>
    <row r="112" spans="1:8" x14ac:dyDescent="0.2">
      <c r="A112" t="s">
        <v>201</v>
      </c>
      <c r="B112" s="31" t="s">
        <v>167</v>
      </c>
      <c r="C112" s="73">
        <f>('DOE25'!L201)+('DOE25'!L219)+('DOE25'!L237)</f>
        <v>253015.31999999995</v>
      </c>
      <c r="D112" s="23" t="s">
        <v>288</v>
      </c>
      <c r="E112" s="73">
        <f>+('DOE25'!L280)+('DOE25'!L299)+('DOE25'!L318)</f>
        <v>191537.19</v>
      </c>
      <c r="F112" s="23" t="s">
        <v>288</v>
      </c>
      <c r="G112" s="23" t="s">
        <v>288</v>
      </c>
      <c r="H112" s="13">
        <f t="shared" si="6"/>
        <v>444552.50999999995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22532.95</v>
      </c>
      <c r="D114" s="23" t="s">
        <v>288</v>
      </c>
      <c r="E114" s="73">
        <f>+ SUM('DOE25'!L334:L336)</f>
        <v>20746.97</v>
      </c>
      <c r="F114" s="23" t="s">
        <v>288</v>
      </c>
      <c r="G114" s="23" t="s">
        <v>288</v>
      </c>
      <c r="H114" s="13">
        <f t="shared" si="6"/>
        <v>43279.92</v>
      </c>
    </row>
    <row r="115" spans="1:8" ht="12.75" thickTop="1" thickBot="1" x14ac:dyDescent="0.25">
      <c r="A115" s="32" t="s">
        <v>205</v>
      </c>
      <c r="C115" s="68">
        <f>SUM(C109:C114)</f>
        <v>8787022.9499999993</v>
      </c>
      <c r="D115" s="68">
        <f>SUM(D109:D114)</f>
        <v>0</v>
      </c>
      <c r="E115" s="68">
        <f>SUM(E109:E114)</f>
        <v>1672354.15</v>
      </c>
      <c r="F115" s="68">
        <f>SUM(F109:F114)</f>
        <v>0</v>
      </c>
      <c r="G115" s="68">
        <f>SUM(G109:G114)</f>
        <v>0</v>
      </c>
      <c r="H115" s="68">
        <f t="shared" si="6"/>
        <v>10459377.1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1851831.7000000002</v>
      </c>
      <c r="D118" s="23" t="s">
        <v>288</v>
      </c>
      <c r="E118" s="73">
        <f>+('DOE25'!L282)+('DOE25'!L301)+('DOE25'!L320)</f>
        <v>629968.86</v>
      </c>
      <c r="F118" s="23" t="s">
        <v>288</v>
      </c>
      <c r="G118" s="23" t="s">
        <v>288</v>
      </c>
      <c r="H118" s="13">
        <f t="shared" ref="H118:H145" si="7">SUM(C118:G118)</f>
        <v>2481800.56</v>
      </c>
    </row>
    <row r="119" spans="1:8" x14ac:dyDescent="0.2">
      <c r="A119" t="s">
        <v>208</v>
      </c>
      <c r="B119" s="31" t="s">
        <v>209</v>
      </c>
      <c r="C119" s="73">
        <f>('DOE25'!L204)+('DOE25'!L222)+('DOE25'!L240)</f>
        <v>391559.03</v>
      </c>
      <c r="D119" s="23" t="s">
        <v>288</v>
      </c>
      <c r="E119" s="73">
        <f>+('DOE25'!L283)+('DOE25'!L302)+('DOE25'!L321)</f>
        <v>928161.75</v>
      </c>
      <c r="F119" s="23" t="s">
        <v>288</v>
      </c>
      <c r="G119" s="23" t="s">
        <v>288</v>
      </c>
      <c r="H119" s="13">
        <f t="shared" si="7"/>
        <v>1319720.78</v>
      </c>
    </row>
    <row r="120" spans="1:8" x14ac:dyDescent="0.2">
      <c r="A120" t="s">
        <v>210</v>
      </c>
      <c r="B120" s="31" t="s">
        <v>211</v>
      </c>
      <c r="C120" s="73">
        <f>('DOE25'!L205)+('DOE25'!L223)+('DOE25'!L241)</f>
        <v>385657.55000000005</v>
      </c>
      <c r="D120" s="23" t="s">
        <v>288</v>
      </c>
      <c r="E120" s="73">
        <f>+('DOE25'!L284)+('DOE25'!L303)+('DOE25'!L322)</f>
        <v>217217.35</v>
      </c>
      <c r="F120" s="23" t="s">
        <v>288</v>
      </c>
      <c r="G120" s="23" t="s">
        <v>288</v>
      </c>
      <c r="H120" s="13">
        <f t="shared" si="7"/>
        <v>602874.9</v>
      </c>
    </row>
    <row r="121" spans="1:8" x14ac:dyDescent="0.2">
      <c r="A121" t="s">
        <v>212</v>
      </c>
      <c r="B121" s="31" t="s">
        <v>213</v>
      </c>
      <c r="C121" s="73">
        <f>('DOE25'!L206)+('DOE25'!L224)+('DOE25'!L242)</f>
        <v>1106265.8700000001</v>
      </c>
      <c r="D121" s="23" t="s">
        <v>288</v>
      </c>
      <c r="E121" s="73">
        <f>+('DOE25'!L285)+('DOE25'!L304)+('DOE25'!L323)</f>
        <v>1958.8</v>
      </c>
      <c r="F121" s="23" t="s">
        <v>288</v>
      </c>
      <c r="G121" s="23" t="s">
        <v>288</v>
      </c>
      <c r="H121" s="13">
        <f t="shared" si="7"/>
        <v>1108224.6700000002</v>
      </c>
    </row>
    <row r="122" spans="1:8" x14ac:dyDescent="0.2">
      <c r="A122" t="s">
        <v>214</v>
      </c>
      <c r="B122" s="31" t="s">
        <v>215</v>
      </c>
      <c r="C122" s="73">
        <f>('DOE25'!L207)+('DOE25'!L225)+('DOE25'!L243)</f>
        <v>332451.67</v>
      </c>
      <c r="D122" s="23" t="s">
        <v>288</v>
      </c>
      <c r="E122" s="73">
        <f>+('DOE25'!L286)+('DOE25'!L305)+('DOE25'!L324)</f>
        <v>0</v>
      </c>
      <c r="F122" s="23" t="s">
        <v>288</v>
      </c>
      <c r="G122" s="23" t="s">
        <v>288</v>
      </c>
      <c r="H122" s="13">
        <f t="shared" si="7"/>
        <v>332451.67</v>
      </c>
    </row>
    <row r="123" spans="1:8" x14ac:dyDescent="0.2">
      <c r="A123" t="s">
        <v>216</v>
      </c>
      <c r="B123" s="31" t="s">
        <v>217</v>
      </c>
      <c r="C123" s="73">
        <f>('DOE25'!L208)+('DOE25'!L226)+('DOE25'!L244)</f>
        <v>1961149.8699999999</v>
      </c>
      <c r="D123" s="23" t="s">
        <v>288</v>
      </c>
      <c r="E123" s="73">
        <f>+('DOE25'!L287)+('DOE25'!L306)+('DOE25'!L325)</f>
        <v>814120.78</v>
      </c>
      <c r="F123" s="23" t="s">
        <v>288</v>
      </c>
      <c r="G123" s="23" t="s">
        <v>288</v>
      </c>
      <c r="H123" s="13">
        <f t="shared" si="7"/>
        <v>2775270.65</v>
      </c>
    </row>
    <row r="124" spans="1:8" x14ac:dyDescent="0.2">
      <c r="A124" t="s">
        <v>218</v>
      </c>
      <c r="B124" s="31" t="s">
        <v>219</v>
      </c>
      <c r="C124" s="73">
        <f>('DOE25'!L209)+('DOE25'!L227)+('DOE25'!L245+'DOE25'!L255)</f>
        <v>709020.48065999988</v>
      </c>
      <c r="D124" s="23" t="s">
        <v>288</v>
      </c>
      <c r="E124" s="73">
        <f>+('DOE25'!L288)+('DOE25'!L307)+('DOE25'!L326)</f>
        <v>30491.06</v>
      </c>
      <c r="F124" s="23" t="s">
        <v>288</v>
      </c>
      <c r="G124" s="23" t="s">
        <v>288</v>
      </c>
      <c r="H124" s="13">
        <f t="shared" si="7"/>
        <v>739511.54065999994</v>
      </c>
    </row>
    <row r="125" spans="1:8" x14ac:dyDescent="0.2">
      <c r="A125" t="s">
        <v>220</v>
      </c>
      <c r="B125" s="31" t="s">
        <v>221</v>
      </c>
      <c r="C125" s="73">
        <f>('DOE25'!L210)+('DOE25'!L228)+('DOE25'!L246)</f>
        <v>264594.39</v>
      </c>
      <c r="D125" s="23" t="s">
        <v>288</v>
      </c>
      <c r="E125" s="73">
        <f>+('DOE25'!L289)+('DOE25'!L308)+('DOE25'!L327)</f>
        <v>3590.81</v>
      </c>
      <c r="F125" s="23" t="s">
        <v>288</v>
      </c>
      <c r="G125" s="23" t="s">
        <v>288</v>
      </c>
      <c r="H125" s="13">
        <f t="shared" si="7"/>
        <v>268185.2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818855.2899999998</v>
      </c>
      <c r="E127" s="23" t="s">
        <v>288</v>
      </c>
      <c r="F127" s="23" t="s">
        <v>288</v>
      </c>
      <c r="G127" s="23" t="s">
        <v>288</v>
      </c>
      <c r="H127" s="13">
        <f t="shared" si="7"/>
        <v>818855.2899999998</v>
      </c>
    </row>
    <row r="128" spans="1:8" ht="12.75" thickTop="1" thickBot="1" x14ac:dyDescent="0.25">
      <c r="A128" s="32" t="s">
        <v>226</v>
      </c>
      <c r="C128" s="68">
        <f>SUM(C118:C127)</f>
        <v>7002530.56066</v>
      </c>
      <c r="D128" s="68">
        <f>SUM(D118:D127)</f>
        <v>818855.2899999998</v>
      </c>
      <c r="E128" s="68">
        <f>SUM(E118:E127)</f>
        <v>2625509.41</v>
      </c>
      <c r="F128" s="68">
        <f>SUM(F118:F127)</f>
        <v>0</v>
      </c>
      <c r="G128" s="68">
        <f>SUM(G118:G127)</f>
        <v>0</v>
      </c>
      <c r="H128" s="68">
        <f t="shared" si="7"/>
        <v>10446895.26066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222198.24</v>
      </c>
      <c r="D131" s="23" t="s">
        <v>288</v>
      </c>
      <c r="E131" s="92">
        <f>'DOE25'!L342</f>
        <v>0</v>
      </c>
      <c r="F131" s="23" t="s">
        <v>288</v>
      </c>
      <c r="G131" s="23" t="s">
        <v>288</v>
      </c>
      <c r="H131" s="13">
        <f t="shared" si="7"/>
        <v>222198.24</v>
      </c>
    </row>
    <row r="132" spans="1:8" x14ac:dyDescent="0.2">
      <c r="A132" t="s">
        <v>230</v>
      </c>
      <c r="B132" s="31">
        <v>5120</v>
      </c>
      <c r="C132" s="73">
        <f>'DOE25'!L262</f>
        <v>84257.21</v>
      </c>
      <c r="D132" s="23" t="s">
        <v>288</v>
      </c>
      <c r="E132" s="92">
        <f>'DOE25'!L343</f>
        <v>0</v>
      </c>
      <c r="F132" s="23" t="s">
        <v>288</v>
      </c>
      <c r="G132" s="23" t="s">
        <v>288</v>
      </c>
      <c r="H132" s="13">
        <f t="shared" si="7"/>
        <v>84257.21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118975.66</v>
      </c>
      <c r="F134" s="73">
        <f>'DOE25'!K382</f>
        <v>0</v>
      </c>
      <c r="G134" s="73">
        <f>'DOE25'!K435</f>
        <v>0</v>
      </c>
      <c r="H134" s="13">
        <f t="shared" si="7"/>
        <v>118975.66</v>
      </c>
    </row>
    <row r="135" spans="1:8" x14ac:dyDescent="0.2">
      <c r="A135" t="s">
        <v>233</v>
      </c>
      <c r="B135" s="31" t="s">
        <v>234</v>
      </c>
      <c r="C135" s="73">
        <f>'DOE25'!L264</f>
        <v>0</v>
      </c>
      <c r="D135" s="23" t="s">
        <v>288</v>
      </c>
      <c r="E135" s="92">
        <f>'DOE25'!L346</f>
        <v>3336.72</v>
      </c>
      <c r="F135" s="23" t="s">
        <v>288</v>
      </c>
      <c r="G135" s="23" t="s">
        <v>288</v>
      </c>
      <c r="H135" s="13">
        <f t="shared" si="7"/>
        <v>3336.72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12893.220000000001</v>
      </c>
      <c r="D139" s="23" t="s">
        <v>288</v>
      </c>
      <c r="E139" s="23" t="s">
        <v>288</v>
      </c>
      <c r="F139" s="23" t="s">
        <v>288</v>
      </c>
      <c r="G139" s="23" t="s">
        <v>288</v>
      </c>
      <c r="H139" s="13">
        <f t="shared" si="7"/>
        <v>12893.220000000001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-12893.220000000001</v>
      </c>
      <c r="D141" s="23" t="s">
        <v>288</v>
      </c>
      <c r="E141" s="23" t="s">
        <v>288</v>
      </c>
      <c r="F141" s="23" t="s">
        <v>288</v>
      </c>
      <c r="G141" s="23" t="s">
        <v>288</v>
      </c>
      <c r="H141" s="13">
        <f t="shared" si="7"/>
        <v>-12893.220000000001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306455.45000000007</v>
      </c>
      <c r="D144" s="98">
        <f>SUM(D130:D143)</f>
        <v>0</v>
      </c>
      <c r="E144" s="98">
        <f>SUM(E130:E143)</f>
        <v>122312.38</v>
      </c>
      <c r="F144" s="98">
        <f>SUM(F130:F143)</f>
        <v>0</v>
      </c>
      <c r="G144" s="98">
        <f>SUM(G130:G143)</f>
        <v>0</v>
      </c>
      <c r="H144" s="98">
        <f t="shared" si="7"/>
        <v>428767.83000000007</v>
      </c>
    </row>
    <row r="145" spans="1:9" ht="12.75" thickTop="1" thickBot="1" x14ac:dyDescent="0.25">
      <c r="A145" s="32" t="s">
        <v>244</v>
      </c>
      <c r="C145" s="68">
        <f>(C115+C128+C144)</f>
        <v>16096008.960659999</v>
      </c>
      <c r="D145" s="68">
        <f>(D115+D128+D144)</f>
        <v>818855.2899999998</v>
      </c>
      <c r="E145" s="68">
        <f>(E115+E128+E144)</f>
        <v>4420175.9400000004</v>
      </c>
      <c r="F145" s="68">
        <f>(F115+F128+F144)</f>
        <v>0</v>
      </c>
      <c r="G145" s="68">
        <f>(G115+G128+G144)</f>
        <v>0</v>
      </c>
      <c r="H145" s="68">
        <f t="shared" si="7"/>
        <v>21335040.19066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05/06</v>
      </c>
      <c r="C152" s="109" t="str">
        <f>'DOE25'!G492</f>
        <v>08/19</v>
      </c>
      <c r="D152" s="109">
        <f>'DOE25'!H492</f>
        <v>0</v>
      </c>
      <c r="E152" s="109">
        <f>'DOE25'!I492</f>
        <v>0</v>
      </c>
      <c r="F152" s="109">
        <f>'DOE25'!J492</f>
        <v>0</v>
      </c>
      <c r="G152" s="23" t="s">
        <v>288</v>
      </c>
    </row>
    <row r="153" spans="1:9" x14ac:dyDescent="0.2">
      <c r="A153" s="21" t="s">
        <v>29</v>
      </c>
      <c r="B153" s="109" t="str">
        <f>'DOE25'!F493</f>
        <v>05/26</v>
      </c>
      <c r="C153" s="109" t="str">
        <f>'DOE25'!G493</f>
        <v>08/39</v>
      </c>
      <c r="D153" s="109">
        <f>'DOE25'!H493</f>
        <v>0</v>
      </c>
      <c r="E153" s="109">
        <f>'DOE25'!I493</f>
        <v>0</v>
      </c>
      <c r="F153" s="109">
        <f>'DOE25'!J493</f>
        <v>0</v>
      </c>
      <c r="G153" s="23" t="s">
        <v>288</v>
      </c>
    </row>
    <row r="154" spans="1:9" x14ac:dyDescent="0.2">
      <c r="A154" s="21" t="s">
        <v>30</v>
      </c>
      <c r="B154" s="19">
        <f>'DOE25'!F494</f>
        <v>2700000</v>
      </c>
      <c r="C154" s="19">
        <f>'DOE25'!G494</f>
        <v>2000000</v>
      </c>
      <c r="D154" s="19">
        <f>'DOE25'!H494</f>
        <v>0</v>
      </c>
      <c r="E154" s="19">
        <f>'DOE25'!I494</f>
        <v>0</v>
      </c>
      <c r="F154" s="19">
        <f>'DOE25'!J494</f>
        <v>0</v>
      </c>
      <c r="G154" s="23" t="s">
        <v>288</v>
      </c>
    </row>
    <row r="155" spans="1:9" x14ac:dyDescent="0.2">
      <c r="A155" s="21" t="s">
        <v>31</v>
      </c>
      <c r="B155" s="19">
        <f>'DOE25'!F495</f>
        <v>4.26</v>
      </c>
      <c r="C155" s="19">
        <f>'DOE25'!G495</f>
        <v>3.55</v>
      </c>
      <c r="D155" s="19">
        <f>'DOE25'!H495</f>
        <v>0</v>
      </c>
      <c r="E155" s="19">
        <f>'DOE25'!I495</f>
        <v>0</v>
      </c>
      <c r="F155" s="19">
        <f>'DOE25'!J495</f>
        <v>0</v>
      </c>
      <c r="G155" s="23" t="s">
        <v>288</v>
      </c>
    </row>
    <row r="156" spans="1:9" x14ac:dyDescent="0.2">
      <c r="A156" s="21" t="s">
        <v>32</v>
      </c>
      <c r="B156" s="19">
        <f>'DOE25'!F496</f>
        <v>728236.15</v>
      </c>
      <c r="C156" s="19">
        <f>'DOE25'!G496</f>
        <v>1778767.48</v>
      </c>
      <c r="D156" s="19">
        <f>'DOE25'!H496</f>
        <v>0</v>
      </c>
      <c r="E156" s="19">
        <f>'DOE25'!I496</f>
        <v>0</v>
      </c>
      <c r="F156" s="19">
        <f>'DOE25'!J496</f>
        <v>0</v>
      </c>
      <c r="G156" s="96">
        <f>SUM(B156:F156)</f>
        <v>2507003.63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142105.26</v>
      </c>
      <c r="C158" s="19">
        <f>'DOE25'!G498</f>
        <v>80092.98</v>
      </c>
      <c r="D158" s="19">
        <f>'DOE25'!H498</f>
        <v>0</v>
      </c>
      <c r="E158" s="19">
        <f>'DOE25'!I498</f>
        <v>0</v>
      </c>
      <c r="F158" s="19">
        <f>'DOE25'!J498</f>
        <v>0</v>
      </c>
      <c r="G158" s="96">
        <f t="shared" si="8"/>
        <v>222198.24</v>
      </c>
    </row>
    <row r="159" spans="1:9" x14ac:dyDescent="0.2">
      <c r="A159" s="21" t="s">
        <v>35</v>
      </c>
      <c r="B159" s="19">
        <f>'DOE25'!F499</f>
        <v>586130.89</v>
      </c>
      <c r="C159" s="19">
        <f>'DOE25'!G499</f>
        <v>1698674.5</v>
      </c>
      <c r="D159" s="19">
        <f>'DOE25'!H499</f>
        <v>0</v>
      </c>
      <c r="E159" s="19">
        <f>'DOE25'!I499</f>
        <v>0</v>
      </c>
      <c r="F159" s="19">
        <f>'DOE25'!J499</f>
        <v>0</v>
      </c>
      <c r="G159" s="96">
        <f t="shared" si="8"/>
        <v>2284805.39</v>
      </c>
    </row>
    <row r="160" spans="1:9" x14ac:dyDescent="0.2">
      <c r="A160" s="21" t="s">
        <v>36</v>
      </c>
      <c r="B160" s="19">
        <f>'DOE25'!F500</f>
        <v>32407.81</v>
      </c>
      <c r="C160" s="19">
        <f>'DOE25'!G500</f>
        <v>568152.98</v>
      </c>
      <c r="D160" s="19">
        <f>'DOE25'!H500</f>
        <v>0</v>
      </c>
      <c r="E160" s="19">
        <f>'DOE25'!I500</f>
        <v>0</v>
      </c>
      <c r="F160" s="19">
        <f>'DOE25'!J500</f>
        <v>0</v>
      </c>
      <c r="G160" s="96">
        <f t="shared" si="8"/>
        <v>600560.79</v>
      </c>
    </row>
    <row r="161" spans="1:7" x14ac:dyDescent="0.2">
      <c r="A161" s="21" t="s">
        <v>37</v>
      </c>
      <c r="B161" s="19">
        <f>'DOE25'!F501</f>
        <v>618538.70000000007</v>
      </c>
      <c r="C161" s="19">
        <f>'DOE25'!G501</f>
        <v>2266827.48</v>
      </c>
      <c r="D161" s="19">
        <f>'DOE25'!H501</f>
        <v>0</v>
      </c>
      <c r="E161" s="19">
        <f>'DOE25'!I501</f>
        <v>0</v>
      </c>
      <c r="F161" s="19">
        <f>'DOE25'!J501</f>
        <v>0</v>
      </c>
      <c r="G161" s="96">
        <f t="shared" si="8"/>
        <v>2885366.18</v>
      </c>
    </row>
    <row r="162" spans="1:7" x14ac:dyDescent="0.2">
      <c r="A162" s="21" t="s">
        <v>38</v>
      </c>
      <c r="B162" s="19">
        <f>'DOE25'!F502</f>
        <v>142105</v>
      </c>
      <c r="C162" s="19">
        <f>'DOE25'!G502</f>
        <v>80722.75</v>
      </c>
      <c r="D162" s="19">
        <f>'DOE25'!H502</f>
        <v>0</v>
      </c>
      <c r="E162" s="19">
        <f>'DOE25'!I502</f>
        <v>0</v>
      </c>
      <c r="F162" s="19">
        <f>'DOE25'!J502</f>
        <v>0</v>
      </c>
      <c r="G162" s="96">
        <f t="shared" si="8"/>
        <v>222827.75</v>
      </c>
    </row>
    <row r="163" spans="1:7" x14ac:dyDescent="0.2">
      <c r="A163" s="21" t="s">
        <v>39</v>
      </c>
      <c r="B163" s="19">
        <f>'DOE25'!F503</f>
        <v>16764</v>
      </c>
      <c r="C163" s="19">
        <f>'DOE25'!G503</f>
        <v>61170.25</v>
      </c>
      <c r="D163" s="19">
        <f>'DOE25'!H503</f>
        <v>0</v>
      </c>
      <c r="E163" s="19">
        <f>'DOE25'!I503</f>
        <v>0</v>
      </c>
      <c r="F163" s="19">
        <f>'DOE25'!J503</f>
        <v>0</v>
      </c>
      <c r="G163" s="96">
        <f t="shared" si="8"/>
        <v>77934.25</v>
      </c>
    </row>
    <row r="164" spans="1:7" x14ac:dyDescent="0.2">
      <c r="A164" s="21" t="s">
        <v>246</v>
      </c>
      <c r="B164" s="19">
        <f>'DOE25'!F504</f>
        <v>158869</v>
      </c>
      <c r="C164" s="19">
        <f>'DOE25'!G504</f>
        <v>141893</v>
      </c>
      <c r="D164" s="19">
        <f>'DOE25'!H504</f>
        <v>0</v>
      </c>
      <c r="E164" s="19">
        <f>'DOE25'!I504</f>
        <v>0</v>
      </c>
      <c r="F164" s="19">
        <f>'DOE25'!J504</f>
        <v>0</v>
      </c>
      <c r="G164" s="96">
        <f t="shared" si="8"/>
        <v>300762</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2"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view="pageBreakPreview" zoomScale="60"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Franklin</v>
      </c>
    </row>
    <row r="3" spans="1:4" x14ac:dyDescent="0.2">
      <c r="B3" s="137" t="s">
        <v>1799</v>
      </c>
    </row>
    <row r="4" spans="1:4" x14ac:dyDescent="0.2">
      <c r="B4" t="s">
        <v>61</v>
      </c>
      <c r="C4" s="129">
        <f>IF('DOE25'!F666+'DOE25'!F671=0,0,ROUND('DOE25'!F673,0))</f>
        <v>19536</v>
      </c>
    </row>
    <row r="5" spans="1:4" x14ac:dyDescent="0.2">
      <c r="B5" t="s">
        <v>700</v>
      </c>
      <c r="C5" s="129">
        <f>IF('DOE25'!G666+'DOE25'!G671=0,0,ROUND('DOE25'!G673,0))</f>
        <v>0</v>
      </c>
    </row>
    <row r="6" spans="1:4" x14ac:dyDescent="0.2">
      <c r="B6" t="s">
        <v>62</v>
      </c>
      <c r="C6" s="129">
        <f>IF('DOE25'!H666+'DOE25'!H671=0,0,ROUND('DOE25'!H673,0))</f>
        <v>20047</v>
      </c>
    </row>
    <row r="7" spans="1:4" x14ac:dyDescent="0.2">
      <c r="B7" t="s">
        <v>701</v>
      </c>
      <c r="C7" s="129">
        <f>IF('DOE25'!I666+'DOE25'!I671=0,0,ROUND('DOE25'!I673,0))</f>
        <v>19683</v>
      </c>
    </row>
    <row r="9" spans="1:4" x14ac:dyDescent="0.2">
      <c r="A9" s="136" t="s">
        <v>94</v>
      </c>
      <c r="B9" s="137" t="s">
        <v>1800</v>
      </c>
      <c r="C9" s="131" t="s">
        <v>720</v>
      </c>
      <c r="D9" s="131" t="s">
        <v>721</v>
      </c>
    </row>
    <row r="10" spans="1:4" x14ac:dyDescent="0.2">
      <c r="A10">
        <v>1100</v>
      </c>
      <c r="B10" t="s">
        <v>702</v>
      </c>
      <c r="C10" s="129">
        <f>ROUND('DOE25'!L198+'DOE25'!L216+'DOE25'!L234+'DOE25'!L277+'DOE25'!L296+'DOE25'!L315,0)</f>
        <v>6232200</v>
      </c>
      <c r="D10" s="132">
        <f>ROUND((C10/$C$28)*100,1)</f>
        <v>29.9</v>
      </c>
    </row>
    <row r="11" spans="1:4" x14ac:dyDescent="0.2">
      <c r="A11">
        <v>1200</v>
      </c>
      <c r="B11" t="s">
        <v>703</v>
      </c>
      <c r="C11" s="129">
        <f>ROUND('DOE25'!L199+'DOE25'!L217+'DOE25'!L235+'DOE25'!L278+'DOE25'!L297+'DOE25'!L316,0)</f>
        <v>3675103</v>
      </c>
      <c r="D11" s="132">
        <f>ROUND((C11/$C$28)*100,1)</f>
        <v>17.600000000000001</v>
      </c>
    </row>
    <row r="12" spans="1:4" x14ac:dyDescent="0.2">
      <c r="A12">
        <v>1300</v>
      </c>
      <c r="B12" t="s">
        <v>704</v>
      </c>
      <c r="C12" s="129">
        <f>ROUND('DOE25'!L200+'DOE25'!L218+'DOE25'!L236+'DOE25'!L279+'DOE25'!L298+'DOE25'!L317,0)</f>
        <v>64242</v>
      </c>
      <c r="D12" s="132">
        <f>ROUND((C12/$C$28)*100,1)</f>
        <v>0.3</v>
      </c>
    </row>
    <row r="13" spans="1:4" x14ac:dyDescent="0.2">
      <c r="A13">
        <v>1400</v>
      </c>
      <c r="B13" t="s">
        <v>705</v>
      </c>
      <c r="C13" s="129">
        <f>ROUND('DOE25'!L201+'DOE25'!L219+'DOE25'!L237+'DOE25'!L280+'DOE25'!L299+'DOE25'!L318,0)</f>
        <v>444553</v>
      </c>
      <c r="D13" s="132">
        <f>ROUND((C13/$C$28)*100,1)</f>
        <v>2.1</v>
      </c>
    </row>
    <row r="14" spans="1:4" x14ac:dyDescent="0.2">
      <c r="D14" s="132"/>
    </row>
    <row r="15" spans="1:4" x14ac:dyDescent="0.2">
      <c r="A15">
        <v>2100</v>
      </c>
      <c r="B15" t="s">
        <v>706</v>
      </c>
      <c r="C15" s="129">
        <f>ROUND('DOE25'!L203+'DOE25'!L221+'DOE25'!L239+'DOE25'!L282+'DOE25'!L301+'DOE25'!L320,0)</f>
        <v>2481801</v>
      </c>
      <c r="D15" s="132">
        <f t="shared" ref="D15:D27" si="0">ROUND((C15/$C$28)*100,1)</f>
        <v>11.9</v>
      </c>
    </row>
    <row r="16" spans="1:4" x14ac:dyDescent="0.2">
      <c r="A16">
        <v>2200</v>
      </c>
      <c r="B16" t="s">
        <v>707</v>
      </c>
      <c r="C16" s="129">
        <f>ROUND('DOE25'!L204+'DOE25'!L222+'DOE25'!L240+'DOE25'!L283+'DOE25'!L302+'DOE25'!L321,0)</f>
        <v>1319721</v>
      </c>
      <c r="D16" s="132">
        <f t="shared" si="0"/>
        <v>6.3</v>
      </c>
    </row>
    <row r="17" spans="1:4" x14ac:dyDescent="0.2">
      <c r="A17" s="133" t="s">
        <v>723</v>
      </c>
      <c r="B17" t="s">
        <v>738</v>
      </c>
      <c r="C17" s="129">
        <f>ROUND('DOE25'!L205+'DOE25'!L210+'DOE25'!L223+'DOE25'!L228+'DOE25'!L241+'DOE25'!L246+'DOE25'!L284+'DOE25'!L289+'DOE25'!L303+'DOE25'!L308+'DOE25'!L322+'DOE25'!L327,0)</f>
        <v>871060</v>
      </c>
      <c r="D17" s="132">
        <f t="shared" si="0"/>
        <v>4.2</v>
      </c>
    </row>
    <row r="18" spans="1:4" x14ac:dyDescent="0.2">
      <c r="A18">
        <v>2400</v>
      </c>
      <c r="B18" t="s">
        <v>711</v>
      </c>
      <c r="C18" s="129">
        <f>ROUND('DOE25'!L206+'DOE25'!L224+'DOE25'!L242+'DOE25'!L285+'DOE25'!L304+'DOE25'!L323,0)</f>
        <v>1108225</v>
      </c>
      <c r="D18" s="132">
        <f t="shared" si="0"/>
        <v>5.3</v>
      </c>
    </row>
    <row r="19" spans="1:4" x14ac:dyDescent="0.2">
      <c r="A19">
        <v>2500</v>
      </c>
      <c r="B19" t="s">
        <v>708</v>
      </c>
      <c r="C19" s="129">
        <f>ROUND('DOE25'!L207+'DOE25'!L225+'DOE25'!L243+'DOE25'!L286+'DOE25'!L305+'DOE25'!L324,0)</f>
        <v>332452</v>
      </c>
      <c r="D19" s="132">
        <f t="shared" si="0"/>
        <v>1.6</v>
      </c>
    </row>
    <row r="20" spans="1:4" x14ac:dyDescent="0.2">
      <c r="A20">
        <v>2600</v>
      </c>
      <c r="B20" t="s">
        <v>709</v>
      </c>
      <c r="C20" s="129">
        <f>ROUND('DOE25'!L208+'DOE25'!L226+'DOE25'!L244+'DOE25'!L287+'DOE25'!L306+'DOE25'!L325,0)</f>
        <v>2775271</v>
      </c>
      <c r="D20" s="132">
        <f t="shared" si="0"/>
        <v>13.3</v>
      </c>
    </row>
    <row r="21" spans="1:4" x14ac:dyDescent="0.2">
      <c r="A21">
        <v>2700</v>
      </c>
      <c r="B21" t="s">
        <v>710</v>
      </c>
      <c r="C21" s="129">
        <f>ROUND('DOE25'!L209+'DOE25'!L227+'DOE25'!L245+'DOE25'!L288+'DOE25'!L307+'DOE25'!L326,0)</f>
        <v>739512</v>
      </c>
      <c r="D21" s="132">
        <f t="shared" si="0"/>
        <v>3.5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43280</v>
      </c>
      <c r="D24" s="132">
        <f t="shared" si="0"/>
        <v>0.2</v>
      </c>
    </row>
    <row r="25" spans="1:4" x14ac:dyDescent="0.2">
      <c r="A25">
        <v>5120</v>
      </c>
      <c r="B25" t="s">
        <v>716</v>
      </c>
      <c r="C25" s="129">
        <f>ROUND('DOE25'!L262+'DOE25'!L343,0)</f>
        <v>84257</v>
      </c>
      <c r="D25" s="132">
        <f t="shared" si="0"/>
        <v>0.4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686557.09</v>
      </c>
      <c r="D27" s="132">
        <f t="shared" si="0"/>
        <v>3.3</v>
      </c>
    </row>
    <row r="28" spans="1:4" x14ac:dyDescent="0.2">
      <c r="B28" s="136" t="s">
        <v>719</v>
      </c>
      <c r="C28" s="130">
        <f>SUM(C10:C27)</f>
        <v>20858234.09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20858234.09</v>
      </c>
    </row>
    <row r="31" spans="1:4" x14ac:dyDescent="0.2">
      <c r="B31" s="32"/>
      <c r="C31" s="130"/>
    </row>
    <row r="32" spans="1:4" x14ac:dyDescent="0.2">
      <c r="A32">
        <v>5100</v>
      </c>
      <c r="B32" s="32" t="s">
        <v>726</v>
      </c>
      <c r="C32" s="130">
        <f>ROUND('DOE25'!L261+'DOE25'!L342,0)</f>
        <v>222198</v>
      </c>
    </row>
    <row r="34" spans="1:4" x14ac:dyDescent="0.2">
      <c r="A34" s="136" t="s">
        <v>94</v>
      </c>
      <c r="B34" s="137" t="s">
        <v>1801</v>
      </c>
      <c r="C34" s="131" t="s">
        <v>720</v>
      </c>
      <c r="D34" s="131" t="s">
        <v>721</v>
      </c>
    </row>
    <row r="35" spans="1:4" x14ac:dyDescent="0.2">
      <c r="A35">
        <v>1100</v>
      </c>
      <c r="B35" s="71" t="s">
        <v>727</v>
      </c>
      <c r="C35" s="129">
        <f>ROUND('DOE25'!F60+'DOE25'!G60+'DOE25'!H60+'DOE25'!I60+'DOE25'!J60,0)</f>
        <v>4943755</v>
      </c>
      <c r="D35" s="132">
        <f t="shared" ref="D35:D40" si="1">ROUND((C35/$C$41)*100,1)</f>
        <v>23.9</v>
      </c>
    </row>
    <row r="36" spans="1:4" x14ac:dyDescent="0.2">
      <c r="B36" s="71" t="s">
        <v>739</v>
      </c>
      <c r="C36" s="129">
        <f>SUM('DOE25'!F112:J112)-SUM('DOE25'!G97:G110)+('DOE25'!F175+'DOE25'!F176+'DOE25'!I175+'DOE25'!I176)-C35</f>
        <v>510109.89999999944</v>
      </c>
      <c r="D36" s="132">
        <f t="shared" si="1"/>
        <v>2.5</v>
      </c>
    </row>
    <row r="37" spans="1:4" x14ac:dyDescent="0.2">
      <c r="A37" s="133" t="s">
        <v>834</v>
      </c>
      <c r="B37" s="71" t="s">
        <v>728</v>
      </c>
      <c r="C37" s="129">
        <f>ROUND('DOE25'!F117+'DOE25'!F118,0)</f>
        <v>9876710</v>
      </c>
      <c r="D37" s="132">
        <f t="shared" si="1"/>
        <v>47.8</v>
      </c>
    </row>
    <row r="38" spans="1:4" x14ac:dyDescent="0.2">
      <c r="A38" s="133" t="s">
        <v>734</v>
      </c>
      <c r="B38" s="71" t="s">
        <v>729</v>
      </c>
      <c r="C38" s="129">
        <f>ROUND(SUM('DOE25'!F140:J140)-SUM('DOE25'!F117:F119),0)</f>
        <v>481872</v>
      </c>
      <c r="D38" s="132">
        <f t="shared" si="1"/>
        <v>2.2999999999999998</v>
      </c>
    </row>
    <row r="39" spans="1:4" x14ac:dyDescent="0.2">
      <c r="A39">
        <v>4000</v>
      </c>
      <c r="B39" s="71" t="s">
        <v>730</v>
      </c>
      <c r="C39" s="129">
        <f>ROUND('DOE25'!F170+'DOE25'!G170+'DOE25'!H170+'DOE25'!I170,0)</f>
        <v>4838240</v>
      </c>
      <c r="D39" s="132">
        <f t="shared" si="1"/>
        <v>23.4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20650686.899999999</v>
      </c>
      <c r="D41" s="134">
        <f>SUM(D35:D40)</f>
        <v>99.899999999999977</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view="pageBreakPreview" zoomScale="60" zoomScaleNormal="100" workbookViewId="0">
      <selection activeCell="C58" sqref="C58:M5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Franklin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3</v>
      </c>
      <c r="B4" s="150">
        <v>24</v>
      </c>
      <c r="C4" s="327" t="s">
        <v>1816</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v>5</v>
      </c>
      <c r="B6" s="150">
        <v>14</v>
      </c>
      <c r="C6" s="327" t="s">
        <v>1817</v>
      </c>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21</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228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f>IF('School Level Expenditures'!$B$2='School Tables'!W24,'School Tables'!AD24,"")</f>
        <v>21</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f>IF('School Level Expenditures'!$B$2=A92,'School Tables'!H92,"")</f>
        <v>89</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f>IF('School Level Expenditures'!$B$2=A231,'School Tables'!H231,"")</f>
        <v>228</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2023-12-29T15:46:29Z</dcterms:modified>
</cp:coreProperties>
</file>