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F9DC6B2-C05F-4F8F-9CF5-2ADD2B4B4C8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0" i="1" l="1"/>
  <c r="F15" i="13" l="1"/>
  <c r="F6" i="13"/>
  <c r="C37" i="12"/>
  <c r="C38" i="12"/>
  <c r="B37" i="12"/>
  <c r="E9" i="17" l="1"/>
  <c r="E13" i="17"/>
  <c r="H605" i="1" l="1"/>
  <c r="J287" i="1"/>
  <c r="I287" i="1"/>
  <c r="H283" i="1"/>
  <c r="I283" i="1"/>
  <c r="G283" i="1"/>
  <c r="F283" i="1"/>
  <c r="G282" i="1"/>
  <c r="I280" i="1"/>
  <c r="H280" i="1"/>
  <c r="G280" i="1"/>
  <c r="F280" i="1"/>
  <c r="J278" i="1"/>
  <c r="H278" i="1"/>
  <c r="G278" i="1"/>
  <c r="F278" i="1"/>
  <c r="J277" i="1"/>
  <c r="I277" i="1"/>
  <c r="G277" i="1"/>
  <c r="H473" i="1"/>
  <c r="H469" i="1"/>
  <c r="G473" i="1"/>
  <c r="G469" i="1"/>
  <c r="H612" i="1"/>
  <c r="G612" i="1"/>
  <c r="F612" i="1"/>
  <c r="K527" i="1" l="1"/>
  <c r="K522" i="1"/>
  <c r="J527" i="1"/>
  <c r="I527" i="1"/>
  <c r="I522" i="1"/>
  <c r="H542" i="1"/>
  <c r="H522" i="1"/>
  <c r="F527" i="1" l="1"/>
  <c r="G522" i="1"/>
  <c r="F522" i="1"/>
  <c r="K205" i="1"/>
  <c r="K204" i="1"/>
  <c r="K203" i="1"/>
  <c r="J205" i="1"/>
  <c r="J204" i="1"/>
  <c r="J203" i="1"/>
  <c r="I206" i="1"/>
  <c r="I205" i="1"/>
  <c r="I204" i="1"/>
  <c r="I203" i="1"/>
  <c r="I198" i="1"/>
  <c r="H209" i="1"/>
  <c r="H208" i="1"/>
  <c r="H206" i="1"/>
  <c r="H205" i="1"/>
  <c r="H204" i="1"/>
  <c r="H203" i="1"/>
  <c r="H201" i="1"/>
  <c r="H199" i="1"/>
  <c r="H198" i="1"/>
  <c r="G204" i="1"/>
  <c r="C20" i="12"/>
  <c r="B20" i="12"/>
  <c r="C10" i="12"/>
  <c r="B10" i="12"/>
  <c r="F277" i="1"/>
  <c r="C19" i="12"/>
  <c r="C12" i="12"/>
  <c r="B19" i="12"/>
  <c r="B12" i="12"/>
  <c r="G201" i="1"/>
  <c r="G198" i="1"/>
  <c r="H245" i="1"/>
  <c r="H235" i="1"/>
  <c r="H234" i="1"/>
  <c r="F206" i="1"/>
  <c r="F205" i="1"/>
  <c r="F204" i="1"/>
  <c r="F203" i="1"/>
  <c r="F201" i="1"/>
  <c r="F199" i="1"/>
  <c r="F198" i="1"/>
  <c r="J359" i="1"/>
  <c r="I359" i="1"/>
  <c r="H359" i="1"/>
  <c r="G158" i="1"/>
  <c r="G22" i="1"/>
  <c r="F469" i="1" l="1"/>
  <c r="F22" i="1" l="1"/>
  <c r="F24" i="1"/>
  <c r="F13" i="1"/>
  <c r="F12" i="1"/>
  <c r="J522" i="1"/>
  <c r="J337" i="1"/>
  <c r="H162" i="1"/>
  <c r="H161" i="1"/>
  <c r="H159" i="1"/>
  <c r="H155" i="1"/>
  <c r="H154" i="1"/>
  <c r="H150" i="1"/>
  <c r="J469" i="1"/>
  <c r="H22"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N2" i="14" s="1"/>
  <c r="N3" i="14" s="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E121" i="2" s="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H79" i="2" s="1"/>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D115" i="2"/>
  <c r="F115" i="2"/>
  <c r="G115" i="2"/>
  <c r="E120"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C13" i="10" l="1"/>
  <c r="J652" i="1"/>
  <c r="C121" i="2"/>
  <c r="H121" i="2" s="1"/>
  <c r="C120" i="2"/>
  <c r="H120" i="2" s="1"/>
  <c r="M2" i="14"/>
  <c r="M3" i="14" s="1"/>
  <c r="L2" i="14"/>
  <c r="L3" i="14" s="1"/>
  <c r="K2" i="14"/>
  <c r="K3" i="14" s="1"/>
  <c r="G477" i="1"/>
  <c r="B33" i="16" s="1"/>
  <c r="H12" i="2"/>
  <c r="H477" i="1"/>
  <c r="H625" i="1" s="1"/>
  <c r="J625" i="1" s="1"/>
  <c r="D29" i="13"/>
  <c r="C29" i="13" s="1"/>
  <c r="G662" i="1"/>
  <c r="H87" i="2"/>
  <c r="H77" i="2"/>
  <c r="H69" i="2"/>
  <c r="H30" i="2"/>
  <c r="H28" i="2"/>
  <c r="H25" i="2"/>
  <c r="H17" i="2"/>
  <c r="A40" i="12"/>
  <c r="D6" i="13"/>
  <c r="C6" i="13" s="1"/>
  <c r="E13" i="13"/>
  <c r="C13" i="13" s="1"/>
  <c r="H102" i="2"/>
  <c r="H100" i="2"/>
  <c r="H98" i="2"/>
  <c r="H73" i="2"/>
  <c r="H23" i="2"/>
  <c r="H21" i="2"/>
  <c r="H15" i="2"/>
  <c r="H11" i="2"/>
  <c r="H143" i="2"/>
  <c r="H59" i="2"/>
  <c r="H38" i="2"/>
  <c r="H43" i="2"/>
  <c r="H47" i="2"/>
  <c r="H125" i="2"/>
  <c r="H112" i="2"/>
  <c r="H89" i="2"/>
  <c r="H72" i="2"/>
  <c r="H34" i="2"/>
  <c r="H29" i="2"/>
  <c r="H27" i="2"/>
  <c r="H24" i="2"/>
  <c r="H8" i="2"/>
  <c r="D18" i="13"/>
  <c r="C18" i="13" s="1"/>
  <c r="D15" i="13"/>
  <c r="C15" i="13" s="1"/>
  <c r="H101" i="2"/>
  <c r="H99" i="2"/>
  <c r="H76" i="2"/>
  <c r="H58" i="2"/>
  <c r="H113" i="2"/>
  <c r="H132" i="2"/>
  <c r="H36" i="2"/>
  <c r="H44" i="2"/>
  <c r="H48" i="2"/>
  <c r="D144" i="2"/>
  <c r="H134" i="2"/>
  <c r="H97" i="2"/>
  <c r="H61" i="2"/>
  <c r="H26" i="2"/>
  <c r="H22" i="2"/>
  <c r="H96" i="2"/>
  <c r="H35" i="2"/>
  <c r="H13" i="2"/>
  <c r="H9" i="2"/>
  <c r="G409" i="1"/>
  <c r="H646" i="1"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H103" i="2" s="1"/>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624" i="1" l="1"/>
  <c r="J624" i="1" s="1"/>
  <c r="D51" i="2"/>
  <c r="I662" i="1"/>
  <c r="H123" i="2"/>
  <c r="H118" i="2"/>
  <c r="E128" i="2"/>
  <c r="H57" i="2"/>
  <c r="H50" i="2"/>
  <c r="H31" i="2"/>
  <c r="H91" i="2"/>
  <c r="H18" i="2"/>
  <c r="D128" i="2"/>
  <c r="D145" i="2" s="1"/>
  <c r="H127" i="2"/>
  <c r="H42" i="2"/>
  <c r="C81" i="2"/>
  <c r="H81" i="2" s="1"/>
  <c r="H78" i="2"/>
  <c r="H16" i="2"/>
  <c r="H85"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H63"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H51" i="2"/>
  <c r="C104" i="2"/>
  <c r="H104" i="2" s="1"/>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<sst xmlns="http://schemas.openxmlformats.org/spreadsheetml/2006/main" count="6558" uniqueCount="1813">
  <si>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</si>
  <si>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</si>
  <si>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</si>
  <si>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</si>
  <si>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</si>
  <si>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</si>
  <si>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</si>
  <si>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</si>
  <si>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</si>
  <si>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</si>
  <si>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</si>
  <si>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</si>
  <si>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</si>
  <si>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</si>
  <si>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</si>
  <si>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</si>
  <si>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</si>
  <si>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</si>
  <si>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</si>
  <si>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</si>
  <si>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</si>
  <si>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</si>
  <si>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</si>
  <si>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</si>
  <si>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</si>
  <si>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</si>
  <si>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</si>
  <si>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</si>
  <si>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</si>
  <si>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</si>
  <si>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</si>
  <si>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</si>
  <si>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</si>
  <si>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</si>
  <si>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</si>
  <si>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</si>
  <si>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</si>
  <si>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</si>
  <si>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</si>
  <si>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</si>
  <si>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</si>
  <si>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</si>
  <si>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</si>
  <si>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</si>
  <si>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</si>
  <si>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</si>
  <si>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</si>
  <si>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</si>
  <si>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</si>
  <si>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</si>
  <si>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</si>
  <si>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</si>
  <si>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</si>
  <si>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</si>
  <si>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</si>
  <si>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</si>
  <si>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</si>
  <si>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</si>
  <si>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</si>
  <si>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</si>
  <si>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</si>
  <si>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</si>
  <si>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</si>
  <si>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</si>
  <si>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</si>
  <si>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</si>
  <si>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</si>
  <si>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</si>
  <si>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</si>
  <si>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</si>
  <si>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</si>
  <si>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</si>
  <si>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</si>
  <si>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</si>
  <si>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</si>
  <si>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</si>
  <si>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</si>
  <si>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</si>
  <si>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</si>
  <si>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</si>
  <si>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</si>
  <si>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</si>
  <si>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</si>
  <si>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</si>
  <si>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</si>
  <si>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</si>
  <si>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</si>
  <si>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</si>
  <si>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</si>
  <si>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</si>
  <si>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</si>
  <si>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</si>
  <si>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</si>
  <si>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</si>
  <si>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</si>
  <si>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</si>
  <si>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</si>
  <si>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</si>
  <si>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</si>
  <si>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</si>
  <si>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</si>
  <si>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</si>
  <si>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</si>
  <si>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</si>
  <si>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</si>
  <si>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</si>
  <si>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</si>
  <si>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</si>
  <si>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</si>
  <si>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</si>
  <si>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</si>
  <si>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</si>
  <si>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</si>
  <si>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</si>
  <si>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</si>
  <si>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</si>
  <si>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</si>
  <si>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</si>
  <si>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</si>
  <si>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</si>
  <si>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</si>
  <si>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</si>
  <si>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</si>
  <si>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</si>
  <si>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</si>
  <si>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</si>
  <si>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</si>
  <si>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</si>
  <si>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</si>
  <si>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</si>
  <si>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</si>
  <si>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</si>
  <si>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</si>
  <si>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</si>
  <si>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</si>
  <si>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</si>
  <si>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</si>
  <si>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</si>
  <si>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</si>
  <si>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</si>
  <si>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</si>
  <si>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</si>
  <si>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</si>
  <si>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</si>
  <si>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</si>
  <si>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</si>
  <si>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</si>
  <si>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</si>
  <si>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</si>
  <si>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</si>
  <si>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</si>
  <si>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</si>
  <si>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</si>
  <si>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</si>
  <si>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</si>
  <si>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</si>
  <si>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</si>
  <si>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</si>
  <si>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</si>
  <si>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</si>
  <si>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</si>
  <si>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</si>
  <si>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</si>
  <si>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</si>
  <si>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</si>
  <si>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</si>
  <si>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</si>
  <si>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</si>
  <si>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</si>
  <si>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</si>
  <si>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</si>
  <si>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</si>
  <si>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</si>
  <si>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</si>
  <si>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</si>
  <si>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</si>
  <si>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</si>
  <si>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</si>
  <si>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</si>
  <si>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</si>
  <si>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</si>
  <si>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</si>
  <si>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</si>
  <si>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</si>
  <si>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</si>
  <si>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</si>
  <si>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</si>
  <si>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</si>
  <si>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</si>
  <si>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</si>
  <si>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</si>
  <si>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</si>
  <si>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</si>
  <si>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</si>
  <si>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</si>
  <si>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</si>
  <si>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</si>
  <si>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</si>
  <si>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</si>
  <si>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</si>
  <si>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</si>
  <si>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</si>
  <si>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</si>
  <si>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</si>
  <si>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</si>
  <si>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</si>
  <si>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</si>
  <si>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</si>
  <si>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</si>
  <si>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</si>
  <si>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</si>
  <si>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</si>
  <si>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</si>
  <si>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</si>
  <si>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</si>
  <si>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</si>
  <si>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</si>
  <si>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</si>
  <si>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</si>
  <si>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</si>
  <si>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</si>
  <si>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</si>
  <si>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</si>
  <si>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</si>
  <si>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</si>
  <si>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</si>
  <si>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</si>
  <si>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</si>
  <si>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</si>
  <si>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</si>
  <si>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</si>
  <si>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</si>
  <si>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</si>
  <si>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</si>
  <si>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</si>
  <si>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</si>
  <si>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</si>
  <si>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</si>
  <si>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</si>
  <si>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</si>
  <si>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</si>
  <si>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</si>
  <si>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</si>
  <si>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</si>
  <si>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</si>
  <si>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</si>
  <si>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</si>
  <si>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</si>
  <si>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</si>
  <si>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</si>
  <si>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</si>
  <si>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</si>
  <si>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</si>
  <si>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</si>
  <si>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</si>
  <si>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</si>
  <si>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</si>
  <si>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</si>
  <si>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</si>
  <si>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</si>
  <si>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</si>
  <si>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</si>
  <si>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</si>
  <si>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</si>
  <si>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</si>
  <si>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</si>
  <si>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</si>
  <si>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</si>
  <si>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</si>
  <si>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</si>
  <si>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</si>
  <si>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</si>
  <si>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</si>
  <si>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</si>
  <si>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</si>
  <si>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</si>
  <si>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</si>
  <si>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</si>
  <si>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</si>
  <si>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</si>
  <si>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</si>
  <si>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</si>
  <si>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</si>
  <si>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</si>
  <si>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</si>
  <si>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</si>
  <si>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</si>
  <si>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</si>
  <si>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</si>
  <si>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</si>
  <si>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</si>
  <si>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</si>
  <si>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</si>
  <si>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</si>
  <si>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</si>
  <si>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</si>
  <si>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</si>
  <si>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</si>
  <si>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</si>
  <si>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</si>
  <si>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</si>
  <si>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</si>
  <si>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</si>
  <si>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</si>
  <si>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</si>
  <si>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</si>
  <si>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</si>
  <si>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</si>
  <si>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</si>
  <si>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</si>
  <si>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</si>
  <si>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</si>
  <si>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</si>
  <si>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</si>
  <si>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</si>
  <si>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</si>
  <si>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</si>
  <si>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</si>
  <si>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</si>
  <si>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</si>
  <si>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</si>
  <si>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</si>
  <si>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</si>
  <si>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</si>
  <si>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</si>
  <si>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</si>
  <si>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</si>
  <si>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</si>
  <si>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</si>
  <si>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</si>
  <si>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</si>
  <si>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</si>
  <si>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</si>
  <si>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</si>
  <si>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</si>
  <si>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</si>
  <si>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</si>
  <si>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</si>
  <si>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</si>
  <si>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</si>
  <si>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</si>
  <si>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</si>
  <si>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</si>
  <si>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</si>
  <si>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</si>
  <si>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</si>
  <si>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</si>
  <si>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</si>
  <si>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</si>
  <si>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</si>
  <si>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</si>
  <si>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</si>
  <si>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</si>
  <si>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</si>
  <si>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</si>
  <si>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</si>
  <si>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</si>
  <si>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</si>
  <si>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</si>
  <si>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</si>
  <si>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</si>
  <si>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</si>
  <si>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</si>
  <si>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</si>
  <si>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</si>
  <si>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</si>
  <si>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</si>
  <si>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</si>
  <si>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</si>
  <si>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</si>
  <si>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</si>
  <si>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</si>
  <si>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</si>
  <si>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</si>
  <si>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</si>
  <si>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</si>
  <si>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</si>
  <si>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</si>
  <si>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</si>
  <si>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</si>
  <si>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</si>
  <si>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</si>
  <si>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</si>
  <si>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</si>
  <si>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</si>
  <si>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</si>
  <si>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</si>
  <si>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</si>
  <si>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</si>
  <si>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</si>
  <si>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</si>
  <si>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</si>
  <si>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</si>
  <si>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</si>
  <si>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</si>
  <si>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</si>
  <si>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</si>
  <si>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</si>
  <si>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</si>
  <si>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</si>
  <si>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</si>
  <si>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</si>
  <si>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</si>
  <si>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</si>
  <si>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</si>
  <si>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</si>
  <si>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</si>
  <si>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</si>
  <si>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</si>
  <si>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</si>
  <si>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</si>
  <si>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</si>
  <si>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</si>
  <si>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</si>
  <si>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</si>
  <si>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</si>
  <si>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</si>
  <si>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</si>
  <si>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</si>
  <si>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</si>
  <si>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</si>
  <si>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</si>
  <si>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</si>
  <si>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</si>
  <si>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</si>
  <si>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</si>
  <si>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</si>
  <si>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</si>
  <si>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</si>
  <si>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</si>
  <si>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</si>
  <si>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</si>
  <si>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</si>
  <si>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</si>
  <si>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</si>
  <si>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</si>
  <si>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</si>
  <si>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</si>
  <si>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</si>
  <si>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</si>
  <si>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</si>
  <si>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</si>
  <si>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</si>
  <si>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</si>
  <si>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</si>
  <si>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</si>
  <si>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</si>
  <si>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</si>
  <si>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</si>
  <si>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</si>
  <si>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</si>
  <si>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</si>
  <si>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</si>
  <si>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</si>
  <si>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</si>
  <si>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</si>
  <si>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</si>
  <si>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</si>
  <si>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</si>
  <si>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</si>
  <si>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</si>
  <si>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</si>
  <si>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</si>
  <si>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</si>
  <si>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</si>
  <si>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</si>
  <si>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</si>
  <si>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</si>
  <si>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</si>
  <si>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</si>
  <si>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</si>
  <si>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</si>
  <si>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</si>
  <si>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</si>
  <si>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</si>
  <si>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</si>
  <si>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</si>
  <si>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</si>
  <si>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</si>
  <si>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</si>
  <si>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</si>
  <si>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</si>
  <si>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</si>
  <si>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</si>
  <si>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</si>
  <si>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</si>
  <si>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</si>
  <si>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</si>
  <si>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</si>
  <si>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</si>
  <si>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</si>
  <si>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</si>
  <si>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</si>
  <si>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</si>
  <si>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</si>
  <si>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</si>
  <si>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</si>
  <si>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</si>
  <si>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</si>
  <si>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</si>
  <si>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</si>
  <si>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</si>
  <si>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</si>
  <si>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</si>
  <si>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</si>
  <si>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</si>
  <si>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</si>
  <si>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</si>
  <si>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</si>
  <si>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</si>
  <si>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</si>
  <si>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</si>
  <si>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</si>
  <si>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</si>
  <si>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</si>
  <si>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</si>
  <si>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</si>
  <si>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</si>
  <si>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</si>
  <si>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</si>
  <si>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</si>
  <si>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</si>
  <si>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</si>
  <si>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</si>
  <si>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</si>
  <si>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</si>
  <si>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</si>
  <si>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</si>
  <si>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</si>
  <si>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</si>
  <si>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</si>
  <si>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</si>
  <si>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</si>
  <si>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</si>
  <si>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</si>
  <si>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</si>
  <si>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</si>
  <si>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</si>
  <si>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</si>
  <si>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</si>
  <si>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</si>
  <si>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</si>
  <si>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</si>
  <si>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</si>
  <si>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</si>
  <si>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</si>
  <si>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</si>
  <si>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</si>
  <si>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</si>
  <si>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</si>
  <si>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</si>
  <si>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</si>
  <si>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</si>
  <si>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</si>
  <si>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</si>
  <si>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</si>
  <si>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</si>
  <si>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</si>
  <si>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</si>
  <si>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</si>
  <si>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</si>
  <si>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</si>
  <si>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</si>
  <si>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</si>
  <si>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</si>
  <si>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</si>
  <si>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</si>
  <si>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</si>
  <si>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</si>
  <si>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</si>
  <si>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</si>
  <si>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</si>
  <si>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</si>
  <si>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</si>
  <si>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</si>
  <si>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</si>
  <si>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</si>
  <si>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</si>
  <si>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</si>
  <si>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</si>
  <si>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</si>
  <si>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</si>
  <si>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</si>
  <si>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</si>
  <si>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</si>
  <si>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</si>
  <si>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</si>
  <si>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</si>
  <si>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</si>
  <si>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</si>
  <si>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</si>
  <si>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</si>
  <si>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</si>
  <si>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</si>
  <si>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</si>
  <si>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</si>
  <si>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</si>
  <si>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</si>
  <si>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</si>
  <si>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</si>
  <si>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</si>
  <si>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</si>
  <si>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</si>
  <si>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</si>
  <si>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</si>
  <si>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</si>
  <si>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</si>
  <si>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</si>
  <si>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</si>
  <si>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</si>
  <si>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</si>
  <si>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</si>
  <si>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</si>
  <si>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</si>
  <si>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</si>
  <si>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</si>
  <si>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</si>
  <si>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</si>
  <si>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</si>
  <si>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</si>
  <si>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</si>
  <si>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</si>
  <si>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</si>
  <si>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</si>
  <si>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</si>
  <si>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</si>
  <si>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</si>
  <si>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</si>
  <si>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</si>
  <si>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</si>
  <si>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</si>
  <si>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</si>
  <si>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</si>
  <si>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</si>
  <si>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</si>
  <si>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</si>
  <si>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</si>
  <si>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</si>
  <si>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</si>
  <si>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</si>
  <si>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</si>
  <si>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</si>
  <si>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</si>
  <si>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</si>
  <si>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</si>
  <si>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</si>
  <si>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</si>
  <si>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</si>
  <si>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</si>
  <si>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</si>
  <si>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</si>
  <si>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</si>
  <si>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</si>
  <si>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</si>
  <si>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</si>
  <si>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</si>
  <si>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</si>
  <si>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</si>
  <si>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</si>
  <si>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</si>
  <si>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</si>
  <si>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</si>
  <si>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</si>
  <si>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</si>
  <si>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</si>
  <si>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</si>
  <si>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</si>
  <si>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</si>
  <si>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</si>
  <si>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</si>
  <si>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</si>
  <si>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</si>
  <si>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</si>
  <si>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</si>
  <si>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</si>
  <si>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</si>
  <si>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</si>
  <si>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</si>
  <si>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</si>
  <si>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</si>
  <si>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</si>
  <si>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</si>
  <si>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</si>
  <si>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</si>
  <si>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</si>
  <si>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</si>
  <si>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</si>
  <si>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</si>
  <si>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</si>
  <si>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</si>
  <si>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</si>
  <si>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</si>
  <si>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</si>
  <si>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</si>
  <si>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</si>
  <si>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</si>
  <si>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</si>
  <si>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</si>
  <si>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</si>
  <si>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</si>
  <si>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</si>
  <si>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</si>
  <si>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</si>
  <si>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</si>
  <si>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</si>
  <si>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</si>
  <si>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</si>
  <si>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</si>
  <si>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</si>
  <si>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</si>
  <si>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</si>
  <si>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</si>
  <si>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</si>
  <si>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</si>
  <si>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</si>
  <si>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</si>
  <si>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</si>
  <si>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</si>
  <si>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</si>
  <si>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</si>
  <si>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</si>
  <si>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</si>
  <si>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</si>
  <si>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</si>
  <si>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</si>
  <si>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</si>
  <si>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</si>
  <si>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</si>
  <si>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</si>
  <si>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</si>
  <si>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</si>
  <si>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</si>
  <si>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</si>
  <si>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</si>
  <si>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</si>
  <si>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</si>
  <si>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</si>
  <si>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</si>
  <si>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</si>
  <si>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</si>
  <si>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</si>
  <si>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</si>
  <si>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</si>
  <si>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</si>
  <si>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</si>
  <si>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</si>
  <si>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</si>
  <si>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</si>
  <si>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</si>
  <si>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</si>
  <si>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</si>
  <si>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</si>
  <si>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</si>
  <si>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</si>
  <si>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</si>
  <si>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</si>
  <si>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</si>
  <si>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</si>
  <si>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</si>
  <si>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</si>
  <si>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</si>
  <si>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</si>
  <si>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</si>
  <si>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</si>
  <si>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</si>
  <si>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</si>
  <si>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</si>
  <si>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</si>
  <si>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</si>
  <si>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</si>
  <si>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</si>
  <si>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</si>
  <si>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</si>
  <si>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</si>
  <si>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</si>
  <si>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</si>
  <si>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</si>
  <si>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</si>
  <si>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</si>
  <si>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</si>
  <si>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</si>
  <si>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</si>
  <si>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</si>
  <si>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</si>
  <si>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</si>
  <si>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</si>
  <si>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</si>
  <si>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</si>
  <si>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</si>
  <si>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</si>
  <si>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</si>
  <si>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</si>
  <si>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</si>
  <si>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</si>
  <si>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</si>
  <si>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</si>
  <si>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</si>
  <si>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</si>
  <si>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</si>
  <si>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</si>
  <si>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</si>
  <si>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</si>
  <si>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</si>
  <si>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</si>
  <si>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</si>
  <si>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</si>
  <si>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</si>
  <si>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</si>
  <si>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</si>
  <si>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</si>
  <si>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</si>
  <si>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</si>
  <si>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</si>
  <si>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</si>
  <si>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</si>
  <si>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</si>
  <si>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</si>
  <si>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</si>
  <si>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</si>
  <si>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</si>
  <si>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</si>
  <si>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</si>
  <si>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</si>
  <si>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</si>
  <si>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</si>
  <si>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</si>
  <si>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</si>
  <si>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</si>
  <si>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</si>
  <si>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</si>
  <si>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</si>
  <si>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</si>
  <si>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</si>
  <si>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</si>
  <si>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</si>
  <si>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</si>
  <si>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</si>
  <si>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</si>
  <si>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</si>
  <si>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</si>
  <si>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</si>
  <si>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</si>
  <si>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</si>
  <si>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</si>
  <si>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</si>
  <si>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</si>
  <si>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</si>
  <si>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</si>
  <si>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</si>
  <si>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</si>
  <si>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</si>
  <si>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</si>
  <si>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</si>
  <si>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</si>
  <si>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</si>
  <si>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</si>
  <si>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</si>
  <si>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</si>
  <si>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</si>
  <si>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</si>
  <si>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</si>
  <si>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</si>
  <si>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</si>
  <si>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</si>
  <si>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</si>
  <si>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</si>
  <si>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</si>
  <si>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</si>
  <si>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</si>
  <si>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</si>
  <si>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</si>
  <si>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</si>
  <si>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</si>
  <si>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</si>
  <si>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</si>
  <si>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</si>
  <si>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</si>
  <si>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</si>
  <si>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</si>
  <si>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</si>
  <si>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</si>
  <si>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</si>
  <si>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</si>
  <si>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</si>
  <si>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</si>
  <si>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</si>
  <si>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</si>
  <si>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</si>
  <si>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</si>
  <si>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</si>
  <si>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</si>
  <si>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</si>
  <si>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</si>
  <si>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</si>
  <si>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</si>
  <si>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</si>
  <si>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</si>
  <si>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</si>
  <si>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</si>
  <si>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</si>
  <si>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</si>
  <si>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</si>
  <si>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</si>
  <si>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</si>
  <si>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</si>
  <si>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</si>
  <si>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</si>
  <si>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</si>
  <si>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</si>
  <si>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</si>
  <si>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</si>
  <si>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</si>
  <si>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</si>
  <si>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</si>
  <si>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</si>
  <si>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</si>
  <si>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</si>
  <si>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</si>
  <si>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</si>
  <si>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</si>
  <si>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</si>
  <si>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</si>
  <si>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</si>
  <si>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</si>
  <si>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</si>
  <si>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</si>
  <si>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</si>
  <si>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</si>
  <si>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</si>
  <si>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</si>
  <si>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</si>
  <si>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</si>
  <si>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</si>
  <si>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</si>
  <si>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</si>
  <si>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</si>
  <si>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</si>
  <si>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</si>
  <si>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</si>
  <si>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</si>
  <si>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</si>
  <si>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</si>
  <si>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</si>
  <si>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</si>
  <si>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</si>
  <si>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</si>
  <si>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</si>
  <si>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</si>
  <si>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</si>
  <si>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</si>
  <si>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</si>
  <si>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</si>
  <si>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</si>
  <si>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</si>
  <si>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</si>
  <si>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</si>
  <si>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</si>
  <si>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</si>
  <si>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</si>
  <si>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</si>
  <si>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</si>
  <si>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</si>
  <si>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</si>
  <si>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</si>
  <si>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</si>
  <si>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</si>
  <si>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</si>
  <si>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</si>
  <si>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</si>
  <si>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</si>
  <si>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</si>
  <si>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</si>
  <si>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</si>
  <si>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</si>
  <si>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</si>
  <si>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</si>
  <si>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</si>
  <si>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</si>
  <si>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</si>
  <si>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</si>
  <si>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</si>
  <si>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</si>
  <si>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</si>
  <si>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</si>
  <si>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</si>
  <si>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</si>
  <si>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</si>
  <si>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</si>
  <si>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</si>
  <si>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</si>
  <si>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</si>
  <si>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</si>
  <si>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</si>
  <si>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</si>
  <si>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</si>
  <si>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</si>
  <si>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</si>
  <si>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</si>
  <si>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</si>
  <si>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</si>
  <si>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</si>
  <si>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</si>
  <si>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</si>
  <si>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</si>
  <si>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</si>
  <si>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</si>
  <si>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</si>
  <si>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</si>
  <si>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</si>
  <si>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</si>
  <si>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</si>
  <si>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</si>
  <si>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</si>
  <si>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</si>
  <si>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</si>
  <si>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</si>
  <si>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</si>
  <si>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</si>
  <si>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</si>
  <si>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</si>
  <si>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</si>
  <si>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</si>
  <si>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</si>
  <si>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</si>
  <si>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</si>
  <si>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</si>
  <si>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</si>
  <si>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</si>
  <si>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</si>
  <si>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</si>
  <si>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</si>
  <si>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</si>
  <si>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</si>
  <si>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</si>
  <si>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</si>
  <si>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</si>
  <si>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</si>
  <si>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</si>
  <si>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</si>
  <si>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</si>
  <si>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</si>
  <si>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</si>
  <si>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</si>
  <si>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</si>
  <si>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</si>
  <si>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</si>
  <si>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</si>
  <si>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</si>
  <si>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</si>
  <si>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</si>
  <si>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</si>
  <si>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</si>
  <si>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</si>
  <si>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</si>
  <si>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</si>
  <si>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</si>
  <si>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</si>
  <si>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</si>
  <si>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</si>
  <si>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</si>
  <si>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</si>
  <si>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</si>
  <si>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</si>
  <si>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</si>
  <si>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</si>
  <si>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</si>
  <si>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</si>
  <si>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</si>
  <si>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</si>
  <si>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</si>
  <si>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</si>
  <si>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</si>
  <si>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</si>
  <si>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</si>
  <si>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</si>
  <si>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</si>
  <si>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</si>
  <si>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</si>
  <si>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</si>
  <si>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</si>
  <si>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</si>
  <si>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</si>
  <si>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</si>
  <si>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</si>
  <si>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</si>
  <si>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</si>
  <si>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</si>
  <si>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</si>
  <si>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</si>
  <si>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</si>
  <si>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</si>
  <si>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</si>
  <si>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</si>
  <si>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</si>
  <si>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</si>
  <si>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</si>
  <si>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</si>
  <si>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</si>
  <si>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</si>
  <si>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</si>
  <si>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</si>
  <si>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</si>
  <si>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</si>
  <si>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</si>
  <si>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</si>
  <si>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</si>
  <si>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</si>
  <si>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</si>
  <si>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</si>
  <si>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</si>
  <si>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</si>
  <si>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</si>
  <si>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</si>
  <si>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</si>
  <si>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</si>
  <si>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</si>
  <si>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</si>
  <si>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</si>
  <si>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</si>
  <si>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</si>
  <si>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</si>
  <si>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</si>
  <si>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</si>
  <si>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</si>
  <si>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</si>
  <si>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</si>
  <si>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</si>
  <si>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</si>
  <si>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</si>
  <si>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</si>
  <si>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</si>
  <si>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</si>
  <si>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</si>
  <si>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</si>
  <si>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</si>
  <si>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</si>
  <si>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</si>
  <si>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</si>
  <si>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</si>
  <si>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</si>
  <si>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</si>
  <si>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</si>
  <si>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</si>
  <si>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</si>
  <si>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</si>
  <si>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</si>
  <si>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</si>
  <si>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</si>
  <si>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</si>
  <si>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</si>
  <si>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</si>
  <si>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</si>
  <si>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</si>
  <si>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</si>
  <si>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</si>
  <si>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</si>
  <si>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</si>
  <si>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</si>
  <si>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</si>
  <si>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</si>
  <si>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</si>
  <si>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</si>
  <si>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</si>
  <si>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</si>
  <si>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</si>
  <si>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</si>
  <si>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</si>
  <si>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</si>
  <si>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</si>
  <si>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</si>
  <si>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</si>
  <si>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</si>
  <si>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</si>
  <si>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</si>
  <si>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</si>
  <si>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</si>
  <si>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</si>
  <si>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</si>
  <si>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</si>
  <si>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</si>
  <si>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</si>
  <si>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</si>
  <si>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</si>
  <si>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</si>
  <si>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</si>
  <si>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</si>
  <si>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</si>
  <si>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</si>
  <si>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</si>
  <si>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</si>
  <si>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</si>
  <si>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</si>
  <si>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</si>
  <si>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</si>
  <si>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</si>
  <si>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</si>
  <si>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</si>
  <si>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</si>
  <si>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</si>
  <si>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</si>
  <si>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</si>
  <si>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</si>
  <si>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</si>
  <si>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</si>
  <si>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</si>
  <si>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</si>
  <si>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</si>
  <si>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</si>
  <si>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</si>
  <si>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</si>
  <si>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</si>
  <si>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</si>
  <si>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</si>
  <si>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</si>
  <si>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</si>
  <si>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</si>
  <si>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</si>
  <si>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</si>
  <si>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</si>
  <si>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</si>
  <si>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</si>
  <si>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</si>
  <si>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</si>
  <si>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</si>
  <si>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</si>
  <si>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</si>
  <si>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</si>
  <si>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</si>
  <si>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</si>
  <si>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</si>
  <si>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</si>
  <si>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</si>
  <si>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</si>
  <si>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</si>
  <si>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</si>
  <si>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</si>
  <si>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</si>
  <si>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</si>
  <si>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</si>
  <si>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</si>
  <si>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</si>
  <si>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</si>
  <si>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</si>
  <si>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</si>
  <si>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</si>
  <si>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</si>
  <si>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</si>
  <si>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</si>
  <si>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</si>
  <si>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</si>
  <si>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</si>
  <si>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</si>
  <si>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</si>
  <si>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</si>
  <si>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</si>
  <si>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</si>
  <si>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</si>
  <si>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</si>
  <si>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</si>
  <si>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</si>
  <si>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</si>
  <si>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</si>
  <si>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</si>
  <si>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</si>
  <si>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</si>
  <si>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</si>
  <si>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</si>
  <si>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</si>
  <si>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</si>
  <si>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</si>
  <si>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</si>
  <si>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</si>
  <si>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</si>
  <si>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</si>
  <si>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</si>
  <si>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</si>
  <si>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</si>
  <si>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</si>
  <si>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</si>
  <si>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</si>
  <si>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</si>
  <si>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</si>
  <si>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</si>
  <si>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</si>
  <si>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</si>
  <si>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</si>
  <si>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</si>
  <si>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</si>
  <si>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</si>
  <si>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</si>
  <si>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</si>
  <si>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</si>
  <si>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</si>
  <si>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</si>
  <si>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</si>
  <si>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</si>
  <si>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</si>
  <si>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</si>
  <si>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</si>
  <si>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</si>
  <si>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</si>
  <si>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</si>
  <si>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</si>
  <si>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</si>
  <si>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</si>
  <si>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</si>
  <si>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</si>
  <si>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</si>
  <si>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</si>
  <si>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</si>
  <si>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</si>
  <si>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</si>
  <si>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</si>
  <si>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</si>
  <si>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</si>
  <si>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</si>
  <si>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</si>
  <si>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</si>
  <si>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</si>
  <si>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</si>
  <si>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</si>
  <si>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</si>
  <si>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</si>
  <si>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</si>
  <si>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</si>
  <si>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</si>
  <si>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</si>
  <si>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</si>
  <si>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</si>
  <si>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</si>
  <si>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</si>
  <si>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</si>
  <si>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</si>
  <si>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</si>
  <si>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</si>
  <si>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</si>
  <si>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</si>
  <si>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</si>
  <si>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</si>
  <si>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</si>
  <si>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</si>
  <si>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</si>
  <si>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</si>
  <si>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</si>
  <si>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</si>
  <si>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</si>
  <si>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</si>
  <si>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</si>
  <si>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</si>
  <si>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</si>
  <si>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</si>
  <si>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</si>
  <si>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</si>
  <si>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</si>
  <si>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</si>
  <si>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</si>
  <si>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</si>
  <si>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</si>
  <si>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</si>
  <si>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</si>
  <si>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</si>
  <si>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</si>
  <si>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</si>
  <si>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</si>
  <si>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</si>
  <si>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</si>
  <si>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</si>
  <si>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</si>
  <si>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</si>
  <si>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</si>
  <si>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</si>
  <si>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</si>
  <si>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</si>
  <si>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</si>
  <si>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</si>
  <si>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</si>
  <si>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</si>
  <si>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</si>
  <si>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</si>
  <si>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</si>
  <si>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</si>
  <si>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</si>
  <si>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</si>
  <si>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</si>
  <si>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</si>
  <si>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</si>
  <si>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</si>
  <si>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</si>
  <si>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</si>
  <si>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</si>
  <si>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</si>
  <si>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</si>
  <si>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</si>
  <si>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</si>
  <si>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</si>
  <si>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</si>
  <si>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</si>
  <si>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</si>
  <si>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</si>
  <si>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</si>
  <si>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</si>
  <si>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</si>
  <si>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</si>
  <si>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</si>
  <si>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</si>
  <si>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</si>
  <si>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</si>
  <si>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</si>
  <si>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</si>
  <si>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</si>
  <si>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</si>
  <si>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</si>
  <si>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</si>
  <si>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</si>
  <si>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</si>
  <si>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</si>
  <si>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</si>
  <si>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</si>
  <si>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</si>
  <si>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</si>
  <si>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</si>
  <si>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</si>
  <si>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</si>
  <si>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</si>
  <si>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</si>
  <si>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</si>
  <si>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</si>
  <si>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</si>
  <si>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</si>
  <si>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</si>
  <si>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</si>
  <si>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</si>
  <si>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</si>
  <si>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</si>
  <si>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</si>
  <si>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</si>
  <si>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</si>
  <si>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</si>
  <si>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</si>
  <si>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</si>
  <si>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</si>
  <si>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</si>
  <si>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</si>
  <si>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</si>
  <si>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</si>
  <si>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</si>
  <si>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</si>
  <si>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</si>
  <si>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</si>
  <si>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</si>
  <si>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</si>
  <si>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</si>
  <si>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</si>
  <si>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</si>
  <si>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</si>
  <si>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</si>
  <si>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</si>
  <si>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</si>
  <si>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</si>
  <si>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</si>
  <si>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</si>
  <si>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</si>
  <si>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</si>
  <si>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</si>
  <si>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</si>
  <si>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</si>
  <si>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</si>
  <si>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</si>
  <si>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</si>
  <si>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</si>
  <si>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</si>
  <si>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</si>
  <si>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</si>
  <si>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</si>
  <si>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</si>
  <si>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</si>
  <si>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</si>
  <si>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</si>
  <si>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</si>
  <si>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</si>
  <si>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</si>
  <si>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</si>
  <si>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</si>
  <si>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</si>
  <si>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</si>
  <si>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</si>
  <si>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</si>
  <si>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</si>
  <si>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</si>
  <si>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</si>
  <si>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</si>
  <si>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</si>
  <si>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</si>
  <si>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</si>
  <si>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</si>
  <si>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</si>
  <si>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</si>
  <si>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</si>
  <si>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</si>
  <si>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</si>
  <si>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</si>
  <si>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</si>
  <si>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</si>
  <si>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</si>
  <si>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</si>
  <si>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</si>
  <si>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</si>
  <si>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</si>
  <si>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</si>
  <si>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</si>
  <si>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</si>
  <si>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</si>
  <si>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</si>
  <si>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</si>
  <si>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</si>
  <si>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</si>
  <si>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</si>
  <si>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</si>
  <si>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</si>
  <si>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</si>
  <si>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</si>
  <si>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</si>
  <si>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</si>
  <si>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</si>
  <si>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</si>
  <si>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</si>
  <si>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</si>
  <si>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</si>
  <si>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</si>
  <si>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</si>
  <si>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</si>
  <si>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</si>
  <si>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</si>
  <si>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</si>
  <si>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</si>
  <si>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</si>
  <si>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</si>
  <si>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</si>
  <si>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</si>
  <si>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</si>
  <si>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</si>
  <si>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</si>
  <si>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</si>
  <si>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</si>
  <si>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</si>
  <si>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</si>
  <si>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</si>
  <si>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</si>
  <si>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</si>
  <si>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</si>
  <si>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</si>
  <si>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</si>
  <si>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</si>
  <si>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</si>
  <si>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</si>
  <si>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</si>
  <si>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</si>
  <si>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</si>
  <si>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</si>
  <si>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</si>
  <si>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</si>
  <si>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</si>
  <si>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</si>
  <si>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</si>
  <si>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</si>
  <si>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</si>
  <si>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</si>
  <si>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</si>
  <si>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</si>
  <si>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</si>
  <si>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</si>
  <si>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</si>
  <si>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</si>
  <si>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</si>
  <si>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</si>
  <si>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</si>
  <si>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</si>
  <si>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</si>
  <si>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</si>
  <si>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</si>
  <si>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</si>
  <si>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</si>
  <si>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</si>
  <si>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</si>
  <si>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</si>
  <si>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</si>
  <si>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</si>
  <si>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</si>
  <si>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</si>
  <si>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</si>
  <si>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</si>
  <si>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</si>
  <si>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</si>
  <si>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</si>
  <si>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</si>
  <si>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</si>
  <si>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</si>
  <si>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</si>
  <si>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</si>
  <si>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</si>
  <si>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</si>
  <si>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</si>
  <si>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</si>
  <si>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</si>
  <si>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</si>
  <si>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</si>
  <si>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</si>
  <si>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</si>
  <si>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</si>
  <si>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</si>
  <si>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</si>
  <si>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</si>
  <si>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</si>
  <si>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</si>
  <si>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</si>
  <si>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</si>
  <si>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</si>
  <si>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</si>
  <si>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</si>
  <si>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</si>
  <si>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</si>
  <si>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</si>
  <si>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</si>
  <si>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</si>
  <si>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</si>
  <si>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</si>
  <si>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</si>
  <si>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</si>
  <si>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</si>
  <si>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</si>
  <si>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</si>
  <si>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</si>
  <si>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</si>
  <si>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</si>
  <si>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</si>
  <si>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</si>
  <si>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</si>
  <si>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</si>
  <si>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</si>
  <si>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</si>
  <si>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</si>
  <si>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</si>
  <si>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</si>
  <si>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</si>
  <si>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</si>
  <si>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</si>
  <si>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</si>
  <si>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</si>
  <si>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</si>
  <si>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</si>
  <si>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</si>
  <si>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</si>
  <si>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</si>
  <si>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</si>
  <si>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</si>
  <si>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</si>
  <si>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</si>
  <si>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</si>
  <si>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</si>
  <si>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</si>
  <si>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</si>
  <si>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</si>
  <si>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</si>
  <si>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</si>
  <si>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</si>
  <si>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</si>
  <si>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</si>
  <si>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</si>
  <si>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</si>
  <si>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</si>
  <si>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</si>
  <si>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</si>
  <si>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</si>
  <si>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</si>
  <si>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</si>
  <si>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</si>
  <si>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</si>
  <si>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</si>
  <si>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</si>
  <si>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</si>
  <si>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</si>
  <si>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</si>
  <si>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</si>
  <si>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</si>
  <si>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</si>
  <si>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</si>
  <si>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</si>
  <si>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</si>
  <si>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</si>
  <si>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</si>
  <si>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</si>
  <si>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</si>
  <si>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</si>
  <si>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</si>
  <si>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</si>
  <si>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</si>
  <si>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</si>
  <si>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</si>
  <si>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</si>
  <si>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</si>
  <si>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</si>
  <si>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</si>
  <si>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</si>
  <si>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</si>
  <si>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</si>
  <si>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</si>
  <si>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</si>
  <si>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</si>
  <si>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</si>
  <si>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</si>
  <si>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</si>
  <si>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</si>
  <si>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</si>
  <si>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</si>
  <si>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</si>
  <si>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</si>
  <si>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</si>
  <si>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</si>
  <si>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</si>
  <si>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</si>
  <si>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</si>
  <si>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</si>
  <si>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</si>
  <si>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</si>
  <si>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</si>
  <si>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</si>
  <si>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</si>
  <si>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</si>
  <si>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</si>
  <si>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</si>
  <si>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</si>
  <si>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</si>
  <si>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</si>
  <si>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</si>
  <si>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</si>
  <si>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</si>
  <si>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</si>
  <si>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</si>
  <si>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</si>
  <si>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</si>
  <si>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</si>
  <si>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</si>
  <si>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</si>
  <si>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</si>
  <si>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</si>
  <si>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</si>
  <si>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</si>
  <si>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</si>
  <si>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</si>
  <si>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</si>
  <si>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</si>
  <si>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</si>
  <si>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</si>
  <si>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</si>
  <si>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</si>
  <si>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</si>
  <si>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</si>
  <si>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</si>
  <si>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</si>
  <si>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</si>
  <si>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</si>
  <si>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</si>
  <si>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</si>
  <si>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</si>
  <si>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</si>
  <si>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</si>
  <si>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</si>
  <si>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</si>
  <si>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</si>
  <si>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</si>
  <si>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</si>
  <si>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</si>
  <si>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</si>
  <si>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</si>
  <si>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</si>
  <si>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</si>
  <si>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</si>
  <si>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</si>
  <si>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</si>
  <si>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</si>
  <si>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</si>
  <si>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</si>
  <si>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</si>
  <si>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</si>
  <si>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</si>
  <si>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</si>
  <si>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</si>
  <si>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</si>
  <si>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</si>
  <si>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</si>
  <si>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</si>
  <si>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</si>
  <si>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</si>
  <si>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</si>
  <si>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</si>
  <si>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</si>
  <si>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</si>
  <si>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</si>
  <si>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</si>
  <si>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</si>
  <si>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</si>
  <si>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</si>
  <si>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</si>
  <si>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</si>
  <si>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</si>
  <si>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</si>
  <si>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</si>
  <si>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</si>
  <si>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</si>
  <si>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</si>
  <si>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</si>
  <si>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</si>
  <si>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Frost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</si>
</sst>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1047</v>
      </c>
      <c r="B2">
        <f>INDEX('School Tables'!$AH$3:$AH$209,MATCH('DOE25'!A2,'School Tables'!$AJ$3:$AJ$209,0))</f>
        <v>189</v>
      </c>
      <c r="C2">
        <f>INDEX('School Tables'!$AI$3:$AI$209,MATCH('DOE25'!A2,'School Tables'!$AJ$3:$AJ$209,0))</f>
        <v>189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565110.59</v>
      </c>
      <c r="G9" s="18"/>
      <c r="H9" s="18"/>
      <c r="I9" s="18"/>
      <c r="J9" s="13">
        <f>SUM(I440)</f>
        <v>923811.68</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238.59</f>
        <v>238.59</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108.78</f>
        <v>108.78</v>
      </c>
      <c r="G13" s="18">
        <v>12517.56</v>
      </c>
      <c r="H13" s="18">
        <v>42596.84</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1270.42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7582.45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565457.96</v>
      </c>
      <c r="G19" s="38">
        <f>SUM(G9:G18)</f>
        <v>21370.43</v>
      </c>
      <c r="H19" s="38">
        <f>SUM(H9:H18)</f>
        <v>42596.84</v>
      </c>
      <c r="I19" s="38">
        <f>SUM(I9:I18)</f>
        <v>0</v>
      </c>
      <c r="J19" s="38">
        <f>SUM(J9:J18)</f>
        <v>923811.68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214955.91+448.95-93621.85-125733.97</f>
        <v>-3950.9599999999919</v>
      </c>
      <c r="G22" s="18">
        <f>-131024.23+91157.04</f>
        <v>-39867.19</v>
      </c>
      <c r="H22" s="18">
        <f>95985.41-53388.57</f>
        <v>42596.840000000004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93027.73-277.1</f>
        <v>92750.62999999999</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3783.34</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88799.67</v>
      </c>
      <c r="G32" s="38">
        <f>SUM(G22:G31)</f>
        <v>-36083.850000000006</v>
      </c>
      <c r="H32" s="38">
        <f>SUM(H22:H31)</f>
        <v>42596.840000000004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7582.45</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400</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v>49471.83</v>
      </c>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923811.68</v>
      </c>
      <c r="K48" s="23" t="s">
        <v>288</v>
      </c>
      <c r="L48" s="23" t="s">
        <v>288</v>
      </c>
      <c r="M48" s="8"/>
      <c r="N48" s="165"/>
    </row>
    <row r="49" spans="1:14" s="3" customFormat="1" ht="12.2" customHeight="1" x14ac:dyDescent="0.15">
      <c r="A49" s="1" t="s">
        <v>858</v>
      </c>
      <c r="B49" s="2" t="s">
        <v>289</v>
      </c>
      <c r="C49" s="6">
        <v>34</v>
      </c>
      <c r="D49" s="2"/>
      <c r="E49" s="6">
        <v>753</v>
      </c>
      <c r="F49" s="18">
        <v>89881.1</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336777.19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476658.29000000004</v>
      </c>
      <c r="G51" s="38">
        <f>SUM(G35:G50)</f>
        <v>57454.28</v>
      </c>
      <c r="H51" s="38">
        <f>SUM(H35:H50)</f>
        <v>0</v>
      </c>
      <c r="I51" s="38">
        <f>SUM(I35:I50)</f>
        <v>0</v>
      </c>
      <c r="J51" s="38">
        <f>SUM(J35:J50)</f>
        <v>923811.68</v>
      </c>
      <c r="K51" s="42" t="s">
        <v>288</v>
      </c>
      <c r="L51" s="42" t="s">
        <v>288</v>
      </c>
      <c r="N51" s="131"/>
    </row>
    <row r="52" spans="1:14" s="3" customFormat="1" ht="12.2" customHeight="1" thickTop="1" x14ac:dyDescent="0.15">
      <c r="A52" s="35" t="s">
        <v>455</v>
      </c>
      <c r="B52" s="36" t="s">
        <v>289</v>
      </c>
      <c r="C52" s="6">
        <v>37</v>
      </c>
      <c r="D52" s="36" t="s">
        <v>653</v>
      </c>
      <c r="E52" s="36"/>
      <c r="F52" s="38">
        <f>F51+F32</f>
        <v>565457.96000000008</v>
      </c>
      <c r="G52" s="38">
        <f>G51+G32</f>
        <v>21370.429999999993</v>
      </c>
      <c r="H52" s="38">
        <f>H51+H32</f>
        <v>42596.840000000004</v>
      </c>
      <c r="I52" s="38">
        <f>I51+I32</f>
        <v>0</v>
      </c>
      <c r="J52" s="38">
        <f>J51+J32</f>
        <v>923811.68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9230837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9230837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7329.96</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7329.96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31088.65</v>
      </c>
      <c r="G96" s="18"/>
      <c r="H96" s="18"/>
      <c r="I96" s="18"/>
      <c r="J96" s="18">
        <v>18273.63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118720.13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2272.5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2357.34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35718.490000000005</v>
      </c>
      <c r="G111" s="38">
        <f>SUM(G96:G110)</f>
        <v>118720.13</v>
      </c>
      <c r="H111" s="38">
        <f>SUM(H96:H110)</f>
        <v>0</v>
      </c>
      <c r="I111" s="38">
        <f>SUM(I96:I110)</f>
        <v>0</v>
      </c>
      <c r="J111" s="38">
        <f>SUM(J96:J110)</f>
        <v>18273.63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9273885.4500000011</v>
      </c>
      <c r="G112" s="38">
        <f>G60+G111</f>
        <v>118720.13</v>
      </c>
      <c r="H112" s="38">
        <f>H60+H79+H94+H111</f>
        <v>0</v>
      </c>
      <c r="I112" s="38">
        <f>I60+I111</f>
        <v>0</v>
      </c>
      <c r="J112" s="38">
        <f>J60+J111</f>
        <v>18273.63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1719154.9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710509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39619.29+6111.33</f>
        <v>45730.62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2475394.52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92061.24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2050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2758.1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3925</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92061.24</v>
      </c>
      <c r="G136" s="38">
        <f>SUM(G123:G135)</f>
        <v>2758.1</v>
      </c>
      <c r="H136" s="38">
        <f>SUM(H123:H135)</f>
        <v>5975</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2567455.7600000002</v>
      </c>
      <c r="G140" s="38">
        <f>G121+SUM(G136:G137)</f>
        <v>2758.1</v>
      </c>
      <c r="H140" s="38">
        <f>H121+SUM(H136:H139)</f>
        <v>5975</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f>2037.93+6960</f>
        <v>8997.93</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29384.17+47885.76</f>
        <v>77269.929999999993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324+12561.93+2489.95+10393.32+14415</f>
        <v>40184.199999999997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10107.65+55729.35+5440.69</f>
        <v>71277.69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18636.37+103645.27+3934.5+32.04+3788.81</f>
        <v>130036.98999999999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19825</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8279</f>
        <v>8279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10243.65+411.94+198418.23</f>
        <v>209073.82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19825</v>
      </c>
      <c r="G163" s="38">
        <f>SUM(G150:G162)</f>
        <v>71277.69</v>
      </c>
      <c r="H163" s="38">
        <f>SUM(H150:H162)</f>
        <v>473841.87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19825</v>
      </c>
      <c r="G170" s="38">
        <f>G147+G163+SUM(G164:G169)</f>
        <v>71277.69</v>
      </c>
      <c r="H170" s="38">
        <f>H147+H163+SUM(H164:H169)</f>
        <v>473841.87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11861166.210000001</v>
      </c>
      <c r="G194" s="38">
        <f>G112+G140+G170+G193</f>
        <v>192755.92</v>
      </c>
      <c r="H194" s="38">
        <f>H112+H140+H170+H193</f>
        <v>479816.87</v>
      </c>
      <c r="I194" s="38">
        <f>I112+I140+I170+I193</f>
        <v>0</v>
      </c>
      <c r="J194" s="38">
        <f>J112+J140+J193</f>
        <v>268273.63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1809356.6</f>
        <v>1809356.6</v>
      </c>
      <c r="G198" s="18">
        <f>985422.91</f>
        <v>985422.91</v>
      </c>
      <c r="H198" s="18">
        <f>6213.11</f>
        <v>6213.11</v>
      </c>
      <c r="I198" s="18">
        <f>71119.46</f>
        <v>71119.460000000006</v>
      </c>
      <c r="J198" s="18">
        <v>33342.410000000003</v>
      </c>
      <c r="K198" s="18"/>
      <c r="L198" s="13">
        <f>SUM(F198:K198)</f>
        <v>2905454.49</v>
      </c>
      <c r="M198" s="8"/>
      <c r="N198" s="165"/>
    </row>
    <row r="199" spans="1:14" s="3" customFormat="1" ht="12.2" customHeight="1" x14ac:dyDescent="0.15">
      <c r="A199" s="1" t="s">
        <v>439</v>
      </c>
      <c r="B199" s="2" t="s">
        <v>341</v>
      </c>
      <c r="C199" s="2" t="s">
        <v>291</v>
      </c>
      <c r="D199" s="2" t="s">
        <v>431</v>
      </c>
      <c r="E199" s="6">
        <v>1200</v>
      </c>
      <c r="F199" s="18">
        <f>616107.18</f>
        <v>616107.18000000005</v>
      </c>
      <c r="G199" s="18">
        <v>245035.87</v>
      </c>
      <c r="H199" s="18">
        <f>440129.76</f>
        <v>440129.76</v>
      </c>
      <c r="I199" s="18">
        <v>4346.45</v>
      </c>
      <c r="J199" s="18"/>
      <c r="K199" s="18">
        <v>1083.6500000000001</v>
      </c>
      <c r="L199" s="13">
        <f>SUM(F199:K199)</f>
        <v>1306702.9099999999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36505</f>
        <v>36505</v>
      </c>
      <c r="G201" s="18">
        <f>7940.16</f>
        <v>7940.16</v>
      </c>
      <c r="H201" s="18">
        <f>3035</f>
        <v>3035</v>
      </c>
      <c r="I201" s="18">
        <v>7070.59</v>
      </c>
      <c r="J201" s="18">
        <v>12575.36</v>
      </c>
      <c r="K201" s="18">
        <v>332</v>
      </c>
      <c r="L201" s="13">
        <f>SUM(F201:K201)</f>
        <v>67458.11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464432.93</f>
        <v>464432.93</v>
      </c>
      <c r="G203" s="18">
        <v>201284.3</v>
      </c>
      <c r="H203" s="18">
        <f>600+143.38+61468.51+2320+2910.55+93.45+6468</f>
        <v>74003.89</v>
      </c>
      <c r="I203" s="18">
        <f>1080.15+3518.94+765+496.59+77.86+1689.61</f>
        <v>7628.15</v>
      </c>
      <c r="J203" s="18">
        <f>1478.85+205.16+2507.96</f>
        <v>4191.97</v>
      </c>
      <c r="K203" s="18">
        <f>100+45</f>
        <v>145</v>
      </c>
      <c r="L203" s="13">
        <f t="shared" ref="L203:L209" si="0">SUM(F203:K203)</f>
        <v>751686.24</v>
      </c>
      <c r="M203" s="8"/>
      <c r="N203" s="165"/>
    </row>
    <row r="204" spans="1:14" s="3" customFormat="1" ht="12.2" customHeight="1" x14ac:dyDescent="0.15">
      <c r="A204" s="1" t="s">
        <v>443</v>
      </c>
      <c r="B204" s="2" t="s">
        <v>341</v>
      </c>
      <c r="C204" s="2" t="s">
        <v>295</v>
      </c>
      <c r="D204" s="2" t="s">
        <v>431</v>
      </c>
      <c r="E204" s="6">
        <v>2200</v>
      </c>
      <c r="F204" s="18">
        <f>81803.25</f>
        <v>81803.25</v>
      </c>
      <c r="G204" s="18">
        <f>44029.39</f>
        <v>44029.39</v>
      </c>
      <c r="H204" s="18">
        <f>1002.17+6958.21</f>
        <v>7960.38</v>
      </c>
      <c r="I204" s="18">
        <f>250+4604.12+11142.66</f>
        <v>15996.779999999999</v>
      </c>
      <c r="J204" s="18">
        <f>1248+5538.46</f>
        <v>6786.46</v>
      </c>
      <c r="K204" s="18">
        <f>27662.3</f>
        <v>27662.3</v>
      </c>
      <c r="L204" s="13">
        <f t="shared" si="0"/>
        <v>184238.55999999997</v>
      </c>
      <c r="M204" s="8"/>
      <c r="N204" s="165"/>
    </row>
    <row r="205" spans="1:14" s="3" customFormat="1" ht="12.2" customHeight="1" x14ac:dyDescent="0.15">
      <c r="A205" s="1" t="s">
        <v>444</v>
      </c>
      <c r="B205" s="2" t="s">
        <v>341</v>
      </c>
      <c r="C205" s="2" t="s">
        <v>296</v>
      </c>
      <c r="D205" s="2" t="s">
        <v>431</v>
      </c>
      <c r="E205" s="6">
        <v>2300</v>
      </c>
      <c r="F205" s="18">
        <f>440751.83</f>
        <v>440751.83</v>
      </c>
      <c r="G205" s="18">
        <v>151743.74</v>
      </c>
      <c r="H205" s="18">
        <f>34338.2+67967.57+777.01</f>
        <v>103082.78</v>
      </c>
      <c r="I205" s="18">
        <f>3222.8</f>
        <v>3222.8</v>
      </c>
      <c r="J205" s="18">
        <f>1423.75</f>
        <v>1423.75</v>
      </c>
      <c r="K205" s="18">
        <f>8673.14+5301.25+2797.35</f>
        <v>16771.739999999998</v>
      </c>
      <c r="L205" s="13">
        <f t="shared" si="0"/>
        <v>716996.64000000013</v>
      </c>
      <c r="M205" s="8"/>
      <c r="N205" s="165"/>
    </row>
    <row r="206" spans="1:14" s="3" customFormat="1" ht="12.2" customHeight="1" x14ac:dyDescent="0.15">
      <c r="A206" s="1" t="s">
        <v>445</v>
      </c>
      <c r="B206" s="2" t="s">
        <v>341</v>
      </c>
      <c r="C206" s="2" t="s">
        <v>297</v>
      </c>
      <c r="D206" s="2" t="s">
        <v>431</v>
      </c>
      <c r="E206" s="6">
        <v>2400</v>
      </c>
      <c r="F206" s="18">
        <f>234553.75</f>
        <v>234553.75</v>
      </c>
      <c r="G206" s="18">
        <v>141145.24</v>
      </c>
      <c r="H206" s="18">
        <f>55108.91</f>
        <v>55108.91</v>
      </c>
      <c r="I206" s="18">
        <f>12584.87</f>
        <v>12584.87</v>
      </c>
      <c r="J206" s="18">
        <v>900.98</v>
      </c>
      <c r="K206" s="18">
        <v>3563.18</v>
      </c>
      <c r="L206" s="13">
        <f t="shared" si="0"/>
        <v>447856.93</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178633.07</v>
      </c>
      <c r="G208" s="18">
        <v>42203.96</v>
      </c>
      <c r="H208" s="18">
        <f>113711.62</f>
        <v>113711.62</v>
      </c>
      <c r="I208" s="18">
        <v>80206.7</v>
      </c>
      <c r="J208" s="18">
        <v>5077.96</v>
      </c>
      <c r="K208" s="18">
        <v>34034.28</v>
      </c>
      <c r="L208" s="13">
        <f t="shared" si="0"/>
        <v>453867.59000000008</v>
      </c>
      <c r="M208" s="8"/>
      <c r="N208" s="165"/>
    </row>
    <row r="209" spans="1:14" s="3" customFormat="1" ht="12.2" customHeight="1" x14ac:dyDescent="0.15">
      <c r="A209" s="1" t="s">
        <v>448</v>
      </c>
      <c r="B209" s="2" t="s">
        <v>341</v>
      </c>
      <c r="C209" s="2" t="s">
        <v>300</v>
      </c>
      <c r="D209" s="2" t="s">
        <v>431</v>
      </c>
      <c r="E209" s="6">
        <v>2700</v>
      </c>
      <c r="F209" s="18"/>
      <c r="G209" s="18"/>
      <c r="H209" s="18">
        <f>356944.67+119456.3+6554.38+5860.06+11193.65</f>
        <v>500009.06</v>
      </c>
      <c r="I209" s="18"/>
      <c r="J209" s="18"/>
      <c r="K209" s="18"/>
      <c r="L209" s="13">
        <f t="shared" si="0"/>
        <v>500009.06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3862143.6100000003</v>
      </c>
      <c r="G212" s="38">
        <f t="shared" si="1"/>
        <v>1818805.5699999998</v>
      </c>
      <c r="H212" s="38">
        <f t="shared" si="1"/>
        <v>1303254.51</v>
      </c>
      <c r="I212" s="38">
        <f t="shared" si="1"/>
        <v>202175.8</v>
      </c>
      <c r="J212" s="38">
        <f t="shared" si="1"/>
        <v>64298.890000000007</v>
      </c>
      <c r="K212" s="38">
        <f t="shared" si="1"/>
        <v>83592.149999999994</v>
      </c>
      <c r="L212" s="38">
        <f t="shared" si="1"/>
        <v>7334270.5300000003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3160537.5+56952</f>
        <v>3217489.5</v>
      </c>
      <c r="I234" s="18"/>
      <c r="J234" s="18"/>
      <c r="K234" s="18"/>
      <c r="L234" s="13">
        <f>SUM(F234:K234)</f>
        <v>3217489.5</v>
      </c>
      <c r="M234" s="8"/>
      <c r="N234" s="165"/>
    </row>
    <row r="235" spans="1:14" s="3" customFormat="1" ht="12.2" customHeight="1" x14ac:dyDescent="0.15">
      <c r="A235" s="1" t="s">
        <v>439</v>
      </c>
      <c r="B235" s="2" t="s">
        <v>350</v>
      </c>
      <c r="C235" s="2" t="s">
        <v>291</v>
      </c>
      <c r="D235" s="2" t="s">
        <v>431</v>
      </c>
      <c r="E235" s="6">
        <v>1200</v>
      </c>
      <c r="F235" s="18"/>
      <c r="G235" s="18"/>
      <c r="H235" s="18">
        <f>15987.5+298333.36+439163.92</f>
        <v>753484.78</v>
      </c>
      <c r="I235" s="18"/>
      <c r="J235" s="18"/>
      <c r="K235" s="18"/>
      <c r="L235" s="13">
        <f>SUM(F235:K235)</f>
        <v>753484.78</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119310.28+136820</f>
        <v>256130.28</v>
      </c>
      <c r="I245" s="18"/>
      <c r="J245" s="18"/>
      <c r="K245" s="18"/>
      <c r="L245" s="13">
        <f t="shared" si="4"/>
        <v>256130.28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4227104.5600000005</v>
      </c>
      <c r="I248" s="38">
        <f t="shared" si="5"/>
        <v>0</v>
      </c>
      <c r="J248" s="38">
        <f t="shared" si="5"/>
        <v>0</v>
      </c>
      <c r="K248" s="38">
        <f t="shared" si="5"/>
        <v>0</v>
      </c>
      <c r="L248" s="38">
        <f t="shared" si="5"/>
        <v>4227104.5600000005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3862143.6100000003</v>
      </c>
      <c r="G258" s="38">
        <f t="shared" si="8"/>
        <v>1818805.5699999998</v>
      </c>
      <c r="H258" s="38">
        <f t="shared" si="8"/>
        <v>5530359.0700000003</v>
      </c>
      <c r="I258" s="38">
        <f t="shared" si="8"/>
        <v>202175.8</v>
      </c>
      <c r="J258" s="38">
        <f t="shared" si="8"/>
        <v>64298.890000000007</v>
      </c>
      <c r="K258" s="38">
        <f t="shared" si="8"/>
        <v>83592.149999999994</v>
      </c>
      <c r="L258" s="38">
        <f t="shared" si="8"/>
        <v>11561375.09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250000</v>
      </c>
      <c r="L267" s="13">
        <f t="shared" si="9"/>
        <v>250000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250000</v>
      </c>
      <c r="L271" s="38">
        <f t="shared" si="9"/>
        <v>250000</v>
      </c>
      <c r="M271" s="8"/>
      <c r="N271" s="165"/>
    </row>
    <row r="272" spans="1:14" s="33" customFormat="1" ht="12.2" customHeight="1" thickTop="1" x14ac:dyDescent="0.2">
      <c r="A272" s="40" t="s">
        <v>464</v>
      </c>
      <c r="B272" s="37">
        <v>10</v>
      </c>
      <c r="C272" s="37">
        <v>18</v>
      </c>
      <c r="D272" s="36" t="s">
        <v>431</v>
      </c>
      <c r="E272" s="37"/>
      <c r="F272" s="39">
        <f t="shared" ref="F272:L272" si="11">F258+F271</f>
        <v>3862143.6100000003</v>
      </c>
      <c r="G272" s="39">
        <f t="shared" si="11"/>
        <v>1818805.5699999998</v>
      </c>
      <c r="H272" s="39">
        <f t="shared" si="11"/>
        <v>5530359.0700000003</v>
      </c>
      <c r="I272" s="39">
        <f t="shared" si="11"/>
        <v>202175.8</v>
      </c>
      <c r="J272" s="39">
        <f t="shared" si="11"/>
        <v>64298.890000000007</v>
      </c>
      <c r="K272" s="39">
        <f t="shared" si="11"/>
        <v>333592.15000000002</v>
      </c>
      <c r="L272" s="39">
        <f t="shared" si="11"/>
        <v>11811375.09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6507.81+39046.92</f>
        <v>45554.729999999996</v>
      </c>
      <c r="G277" s="18">
        <f>5402.16+417.76+36.84+469.71+2818.27</f>
        <v>9144.74</v>
      </c>
      <c r="H277" s="18">
        <v>10393.32</v>
      </c>
      <c r="I277" s="18">
        <f>149.85+32.04+6960</f>
        <v>7141.89</v>
      </c>
      <c r="J277" s="18">
        <f>994.65+10861.51+19800</f>
        <v>31656.16</v>
      </c>
      <c r="K277" s="18"/>
      <c r="L277" s="13">
        <f>SUM(F277:K277)</f>
        <v>103890.84</v>
      </c>
      <c r="M277" s="8"/>
      <c r="N277" s="165"/>
    </row>
    <row r="278" spans="1:14" s="3" customFormat="1" ht="12.2" customHeight="1" x14ac:dyDescent="0.15">
      <c r="A278" s="1" t="s">
        <v>439</v>
      </c>
      <c r="B278" s="2" t="s">
        <v>357</v>
      </c>
      <c r="C278" s="2" t="s">
        <v>291</v>
      </c>
      <c r="D278" s="2" t="s">
        <v>431</v>
      </c>
      <c r="E278" s="6">
        <v>1200</v>
      </c>
      <c r="F278" s="18">
        <f>11999.93+3655.31</f>
        <v>15655.24</v>
      </c>
      <c r="G278" s="18">
        <f>918+279.19</f>
        <v>1197.19</v>
      </c>
      <c r="H278" s="18">
        <f>76439.02+2127.79+20000+700+297+1240+806.25</f>
        <v>101610.06</v>
      </c>
      <c r="I278" s="18">
        <v>9206.9</v>
      </c>
      <c r="J278" s="18">
        <f>1533+802.56</f>
        <v>2335.56</v>
      </c>
      <c r="K278" s="18"/>
      <c r="L278" s="13">
        <f>SUM(F278:K278)</f>
        <v>130004.94999999998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13937.5+16898.41</f>
        <v>30835.91</v>
      </c>
      <c r="G280" s="18">
        <f>1066.19+1270.59+284.21+2551.31+1198.17</f>
        <v>6370.4699999999993</v>
      </c>
      <c r="H280" s="18">
        <f>5600</f>
        <v>5600</v>
      </c>
      <c r="I280" s="18">
        <f>2050+411.94+143.84+45.25+163.81</f>
        <v>2814.84</v>
      </c>
      <c r="J280" s="18"/>
      <c r="K280" s="18"/>
      <c r="L280" s="13">
        <f>SUM(F280:K280)</f>
        <v>45621.22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24503.4</v>
      </c>
      <c r="G282" s="18">
        <f>11049.72+212.74+1624.22+5150.59</f>
        <v>18037.269999999997</v>
      </c>
      <c r="H282" s="18"/>
      <c r="I282" s="18"/>
      <c r="J282" s="18"/>
      <c r="K282" s="18"/>
      <c r="L282" s="13">
        <f t="shared" ref="L282:L288" si="12">SUM(F282:K282)</f>
        <v>42540.67</v>
      </c>
      <c r="M282" s="8"/>
      <c r="N282" s="165"/>
    </row>
    <row r="283" spans="1:14" s="3" customFormat="1" ht="12.2" customHeight="1" x14ac:dyDescent="0.15">
      <c r="A283" s="1" t="s">
        <v>443</v>
      </c>
      <c r="B283" s="2" t="s">
        <v>357</v>
      </c>
      <c r="C283" s="2" t="s">
        <v>295</v>
      </c>
      <c r="D283" s="2" t="s">
        <v>431</v>
      </c>
      <c r="E283" s="6">
        <v>2200</v>
      </c>
      <c r="F283" s="18">
        <f>3995+800</f>
        <v>4795</v>
      </c>
      <c r="G283" s="18">
        <f>58.57+168.16</f>
        <v>226.73</v>
      </c>
      <c r="H283" s="18">
        <f>2037.93+375+2345+1200+250+11200+6500+6140</f>
        <v>30047.93</v>
      </c>
      <c r="I283" s="18">
        <f>324+85.2</f>
        <v>409.2</v>
      </c>
      <c r="J283" s="18">
        <v>2489.9499999999998</v>
      </c>
      <c r="K283" s="18"/>
      <c r="L283" s="13">
        <f t="shared" si="12"/>
        <v>37968.81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f>8279+3925+33390</f>
        <v>45594</v>
      </c>
      <c r="J287" s="18">
        <f>1804.42+9249+10657</f>
        <v>21710.42</v>
      </c>
      <c r="K287" s="18"/>
      <c r="L287" s="13">
        <f t="shared" si="12"/>
        <v>67304.42</v>
      </c>
      <c r="M287" s="8"/>
      <c r="N287" s="165"/>
    </row>
    <row r="288" spans="1:14" s="3" customFormat="1" ht="12.2" customHeight="1" x14ac:dyDescent="0.15">
      <c r="A288" s="1" t="s">
        <v>448</v>
      </c>
      <c r="B288" s="2" t="s">
        <v>357</v>
      </c>
      <c r="C288" s="2" t="s">
        <v>300</v>
      </c>
      <c r="D288" s="2" t="s">
        <v>431</v>
      </c>
      <c r="E288" s="6">
        <v>2700</v>
      </c>
      <c r="F288" s="18"/>
      <c r="G288" s="18"/>
      <c r="H288" s="18">
        <v>4557.96</v>
      </c>
      <c r="I288" s="18"/>
      <c r="J288" s="18"/>
      <c r="K288" s="18"/>
      <c r="L288" s="13">
        <f t="shared" si="12"/>
        <v>4557.96</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121344.28</v>
      </c>
      <c r="G291" s="39">
        <f t="shared" si="13"/>
        <v>34976.400000000001</v>
      </c>
      <c r="H291" s="39">
        <f t="shared" si="13"/>
        <v>152209.26999999999</v>
      </c>
      <c r="I291" s="39">
        <f t="shared" si="13"/>
        <v>65166.83</v>
      </c>
      <c r="J291" s="39">
        <f t="shared" si="13"/>
        <v>58192.09</v>
      </c>
      <c r="K291" s="39">
        <f t="shared" si="13"/>
        <v>0</v>
      </c>
      <c r="L291" s="38">
        <f t="shared" si="13"/>
        <v>431888.87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f>47928</f>
        <v>47928</v>
      </c>
      <c r="K337" s="18"/>
      <c r="L337" s="13">
        <f t="shared" si="18"/>
        <v>47928</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47928</v>
      </c>
      <c r="K338" s="38">
        <f t="shared" si="19"/>
        <v>0</v>
      </c>
      <c r="L338" s="38">
        <f t="shared" si="18"/>
        <v>47928</v>
      </c>
      <c r="M338" s="8"/>
      <c r="N338" s="165"/>
    </row>
    <row r="339" spans="1:43" s="3" customFormat="1" ht="12.2" customHeight="1" thickTop="1" x14ac:dyDescent="0.15">
      <c r="A339" s="35" t="s">
        <v>468</v>
      </c>
      <c r="B339" s="37">
        <v>14</v>
      </c>
      <c r="C339" s="37">
        <v>7</v>
      </c>
      <c r="D339" s="36" t="s">
        <v>431</v>
      </c>
      <c r="E339" s="37"/>
      <c r="F339" s="38">
        <f t="shared" ref="F339:L339" si="20">F291+F310+F329+F338</f>
        <v>121344.28</v>
      </c>
      <c r="G339" s="38">
        <f t="shared" si="20"/>
        <v>34976.400000000001</v>
      </c>
      <c r="H339" s="38">
        <f t="shared" si="20"/>
        <v>152209.26999999999</v>
      </c>
      <c r="I339" s="38">
        <f t="shared" si="20"/>
        <v>65166.83</v>
      </c>
      <c r="J339" s="38">
        <f t="shared" si="20"/>
        <v>106120.09</v>
      </c>
      <c r="K339" s="38">
        <f t="shared" si="20"/>
        <v>0</v>
      </c>
      <c r="L339" s="38">
        <f t="shared" si="20"/>
        <v>479816.87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121344.28</v>
      </c>
      <c r="G353" s="38">
        <f>G339</f>
        <v>34976.400000000001</v>
      </c>
      <c r="H353" s="38">
        <f>H339</f>
        <v>152209.26999999999</v>
      </c>
      <c r="I353" s="38">
        <f>I339</f>
        <v>65166.83</v>
      </c>
      <c r="J353" s="38">
        <f>J339</f>
        <v>106120.09</v>
      </c>
      <c r="K353" s="38">
        <f>K339+K352</f>
        <v>0</v>
      </c>
      <c r="L353" s="38">
        <f>L339+L352</f>
        <v>479816.87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178386.45+150</f>
        <v>178536.45</v>
      </c>
      <c r="I359" s="18">
        <f>3766.75</f>
        <v>3766.75</v>
      </c>
      <c r="J359" s="18">
        <f>10107.65+6233.89</f>
        <v>16341.54</v>
      </c>
      <c r="K359" s="18">
        <v>3491.35</v>
      </c>
      <c r="L359" s="13">
        <f>SUM(F359:K359)</f>
        <v>202136.09000000003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178536.45</v>
      </c>
      <c r="I363" s="38">
        <f t="shared" si="22"/>
        <v>3766.75</v>
      </c>
      <c r="J363" s="38">
        <f t="shared" si="22"/>
        <v>16341.54</v>
      </c>
      <c r="K363" s="38">
        <f t="shared" si="22"/>
        <v>3491.35</v>
      </c>
      <c r="L363" s="38">
        <f t="shared" si="22"/>
        <v>202136.09000000003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3766.75</v>
      </c>
      <c r="G368" s="18"/>
      <c r="H368" s="18"/>
      <c r="I368" s="13">
        <f>SUM(F368:H368)</f>
        <v>3766.75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3766.75</v>
      </c>
      <c r="G370" s="38">
        <f>SUM(G368:G369)</f>
        <v>0</v>
      </c>
      <c r="H370" s="38">
        <f>SUM(H368:H369)</f>
        <v>0</v>
      </c>
      <c r="I370" s="38">
        <f>SUM(I368:I369)</f>
        <v>3766.75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100000</v>
      </c>
      <c r="H397" s="18">
        <v>3973.49</v>
      </c>
      <c r="I397" s="18"/>
      <c r="J397" s="23" t="s">
        <v>288</v>
      </c>
      <c r="K397" s="23" t="s">
        <v>288</v>
      </c>
      <c r="L397" s="13">
        <f t="shared" si="26"/>
        <v>103973.49</v>
      </c>
      <c r="M397" s="8"/>
      <c r="N397" s="165"/>
    </row>
    <row r="398" spans="1:14" s="3" customFormat="1" ht="12.2" customHeight="1" x14ac:dyDescent="0.15">
      <c r="A398" s="62" t="s">
        <v>515</v>
      </c>
      <c r="B398" s="2" t="s">
        <v>381</v>
      </c>
      <c r="C398" s="6">
        <v>10</v>
      </c>
      <c r="D398" s="2" t="s">
        <v>432</v>
      </c>
      <c r="E398" s="6"/>
      <c r="F398" s="18"/>
      <c r="G398" s="18">
        <v>100000</v>
      </c>
      <c r="H398" s="18">
        <v>6054.18</v>
      </c>
      <c r="I398" s="18"/>
      <c r="J398" s="23" t="s">
        <v>288</v>
      </c>
      <c r="K398" s="23" t="s">
        <v>288</v>
      </c>
      <c r="L398" s="13">
        <f t="shared" si="26"/>
        <v>106054.18</v>
      </c>
      <c r="M398" s="8"/>
      <c r="N398" s="165"/>
    </row>
    <row r="399" spans="1:14" s="3" customFormat="1" ht="12.2" customHeight="1" x14ac:dyDescent="0.15">
      <c r="A399" s="62" t="s">
        <v>558</v>
      </c>
      <c r="B399" s="2" t="s">
        <v>381</v>
      </c>
      <c r="C399" s="6">
        <v>11</v>
      </c>
      <c r="D399" s="2" t="s">
        <v>432</v>
      </c>
      <c r="E399" s="6"/>
      <c r="F399" s="18"/>
      <c r="G399" s="18"/>
      <c r="H399" s="18">
        <v>6587.14</v>
      </c>
      <c r="I399" s="18"/>
      <c r="J399" s="23" t="s">
        <v>288</v>
      </c>
      <c r="K399" s="23" t="s">
        <v>288</v>
      </c>
      <c r="L399" s="13">
        <f t="shared" si="26"/>
        <v>6587.14</v>
      </c>
      <c r="M399" s="8"/>
      <c r="N399" s="165"/>
    </row>
    <row r="400" spans="1:14" s="3" customFormat="1" ht="12.2" customHeight="1" x14ac:dyDescent="0.15">
      <c r="A400" s="62" t="s">
        <v>559</v>
      </c>
      <c r="B400" s="2" t="s">
        <v>381</v>
      </c>
      <c r="C400" s="6">
        <v>12</v>
      </c>
      <c r="D400" s="2" t="s">
        <v>432</v>
      </c>
      <c r="E400" s="6"/>
      <c r="F400" s="18"/>
      <c r="G400" s="18">
        <v>50000</v>
      </c>
      <c r="H400" s="18">
        <v>1429.32</v>
      </c>
      <c r="I400" s="18"/>
      <c r="J400" s="23" t="s">
        <v>288</v>
      </c>
      <c r="K400" s="23" t="s">
        <v>288</v>
      </c>
      <c r="L400" s="13">
        <f t="shared" si="26"/>
        <v>51429.32</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250000</v>
      </c>
      <c r="H402" s="38">
        <f>SUM(H396:H401)</f>
        <v>18044.13</v>
      </c>
      <c r="I402" s="38">
        <f>SUM(I396:I401)</f>
        <v>0</v>
      </c>
      <c r="J402" s="42" t="s">
        <v>288</v>
      </c>
      <c r="K402" s="42" t="s">
        <v>288</v>
      </c>
      <c r="L402" s="38">
        <f>SUM(L396:L401)</f>
        <v>268044.13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t="s">
        <v>1812</v>
      </c>
      <c r="B405" s="2" t="s">
        <v>381</v>
      </c>
      <c r="C405" s="6">
        <v>16</v>
      </c>
      <c r="D405" s="2" t="s">
        <v>432</v>
      </c>
      <c r="E405" s="6"/>
      <c r="F405" s="18"/>
      <c r="G405" s="18"/>
      <c r="H405" s="18">
        <v>229.5</v>
      </c>
      <c r="I405" s="18"/>
      <c r="J405" s="23" t="s">
        <v>288</v>
      </c>
      <c r="K405" s="23" t="s">
        <v>288</v>
      </c>
      <c r="L405" s="13">
        <f>SUM(F405:K405)</f>
        <v>229.5</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229.5</v>
      </c>
      <c r="I408" s="38">
        <f>SUM(I404:I407)</f>
        <v>0</v>
      </c>
      <c r="J408" s="45" t="s">
        <v>288</v>
      </c>
      <c r="K408" s="45" t="s">
        <v>288</v>
      </c>
      <c r="L408" s="38">
        <f>SUM(L404:L407)</f>
        <v>229.5</v>
      </c>
      <c r="M408" s="8"/>
      <c r="N408" s="165"/>
    </row>
    <row r="409" spans="1:21" s="3" customFormat="1" ht="12.2" customHeight="1" thickTop="1" x14ac:dyDescent="0.15">
      <c r="A409" s="61" t="s">
        <v>421</v>
      </c>
      <c r="B409" s="2" t="s">
        <v>381</v>
      </c>
      <c r="C409" s="6">
        <v>20</v>
      </c>
      <c r="D409" s="6"/>
      <c r="E409" s="37"/>
      <c r="F409" s="38">
        <f>F394+F402+F408</f>
        <v>0</v>
      </c>
      <c r="G409" s="38">
        <f>G394+G402+G408</f>
        <v>250000</v>
      </c>
      <c r="H409" s="38">
        <f>H394+H402+H408</f>
        <v>18273.63</v>
      </c>
      <c r="I409" s="38">
        <f>I394+I402+I408</f>
        <v>0</v>
      </c>
      <c r="J409" s="23" t="s">
        <v>288</v>
      </c>
      <c r="K409" s="23" t="s">
        <v>288</v>
      </c>
      <c r="L409" s="38">
        <f>L394+L402+L408</f>
        <v>268273.63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912743.05</v>
      </c>
      <c r="H440" s="18">
        <v>11068.63</v>
      </c>
      <c r="I440" s="13">
        <f t="shared" ref="I440:I446" si="33">SUM(F440:H440)</f>
        <v>923811.68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912743.05</v>
      </c>
      <c r="H447" s="13">
        <f>SUM(H440:H446)</f>
        <v>11068.63</v>
      </c>
      <c r="I447" s="13">
        <f>SUM(I440:I446)</f>
        <v>923811.68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912743.05</v>
      </c>
      <c r="H460" s="18">
        <v>11068.63</v>
      </c>
      <c r="I460" s="13">
        <f t="shared" si="34"/>
        <v>923811.68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912743.05</v>
      </c>
      <c r="H461" s="65">
        <f>SUM(H455:H460)</f>
        <v>11068.63</v>
      </c>
      <c r="I461" s="65">
        <f>SUM(I455:I460)</f>
        <v>923811.68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912743.05</v>
      </c>
      <c r="H462" s="39">
        <f>H453+H461</f>
        <v>11068.63</v>
      </c>
      <c r="I462" s="39">
        <f>I453+I461</f>
        <v>923811.68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426867.17</v>
      </c>
      <c r="G466" s="18">
        <v>66834.45</v>
      </c>
      <c r="H466" s="18">
        <v>0</v>
      </c>
      <c r="I466" s="18"/>
      <c r="J466" s="18">
        <v>655538.05000000005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11861166.21</f>
        <v>11861166.210000001</v>
      </c>
      <c r="G469" s="18">
        <f>182648.27+10107.65</f>
        <v>192755.91999999998</v>
      </c>
      <c r="H469" s="18">
        <f>489924.52-10107.65</f>
        <v>479816.87</v>
      </c>
      <c r="I469" s="18"/>
      <c r="J469" s="18">
        <f>250000+18273.63</f>
        <v>268273.63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11861166.210000001</v>
      </c>
      <c r="G471" s="19">
        <f>SUM(G469:G470)</f>
        <v>192755.91999999998</v>
      </c>
      <c r="H471" s="19">
        <f>SUM(H469:H470)</f>
        <v>479816.87</v>
      </c>
      <c r="I471" s="19">
        <f>SUM(I469:I470)</f>
        <v>0</v>
      </c>
      <c r="J471" s="19">
        <f>SUM(J469:J470)</f>
        <v>268273.63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11811375.09</v>
      </c>
      <c r="G473" s="18">
        <f>192028.44+10107.65</f>
        <v>202136.09</v>
      </c>
      <c r="H473" s="18">
        <f>489924.52-10107.65</f>
        <v>479816.87</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11811375.09</v>
      </c>
      <c r="G475" s="19">
        <f>SUM(G473:G474)</f>
        <v>202136.09</v>
      </c>
      <c r="H475" s="19">
        <f>SUM(H473:H474)</f>
        <v>479816.87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476658.29000000097</v>
      </c>
      <c r="G477" s="19">
        <f>(G466+G471)- G475</f>
        <v>57454.28</v>
      </c>
      <c r="H477" s="19">
        <f>(H466+H471)- H475</f>
        <v>0</v>
      </c>
      <c r="I477" s="19">
        <f>(I466+I471)- I475</f>
        <v>0</v>
      </c>
      <c r="J477" s="19">
        <f>(J466+J471)- J475</f>
        <v>923811.68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15655.24+616107.18</f>
        <v>631762.42000000004</v>
      </c>
      <c r="G522" s="18">
        <f>1197.19+245035.87</f>
        <v>246233.06</v>
      </c>
      <c r="H522" s="18">
        <f>101610.06+440129.76</f>
        <v>541739.82000000007</v>
      </c>
      <c r="I522" s="18">
        <f>9206.9+4346.45</f>
        <v>13553.349999999999</v>
      </c>
      <c r="J522" s="18">
        <f>2335.56</f>
        <v>2335.56</v>
      </c>
      <c r="K522" s="18">
        <f>1083.65</f>
        <v>1083.6500000000001</v>
      </c>
      <c r="L522" s="69">
        <f>SUM(F522:K522)</f>
        <v>1436707.86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753484.78</v>
      </c>
      <c r="I524" s="18"/>
      <c r="J524" s="18"/>
      <c r="K524" s="18"/>
      <c r="L524" s="69">
        <f>SUM(F524:K524)</f>
        <v>753484.78</v>
      </c>
      <c r="N524" s="131"/>
    </row>
    <row r="525" spans="1:14" ht="12.2" customHeight="1" thickTop="1" x14ac:dyDescent="0.2">
      <c r="A525" s="97" t="s">
        <v>63</v>
      </c>
      <c r="B525" s="41">
        <v>21</v>
      </c>
      <c r="C525" s="41">
        <v>4</v>
      </c>
      <c r="D525" s="115" t="s">
        <v>432</v>
      </c>
      <c r="E525" s="41"/>
      <c r="F525" s="81">
        <f>SUM(F522:F524)</f>
        <v>631762.42000000004</v>
      </c>
      <c r="G525" s="81">
        <f t="shared" ref="G525:L525" si="36">SUM(G522:G524)</f>
        <v>246233.06</v>
      </c>
      <c r="H525" s="81">
        <f t="shared" si="36"/>
        <v>1295224.6000000001</v>
      </c>
      <c r="I525" s="81">
        <f t="shared" si="36"/>
        <v>13553.349999999999</v>
      </c>
      <c r="J525" s="81">
        <f t="shared" si="36"/>
        <v>2335.56</v>
      </c>
      <c r="K525" s="81">
        <f t="shared" si="36"/>
        <v>1083.6500000000001</v>
      </c>
      <c r="L525" s="70">
        <f t="shared" si="36"/>
        <v>2190192.6400000001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464432.93</f>
        <v>464432.93</v>
      </c>
      <c r="G527" s="18">
        <v>201284.3</v>
      </c>
      <c r="H527" s="18">
        <v>74003.89</v>
      </c>
      <c r="I527" s="18">
        <f>1080.15+3518.94+765+496.59+77.86+1689.61</f>
        <v>7628.15</v>
      </c>
      <c r="J527" s="18">
        <f>1478.85+205.16+2507.96</f>
        <v>4191.97</v>
      </c>
      <c r="K527" s="18">
        <f>100+45</f>
        <v>145</v>
      </c>
      <c r="L527" s="69">
        <f>SUM(F527:K527)</f>
        <v>751686.24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464432.93</v>
      </c>
      <c r="G530" s="70">
        <f t="shared" ref="G530:L530" si="37">SUM(G527:G529)</f>
        <v>201284.3</v>
      </c>
      <c r="H530" s="70">
        <f t="shared" si="37"/>
        <v>74003.89</v>
      </c>
      <c r="I530" s="70">
        <f t="shared" si="37"/>
        <v>7628.15</v>
      </c>
      <c r="J530" s="70">
        <f t="shared" si="37"/>
        <v>4191.97</v>
      </c>
      <c r="K530" s="70">
        <f t="shared" si="37"/>
        <v>145</v>
      </c>
      <c r="L530" s="70">
        <f t="shared" si="37"/>
        <v>751686.24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157416.26</v>
      </c>
      <c r="G532" s="18">
        <v>56693.77</v>
      </c>
      <c r="H532" s="18">
        <v>777.01</v>
      </c>
      <c r="I532" s="18"/>
      <c r="J532" s="18"/>
      <c r="K532" s="18">
        <v>2797.35</v>
      </c>
      <c r="L532" s="69">
        <f>SUM(F532:K532)</f>
        <v>217684.39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157416.26</v>
      </c>
      <c r="G535" s="70">
        <f t="shared" ref="G535:L535" si="38">SUM(G532:G534)</f>
        <v>56693.77</v>
      </c>
      <c r="H535" s="70">
        <f t="shared" si="38"/>
        <v>777.01</v>
      </c>
      <c r="I535" s="70">
        <f t="shared" si="38"/>
        <v>0</v>
      </c>
      <c r="J535" s="70">
        <f t="shared" si="38"/>
        <v>0</v>
      </c>
      <c r="K535" s="70">
        <f t="shared" si="38"/>
        <v>2797.35</v>
      </c>
      <c r="L535" s="70">
        <f t="shared" si="38"/>
        <v>217684.39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326.04000000000002</v>
      </c>
      <c r="I537" s="18"/>
      <c r="J537" s="18"/>
      <c r="K537" s="18"/>
      <c r="L537" s="69">
        <f>SUM(F537:K537)</f>
        <v>326.04000000000002</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326.04000000000002</v>
      </c>
      <c r="I540" s="70">
        <f t="shared" si="39"/>
        <v>0</v>
      </c>
      <c r="J540" s="70">
        <f t="shared" si="39"/>
        <v>0</v>
      </c>
      <c r="K540" s="70">
        <f t="shared" si="39"/>
        <v>0</v>
      </c>
      <c r="L540" s="70">
        <f t="shared" si="39"/>
        <v>326.04000000000002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4557.96+119456.3</f>
        <v>124014.26000000001</v>
      </c>
      <c r="I542" s="18"/>
      <c r="J542" s="18"/>
      <c r="K542" s="18"/>
      <c r="L542" s="69">
        <f>SUM(F542:K542)</f>
        <v>124014.26000000001</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136820</v>
      </c>
      <c r="I544" s="18"/>
      <c r="J544" s="18"/>
      <c r="K544" s="18"/>
      <c r="L544" s="69">
        <f>SUM(F544:K544)</f>
        <v>136820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260834.26</v>
      </c>
      <c r="I545" s="141">
        <f t="shared" si="40"/>
        <v>0</v>
      </c>
      <c r="J545" s="141">
        <f t="shared" si="40"/>
        <v>0</v>
      </c>
      <c r="K545" s="141">
        <f t="shared" si="40"/>
        <v>0</v>
      </c>
      <c r="L545" s="141">
        <f t="shared" si="40"/>
        <v>260834.26</v>
      </c>
      <c r="M545" s="8"/>
      <c r="N545" s="165"/>
    </row>
    <row r="546" spans="1:14" s="3" customFormat="1" ht="12.2" customHeight="1" thickTop="1" x14ac:dyDescent="0.15">
      <c r="A546" s="75" t="s">
        <v>72</v>
      </c>
      <c r="B546" s="41">
        <v>21</v>
      </c>
      <c r="C546" s="41">
        <v>21</v>
      </c>
      <c r="D546" s="115" t="s">
        <v>432</v>
      </c>
      <c r="E546" s="41"/>
      <c r="F546" s="70">
        <f>F525+F530+F535+F540+F545</f>
        <v>1253611.6100000001</v>
      </c>
      <c r="G546" s="70">
        <f t="shared" ref="G546:L546" si="41">G525+G530+G535+G540+G545</f>
        <v>504211.13</v>
      </c>
      <c r="H546" s="70">
        <f t="shared" si="41"/>
        <v>1631165.8</v>
      </c>
      <c r="I546" s="70">
        <f t="shared" si="41"/>
        <v>21181.5</v>
      </c>
      <c r="J546" s="70">
        <f t="shared" si="41"/>
        <v>6527.5300000000007</v>
      </c>
      <c r="K546" s="70">
        <f t="shared" si="41"/>
        <v>4026</v>
      </c>
      <c r="L546" s="70">
        <f t="shared" si="41"/>
        <v>3420723.5700000003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1436707.86</v>
      </c>
      <c r="G550" s="69">
        <f>L527</f>
        <v>751686.24</v>
      </c>
      <c r="H550" s="69">
        <f>L532</f>
        <v>217684.39</v>
      </c>
      <c r="I550" s="69">
        <f>L537</f>
        <v>326.04000000000002</v>
      </c>
      <c r="J550" s="69">
        <f>L542</f>
        <v>124014.26000000001</v>
      </c>
      <c r="K550" s="69">
        <f>SUM(F550:J550)</f>
        <v>2530418.79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753484.78</v>
      </c>
      <c r="G552" s="69">
        <f>L529</f>
        <v>0</v>
      </c>
      <c r="H552" s="69">
        <f>L534</f>
        <v>0</v>
      </c>
      <c r="I552" s="69">
        <f>L539</f>
        <v>0</v>
      </c>
      <c r="J552" s="69">
        <f>L544</f>
        <v>136820</v>
      </c>
      <c r="K552" s="69">
        <f>SUM(F552:J552)</f>
        <v>890304.78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2190192.6400000001</v>
      </c>
      <c r="G553" s="70">
        <f t="shared" si="42"/>
        <v>751686.24</v>
      </c>
      <c r="H553" s="70">
        <f t="shared" si="42"/>
        <v>217684.39</v>
      </c>
      <c r="I553" s="70">
        <f t="shared" si="42"/>
        <v>326.04000000000002</v>
      </c>
      <c r="J553" s="70">
        <f t="shared" si="42"/>
        <v>260834.26</v>
      </c>
      <c r="K553" s="70">
        <f t="shared" si="42"/>
        <v>3420723.5700000003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3160537.5</v>
      </c>
      <c r="I576" s="69">
        <f>SUM(F576:H576)</f>
        <v>3160537.5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56952</v>
      </c>
      <c r="I578" s="69">
        <f t="shared" si="47"/>
        <v>56952</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298333.36</v>
      </c>
      <c r="I580" s="69">
        <f t="shared" si="47"/>
        <v>298333.36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277276.21000000002</v>
      </c>
      <c r="G583" s="18"/>
      <c r="H583" s="18">
        <v>439163.92</v>
      </c>
      <c r="I583" s="69">
        <f t="shared" si="47"/>
        <v>716440.13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356944.67</v>
      </c>
      <c r="I592" s="18"/>
      <c r="J592" s="18">
        <v>119310.28</v>
      </c>
      <c r="K592" s="80">
        <f t="shared" ref="K592:K598" si="48">SUM(H592:J592)</f>
        <v>476254.94999999995</v>
      </c>
      <c r="L592" s="23" t="s">
        <v>288</v>
      </c>
      <c r="M592" s="8"/>
      <c r="N592" s="165"/>
    </row>
    <row r="593" spans="1:14" s="3" customFormat="1" ht="12.2" customHeight="1" x14ac:dyDescent="0.15">
      <c r="A593" s="3" t="s">
        <v>638</v>
      </c>
      <c r="B593" s="22">
        <v>23</v>
      </c>
      <c r="C593" s="22">
        <v>2</v>
      </c>
      <c r="D593" s="2" t="s">
        <v>432</v>
      </c>
      <c r="E593" s="22"/>
      <c r="F593" s="78">
        <v>2722</v>
      </c>
      <c r="G593" s="79" t="s">
        <v>97</v>
      </c>
      <c r="H593" s="18">
        <v>119456.3</v>
      </c>
      <c r="I593" s="18"/>
      <c r="J593" s="18">
        <v>136820</v>
      </c>
      <c r="K593" s="80">
        <f t="shared" si="48"/>
        <v>256276.3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6554.38</v>
      </c>
      <c r="I595" s="18"/>
      <c r="J595" s="18"/>
      <c r="K595" s="80">
        <f t="shared" si="48"/>
        <v>6554.38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5860.06</v>
      </c>
      <c r="I596" s="18"/>
      <c r="J596" s="18"/>
      <c r="K596" s="80">
        <f t="shared" si="48"/>
        <v>5860.06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11193.65</v>
      </c>
      <c r="I598" s="18"/>
      <c r="J598" s="18"/>
      <c r="K598" s="80">
        <f t="shared" si="48"/>
        <v>11193.65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500009.06</v>
      </c>
      <c r="I599" s="81">
        <f>SUM(I592:I598)</f>
        <v>0</v>
      </c>
      <c r="J599" s="81">
        <f>SUM(J592:J598)</f>
        <v>256130.28</v>
      </c>
      <c r="K599" s="81">
        <f>SUM(K592:K598)</f>
        <v>756139.34000000008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33342.41+12575.36+1478.85+205.16+2507.96+1248+5538.46+1423.75+900.98+5077.96+994.65+19800+10861.51+2335.56+2489.95+1804.42+19906</f>
        <v>122490.98</v>
      </c>
      <c r="I605" s="18"/>
      <c r="J605" s="18"/>
      <c r="K605" s="80">
        <f>SUM(H605:J605)</f>
        <v>122490.98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122490.98</v>
      </c>
      <c r="I606" s="81">
        <f>SUM(I603:I605)</f>
        <v>0</v>
      </c>
      <c r="J606" s="81">
        <f>SUM(J603:J605)</f>
        <v>0</v>
      </c>
      <c r="K606" s="81">
        <f>SUM(K603:K605)</f>
        <v>122490.98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13937.5+16898.41</f>
        <v>30835.91</v>
      </c>
      <c r="G612" s="18">
        <f>1066.19+1270.59+284.21+2551.31+1198.17</f>
        <v>6370.4699999999993</v>
      </c>
      <c r="H612" s="18">
        <f>4557.96+5600</f>
        <v>10157.959999999999</v>
      </c>
      <c r="I612" s="18"/>
      <c r="J612" s="18"/>
      <c r="K612" s="18"/>
      <c r="L612" s="69">
        <f>SUM(F612:K612)</f>
        <v>47364.34</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30835.91</v>
      </c>
      <c r="G615" s="81">
        <f t="shared" si="49"/>
        <v>6370.4699999999993</v>
      </c>
      <c r="H615" s="81">
        <f t="shared" si="49"/>
        <v>10157.959999999999</v>
      </c>
      <c r="I615" s="81">
        <f t="shared" si="49"/>
        <v>0</v>
      </c>
      <c r="J615" s="81">
        <f t="shared" si="49"/>
        <v>0</v>
      </c>
      <c r="K615" s="81">
        <f t="shared" si="49"/>
        <v>0</v>
      </c>
      <c r="L615" s="70">
        <f t="shared" si="49"/>
        <v>47364.34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565457.96</v>
      </c>
      <c r="H618" s="80">
        <f>SUM(F52)</f>
        <v>565457.96000000008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21370.43</v>
      </c>
      <c r="H619" s="80">
        <f>SUM(G52)</f>
        <v>21370.429999999993</v>
      </c>
      <c r="I619" s="87" t="s">
        <v>875</v>
      </c>
      <c r="J619" s="80">
        <f>G619-H619</f>
        <v>0</v>
      </c>
      <c r="K619" s="80"/>
      <c r="L619" s="80"/>
      <c r="M619" s="8"/>
    </row>
    <row r="620" spans="1:14" s="3" customFormat="1" ht="12.2" customHeight="1" x14ac:dyDescent="0.15">
      <c r="A620" s="74"/>
      <c r="B620" s="22"/>
      <c r="C620" s="22"/>
      <c r="D620" s="22"/>
      <c r="E620" s="22"/>
      <c r="F620" s="87" t="s">
        <v>685</v>
      </c>
      <c r="G620" s="80">
        <f>SUM(H19)</f>
        <v>42596.84</v>
      </c>
      <c r="H620" s="80">
        <f>SUM(H52)</f>
        <v>42596.840000000004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923811.68</v>
      </c>
      <c r="H622" s="80">
        <f>SUM(J52)</f>
        <v>923811.68</v>
      </c>
      <c r="I622" s="87" t="s">
        <v>878</v>
      </c>
      <c r="J622" s="80">
        <f>G622-H622</f>
        <v>0</v>
      </c>
      <c r="K622" s="80"/>
      <c r="L622" s="80"/>
      <c r="M622" s="8"/>
    </row>
    <row r="623" spans="1:14" s="3" customFormat="1" ht="12.2" customHeight="1" x14ac:dyDescent="0.15">
      <c r="A623" s="74"/>
      <c r="B623" s="22"/>
      <c r="C623" s="22"/>
      <c r="D623" s="22"/>
      <c r="E623" s="22"/>
      <c r="F623" s="87" t="s">
        <v>864</v>
      </c>
      <c r="G623" s="80">
        <f>F51</f>
        <v>476658.29000000004</v>
      </c>
      <c r="H623" s="80">
        <f>F477</f>
        <v>476658.29000000097</v>
      </c>
      <c r="I623" s="87" t="s">
        <v>101</v>
      </c>
      <c r="J623" s="80">
        <f t="shared" ref="J623:J656" si="50">G623-H623</f>
        <v>-9.3132257461547852E-10</v>
      </c>
      <c r="K623" s="80"/>
      <c r="L623" s="80"/>
      <c r="M623" s="8"/>
    </row>
    <row r="624" spans="1:14" s="3" customFormat="1" ht="12.2" customHeight="1" x14ac:dyDescent="0.15">
      <c r="A624" s="74"/>
      <c r="B624" s="22"/>
      <c r="C624" s="85"/>
      <c r="D624" s="85"/>
      <c r="E624" s="85"/>
      <c r="F624" s="85" t="s">
        <v>865</v>
      </c>
      <c r="G624" s="80">
        <f>G51</f>
        <v>57454.28</v>
      </c>
      <c r="H624" s="80">
        <f>G477</f>
        <v>57454.28</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923811.68</v>
      </c>
      <c r="H627" s="80">
        <f>J477</f>
        <v>923811.68</v>
      </c>
      <c r="I627" s="87" t="s">
        <v>105</v>
      </c>
      <c r="J627" s="80">
        <f t="shared" si="50"/>
        <v>0</v>
      </c>
      <c r="K627" s="67"/>
      <c r="L627" s="69"/>
      <c r="M627" s="8"/>
    </row>
    <row r="628" spans="1:13" s="3" customFormat="1" ht="12.2" customHeight="1" x14ac:dyDescent="0.15">
      <c r="A628" s="21"/>
      <c r="B628" s="22"/>
      <c r="C628" s="22"/>
      <c r="D628" s="22"/>
      <c r="E628" s="22"/>
      <c r="F628" s="86" t="s">
        <v>658</v>
      </c>
      <c r="G628" s="80">
        <f>F194</f>
        <v>11861166.210000001</v>
      </c>
      <c r="H628" s="80">
        <f>SUM(F469)</f>
        <v>11861166.210000001</v>
      </c>
      <c r="I628" s="87" t="s">
        <v>106</v>
      </c>
      <c r="J628" s="80">
        <f>G628-H628</f>
        <v>0</v>
      </c>
      <c r="K628" s="67"/>
      <c r="L628" s="69"/>
      <c r="M628" s="8"/>
    </row>
    <row r="629" spans="1:13" s="3" customFormat="1" ht="12.2" customHeight="1" x14ac:dyDescent="0.15">
      <c r="A629" s="21"/>
      <c r="B629" s="22"/>
      <c r="C629" s="22"/>
      <c r="D629" s="22"/>
      <c r="E629" s="22"/>
      <c r="F629" s="86" t="s">
        <v>659</v>
      </c>
      <c r="G629" s="80">
        <f>G194</f>
        <v>192755.92</v>
      </c>
      <c r="H629" s="80">
        <f>SUM(G469)</f>
        <v>192755.91999999998</v>
      </c>
      <c r="I629" s="87" t="s">
        <v>107</v>
      </c>
      <c r="J629" s="80">
        <f>G629-H629</f>
        <v>0</v>
      </c>
      <c r="K629" s="67"/>
      <c r="L629" s="69"/>
      <c r="M629" s="8"/>
    </row>
    <row r="630" spans="1:13" s="3" customFormat="1" ht="12.2" customHeight="1" x14ac:dyDescent="0.15">
      <c r="A630" s="21"/>
      <c r="B630" s="22"/>
      <c r="C630" s="22"/>
      <c r="D630" s="22"/>
      <c r="E630" s="22"/>
      <c r="F630" s="86" t="s">
        <v>660</v>
      </c>
      <c r="G630" s="80">
        <f>H194</f>
        <v>479816.87</v>
      </c>
      <c r="H630" s="80">
        <f>SUM(H469)</f>
        <v>479816.87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268273.63</v>
      </c>
      <c r="H632" s="80">
        <f>SUM(J469)</f>
        <v>268273.63</v>
      </c>
      <c r="I632" s="87" t="s">
        <v>110</v>
      </c>
      <c r="J632" s="80">
        <f>G632-H632</f>
        <v>0</v>
      </c>
      <c r="K632" s="67"/>
      <c r="L632" s="69"/>
      <c r="M632" s="8"/>
    </row>
    <row r="633" spans="1:13" s="3" customFormat="1" ht="12.2" customHeight="1" x14ac:dyDescent="0.15">
      <c r="A633" s="21"/>
      <c r="B633" s="22"/>
      <c r="C633" s="22"/>
      <c r="D633" s="22"/>
      <c r="E633" s="22"/>
      <c r="F633" s="86" t="s">
        <v>394</v>
      </c>
      <c r="G633" s="80">
        <f>SUM(L272)</f>
        <v>11811375.09</v>
      </c>
      <c r="H633" s="80">
        <f>SUM(F473)</f>
        <v>11811375.09</v>
      </c>
      <c r="I633" s="87" t="s">
        <v>111</v>
      </c>
      <c r="J633" s="80">
        <f t="shared" si="50"/>
        <v>0</v>
      </c>
      <c r="K633" s="67"/>
      <c r="L633" s="69"/>
      <c r="M633" s="8"/>
    </row>
    <row r="634" spans="1:13" s="3" customFormat="1" ht="12.2" customHeight="1" x14ac:dyDescent="0.15">
      <c r="A634" s="21"/>
      <c r="B634" s="22"/>
      <c r="C634" s="22"/>
      <c r="D634" s="22"/>
      <c r="E634" s="22"/>
      <c r="F634" s="86" t="s">
        <v>395</v>
      </c>
      <c r="G634" s="80">
        <f>SUM(L353)</f>
        <v>479816.87</v>
      </c>
      <c r="H634" s="80">
        <f>SUM(H473)</f>
        <v>479816.87</v>
      </c>
      <c r="I634" s="87" t="s">
        <v>112</v>
      </c>
      <c r="J634" s="80">
        <f>G634-H634</f>
        <v>0</v>
      </c>
      <c r="K634" s="67"/>
      <c r="L634" s="69"/>
      <c r="M634" s="8"/>
    </row>
    <row r="635" spans="1:13" s="124" customFormat="1" ht="12.2" customHeight="1" x14ac:dyDescent="0.15">
      <c r="A635" s="21"/>
      <c r="B635" s="22"/>
      <c r="C635" s="22"/>
      <c r="D635" s="22"/>
      <c r="E635" s="22"/>
      <c r="F635" s="99" t="s">
        <v>247</v>
      </c>
      <c r="G635" s="80">
        <f>I363</f>
        <v>3766.75</v>
      </c>
      <c r="H635" s="80">
        <f>I370</f>
        <v>3766.75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202136.09000000003</v>
      </c>
      <c r="H636" s="80">
        <f>SUM(G473)</f>
        <v>202136.09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268273.63</v>
      </c>
      <c r="H638" s="108">
        <f>SUM(J469)</f>
        <v>268273.63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912743.05</v>
      </c>
      <c r="H641" s="80">
        <f>SUM(G462)</f>
        <v>912743.05</v>
      </c>
      <c r="I641" s="87" t="s">
        <v>841</v>
      </c>
      <c r="J641" s="80">
        <f t="shared" si="50"/>
        <v>0</v>
      </c>
      <c r="K641" s="67"/>
      <c r="L641" s="69"/>
      <c r="M641" s="8"/>
    </row>
    <row r="642" spans="1:13" s="3" customFormat="1" ht="12.2" customHeight="1" x14ac:dyDescent="0.15">
      <c r="A642" s="21"/>
      <c r="B642" s="22"/>
      <c r="C642" s="22"/>
      <c r="D642" s="22"/>
      <c r="E642" s="22"/>
      <c r="F642" s="86" t="s">
        <v>120</v>
      </c>
      <c r="G642" s="80">
        <f>SUM(H447)</f>
        <v>11068.63</v>
      </c>
      <c r="H642" s="80">
        <f>SUM(H462)</f>
        <v>11068.63</v>
      </c>
      <c r="I642" s="87" t="s">
        <v>842</v>
      </c>
      <c r="J642" s="80">
        <f t="shared" si="50"/>
        <v>0</v>
      </c>
      <c r="K642" s="67"/>
      <c r="L642" s="69"/>
      <c r="M642" s="8"/>
    </row>
    <row r="643" spans="1:13" s="3" customFormat="1" ht="12.2" customHeight="1" x14ac:dyDescent="0.15">
      <c r="A643" s="21"/>
      <c r="B643" s="22"/>
      <c r="C643" s="22"/>
      <c r="D643" s="22"/>
      <c r="E643" s="22"/>
      <c r="F643" s="86" t="s">
        <v>121</v>
      </c>
      <c r="G643" s="80">
        <f>SUM(I447)</f>
        <v>923811.68</v>
      </c>
      <c r="H643" s="80">
        <f>SUM(I462)</f>
        <v>923811.68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18273.63</v>
      </c>
      <c r="H645" s="80">
        <f>H409</f>
        <v>18273.63</v>
      </c>
      <c r="I645" s="87" t="s">
        <v>480</v>
      </c>
      <c r="J645" s="80">
        <f t="shared" si="50"/>
        <v>0</v>
      </c>
      <c r="K645" s="67"/>
      <c r="L645" s="69"/>
      <c r="M645" s="8"/>
    </row>
    <row r="646" spans="1:13" s="3" customFormat="1" ht="12.2" customHeight="1" x14ac:dyDescent="0.15">
      <c r="A646" s="21"/>
      <c r="B646" s="22"/>
      <c r="C646" s="22"/>
      <c r="D646" s="22"/>
      <c r="E646" s="22"/>
      <c r="F646" s="86" t="s">
        <v>664</v>
      </c>
      <c r="G646" s="80">
        <f>J184</f>
        <v>250000</v>
      </c>
      <c r="H646" s="80">
        <f>G409</f>
        <v>250000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268273.63</v>
      </c>
      <c r="H647" s="80">
        <f>L409</f>
        <v>268273.63</v>
      </c>
      <c r="I647" s="87" t="s">
        <v>477</v>
      </c>
      <c r="J647" s="80">
        <f t="shared" si="50"/>
        <v>0</v>
      </c>
      <c r="K647" s="67"/>
      <c r="L647" s="69"/>
      <c r="M647" s="8"/>
    </row>
    <row r="648" spans="1:13" s="3" customFormat="1" ht="12.2" customHeight="1" x14ac:dyDescent="0.15">
      <c r="A648" s="21"/>
      <c r="B648" s="22"/>
      <c r="C648" s="22"/>
      <c r="D648" s="22"/>
      <c r="E648" s="22"/>
      <c r="F648" s="86" t="s">
        <v>51</v>
      </c>
      <c r="G648" s="80">
        <f>K599</f>
        <v>756139.34000000008</v>
      </c>
      <c r="H648" s="80">
        <f>L209+L227+L245</f>
        <v>756139.34</v>
      </c>
      <c r="I648" s="87" t="s">
        <v>396</v>
      </c>
      <c r="J648" s="80">
        <f t="shared" si="50"/>
        <v>0</v>
      </c>
      <c r="K648" s="67"/>
      <c r="L648" s="69"/>
      <c r="M648" s="8"/>
    </row>
    <row r="649" spans="1:13" s="3" customFormat="1" ht="12.2" customHeight="1" x14ac:dyDescent="0.15">
      <c r="A649" s="21"/>
      <c r="B649" s="22"/>
      <c r="C649" s="22"/>
      <c r="D649" s="22"/>
      <c r="E649" s="22"/>
      <c r="F649" s="86" t="s">
        <v>52</v>
      </c>
      <c r="G649" s="80">
        <f>K606</f>
        <v>122490.98</v>
      </c>
      <c r="H649" s="80">
        <f>(J258+J339)-(J256+J337)</f>
        <v>122490.98000000001</v>
      </c>
      <c r="I649" s="87" t="s">
        <v>699</v>
      </c>
      <c r="J649" s="80">
        <f t="shared" si="50"/>
        <v>0</v>
      </c>
      <c r="K649" s="67"/>
      <c r="L649" s="69"/>
      <c r="M649" s="8"/>
    </row>
    <row r="650" spans="1:13" s="3" customFormat="1" ht="12.2" customHeight="1" x14ac:dyDescent="0.15">
      <c r="A650" s="21"/>
      <c r="B650" s="22"/>
      <c r="C650" s="22"/>
      <c r="D650" s="22"/>
      <c r="E650" s="22"/>
      <c r="F650" s="86" t="s">
        <v>387</v>
      </c>
      <c r="G650" s="80">
        <f>L209</f>
        <v>500009.06</v>
      </c>
      <c r="H650" s="80">
        <f>H599</f>
        <v>500009.06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256130.28</v>
      </c>
      <c r="H652" s="80">
        <f>J599</f>
        <v>256130.28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250000</v>
      </c>
      <c r="H656" s="80">
        <f>K267+K348</f>
        <v>250000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7968295.4900000002</v>
      </c>
      <c r="G661" s="13">
        <f>(L230+L310+L360)</f>
        <v>0</v>
      </c>
      <c r="H661" s="13">
        <f>(L248+L329+L361)</f>
        <v>4227104.5600000005</v>
      </c>
      <c r="I661" s="13">
        <f>SUM(F661:H661)</f>
        <v>12195400.050000001</v>
      </c>
      <c r="J661" s="13"/>
      <c r="K661" s="13"/>
      <c r="L661" s="13"/>
      <c r="M661" s="9"/>
    </row>
    <row r="662" spans="1:13" s="3" customFormat="1" ht="12.2" customHeight="1" x14ac:dyDescent="0.2">
      <c r="A662" s="1" t="s">
        <v>127</v>
      </c>
      <c r="F662" s="13">
        <f>(L359/IF(SUM(L359:L361)=0,1,SUM(L359:L361))*(SUM(G97:G110)))</f>
        <v>118720.13</v>
      </c>
      <c r="G662" s="13">
        <f>(L360/IF(SUM(L359:L361)=0,1,SUM(L359:L361))*(SUM(G97:G110)))</f>
        <v>0</v>
      </c>
      <c r="H662" s="13">
        <f>(L361/IF(SUM(L359:L361)=0,1,SUM(L359:L361))*(SUM(G97:G110)))</f>
        <v>0</v>
      </c>
      <c r="I662" s="13">
        <f>SUM(F662:H662)</f>
        <v>118720.13</v>
      </c>
      <c r="J662"/>
      <c r="K662" s="13"/>
      <c r="L662" s="13"/>
      <c r="M662" s="8"/>
    </row>
    <row r="663" spans="1:13" s="3" customFormat="1" ht="12.2" customHeight="1" x14ac:dyDescent="0.2">
      <c r="A663" s="1" t="s">
        <v>128</v>
      </c>
      <c r="F663" s="13">
        <f>(L209+L288)-(J209+J288)</f>
        <v>504567.02</v>
      </c>
      <c r="G663" s="13">
        <f>(L227+L307)-(J227+J307)</f>
        <v>0</v>
      </c>
      <c r="H663" s="13">
        <f>(L245+L326)-(J245+J326)</f>
        <v>256130.28</v>
      </c>
      <c r="I663" s="13">
        <f>SUM(F663:H663)</f>
        <v>760697.3</v>
      </c>
      <c r="J663"/>
      <c r="K663" s="13"/>
      <c r="L663" s="13"/>
      <c r="M663" s="9"/>
    </row>
    <row r="664" spans="1:13" s="3" customFormat="1" ht="12.2" customHeight="1" x14ac:dyDescent="0.15">
      <c r="A664" s="142" t="s">
        <v>129</v>
      </c>
      <c r="B664" s="124"/>
      <c r="C664" s="124"/>
      <c r="D664" s="124"/>
      <c r="E664" s="124"/>
      <c r="F664" s="143">
        <f>SUM(F576:F588)+SUM(H603:H605)+SUM(L612)</f>
        <v>447131.53</v>
      </c>
      <c r="G664" s="143">
        <f>SUM(G576:G588)+SUM(I603:I605)+L613</f>
        <v>0</v>
      </c>
      <c r="H664" s="143">
        <f>SUM(H576:H588)+SUM(J603:J605)+L614</f>
        <v>3954986.78</v>
      </c>
      <c r="I664" s="13">
        <f>SUM(F664:H664)</f>
        <v>4402118.3099999996</v>
      </c>
      <c r="J664" s="13"/>
      <c r="K664" s="13"/>
      <c r="L664" s="13"/>
      <c r="M664" s="9"/>
    </row>
    <row r="665" spans="1:13" s="3" customFormat="1" ht="12.2" customHeight="1" x14ac:dyDescent="0.15">
      <c r="A665" s="1" t="s">
        <v>130</v>
      </c>
      <c r="F665" s="13">
        <f>F661-SUM(F662:F664)</f>
        <v>6897876.8100000005</v>
      </c>
      <c r="G665" s="13">
        <f>G661-SUM(G662:G664)</f>
        <v>0</v>
      </c>
      <c r="H665" s="13">
        <f>H661-SUM(H662:H664)</f>
        <v>15987.500000000931</v>
      </c>
      <c r="I665" s="13">
        <f>I661-SUM(I662:I664)</f>
        <v>6913864.3100000015</v>
      </c>
      <c r="J665" s="13"/>
      <c r="K665" s="13"/>
      <c r="L665" s="13"/>
      <c r="M665" s="8"/>
    </row>
    <row r="666" spans="1:13" s="3" customFormat="1" ht="12.2" customHeight="1" x14ac:dyDescent="0.2">
      <c r="A666" s="1" t="s">
        <v>131</v>
      </c>
      <c r="F666" s="183">
        <v>370.07</v>
      </c>
      <c r="G666" s="184"/>
      <c r="H666" s="184"/>
      <c r="I666" s="13">
        <f>SUM(F666:H666)</f>
        <v>370.07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18639.38</v>
      </c>
      <c r="G668" s="13" t="e">
        <f>ROUND(G665/G666,2)</f>
        <v>#DIV/0!</v>
      </c>
      <c r="H668" s="13" t="e">
        <f>ROUND(H665/H666,2)</f>
        <v>#DIV/0!</v>
      </c>
      <c r="I668" s="13">
        <f>ROUND(I665/I666,2)</f>
        <v>18682.59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-15987.500000000931</v>
      </c>
      <c r="I670" s="13">
        <f>SUM(F670:H670)</f>
        <v>-15987.500000000931</v>
      </c>
      <c r="J670" s="13"/>
      <c r="K670" s="13"/>
      <c r="L670" s="13"/>
      <c r="M670" s="9"/>
    </row>
    <row r="671" spans="1:13" s="3" customFormat="1" ht="12.2" customHeight="1" x14ac:dyDescent="0.15">
      <c r="A671" s="1" t="s">
        <v>135</v>
      </c>
      <c r="F671" s="18"/>
      <c r="G671" s="18"/>
      <c r="H671" s="18">
        <v>-0.33</v>
      </c>
      <c r="I671" s="13">
        <f>SUM(F671:H671)</f>
        <v>-0.33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18639.38</v>
      </c>
      <c r="G673" s="13" t="e">
        <f>ROUND((G665+G670)/(G666+G671),2)</f>
        <v>#DIV/0!</v>
      </c>
      <c r="H673" s="13">
        <f>ROUND((H665+H670)/(H666+H671),2)</f>
        <v>0</v>
      </c>
      <c r="I673" s="13">
        <f>ROUND((I665+I670)/(I666+I671),2)</f>
        <v>18656.02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10"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40184.199999999997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324+12561.93+14415+2489.95</f>
        <v>29790.880000000001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10393.32</f>
        <v>10393.32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Fremont</v>
      </c>
      <c r="C5" s="317"/>
      <c r="D5" s="317"/>
      <c r="E5" s="317"/>
      <c r="F5" s="317"/>
    </row>
    <row r="8" spans="1:9" ht="18" x14ac:dyDescent="0.25">
      <c r="A8" s="240" t="s">
        <v>1560</v>
      </c>
      <c r="F8" s="247" t="s">
        <v>1578</v>
      </c>
    </row>
    <row r="9" spans="1:9" ht="15" x14ac:dyDescent="0.2">
      <c r="A9" s="238" t="s">
        <v>1561</v>
      </c>
      <c r="B9" s="241">
        <f>'DOE25'!G97</f>
        <v>118720.13</v>
      </c>
      <c r="F9" s="238" t="s">
        <v>1574</v>
      </c>
    </row>
    <row r="10" spans="1:9" ht="15" x14ac:dyDescent="0.2">
      <c r="A10" s="238" t="s">
        <v>1562</v>
      </c>
      <c r="B10" s="241">
        <f>'DOE25'!G112-'DOE25'!G97</f>
        <v>0</v>
      </c>
      <c r="F10" s="238" t="s">
        <v>1575</v>
      </c>
    </row>
    <row r="11" spans="1:9" ht="15" x14ac:dyDescent="0.2">
      <c r="A11" s="238" t="s">
        <v>1563</v>
      </c>
      <c r="B11" s="241">
        <f>'DOE25'!G140</f>
        <v>2758.1</v>
      </c>
      <c r="F11" s="238" t="s">
        <v>1576</v>
      </c>
    </row>
    <row r="12" spans="1:9" ht="15" x14ac:dyDescent="0.2">
      <c r="A12" s="238" t="s">
        <v>1564</v>
      </c>
      <c r="B12" s="241">
        <f>'DOE25'!G170</f>
        <v>71277.69</v>
      </c>
      <c r="F12" s="238" t="s">
        <v>1577</v>
      </c>
    </row>
    <row r="13" spans="1:9" ht="15" x14ac:dyDescent="0.2">
      <c r="A13" s="238" t="s">
        <v>1565</v>
      </c>
      <c r="B13" s="241">
        <f>'DOE25'!G193-'DOE25'!G180</f>
        <v>0</v>
      </c>
      <c r="F13" s="238" t="s">
        <v>1587</v>
      </c>
    </row>
    <row r="14" spans="1:9" ht="18" x14ac:dyDescent="0.25">
      <c r="A14" s="240" t="s">
        <v>732</v>
      </c>
      <c r="B14" s="242">
        <f>SUM(B9:B13)</f>
        <v>192755.92</v>
      </c>
    </row>
    <row r="16" spans="1:9" ht="18" x14ac:dyDescent="0.25">
      <c r="A16" s="240" t="s">
        <v>786</v>
      </c>
      <c r="F16" s="247" t="s">
        <v>1579</v>
      </c>
    </row>
    <row r="17" spans="1:6" ht="15" x14ac:dyDescent="0.2">
      <c r="A17" s="238" t="s">
        <v>1566</v>
      </c>
      <c r="B17" s="241">
        <f>'DOE25'!L363-'DOE25'!L362</f>
        <v>202136.09000000003</v>
      </c>
      <c r="F17" s="238" t="s">
        <v>1580</v>
      </c>
    </row>
    <row r="18" spans="1:6" ht="15" x14ac:dyDescent="0.2">
      <c r="A18" s="238" t="s">
        <v>1567</v>
      </c>
      <c r="B18" s="251">
        <v>0</v>
      </c>
      <c r="F18" s="247" t="s">
        <v>1604</v>
      </c>
    </row>
    <row r="19" spans="1:6" ht="18" x14ac:dyDescent="0.25">
      <c r="A19" s="240" t="s">
        <v>725</v>
      </c>
      <c r="B19" s="242">
        <f>SUM(B17:B18)</f>
        <v>202136.09000000003</v>
      </c>
    </row>
    <row r="21" spans="1:6" ht="18.75" thickBot="1" x14ac:dyDescent="0.3">
      <c r="A21" s="240" t="s">
        <v>1568</v>
      </c>
    </row>
    <row r="22" spans="1:6" ht="18.75" thickTop="1" x14ac:dyDescent="0.25">
      <c r="A22" s="240" t="s">
        <v>1569</v>
      </c>
      <c r="B22" s="246">
        <f>B14-B19</f>
        <v>-9380.1700000000128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66834.45</v>
      </c>
      <c r="F31" s="238" t="s">
        <v>1584</v>
      </c>
    </row>
    <row r="33" spans="1:6" ht="15" x14ac:dyDescent="0.2">
      <c r="A33" s="238" t="s">
        <v>1798</v>
      </c>
      <c r="B33" s="241">
        <f>'DOE25'!G477</f>
        <v>57454.28</v>
      </c>
      <c r="F33" s="238" t="s">
        <v>1585</v>
      </c>
    </row>
    <row r="36" spans="1:6" ht="15" x14ac:dyDescent="0.2">
      <c r="A36" s="238" t="s">
        <v>1571</v>
      </c>
      <c r="B36" s="252">
        <v>13357.51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Fremont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1854911.33</v>
      </c>
      <c r="C9" s="167">
        <f>'DOE25'!G198+'DOE25'!G216+'DOE25'!G234+'DOE25'!G277+'DOE25'!G296+'DOE25'!G315</f>
        <v>994567.65</v>
      </c>
    </row>
    <row r="10" spans="1:3" x14ac:dyDescent="0.2">
      <c r="A10" t="s">
        <v>775</v>
      </c>
      <c r="B10" s="177">
        <f>1721509.81+10000+12720+45554.73</f>
        <v>1789784.54</v>
      </c>
      <c r="C10" s="177">
        <f>473209.38+13763+1622.84+129256.41+355465.79+2051.44+10054.05-4982.2+9144.74</f>
        <v>989585.45</v>
      </c>
    </row>
    <row r="11" spans="1:3" x14ac:dyDescent="0.2">
      <c r="A11" t="s">
        <v>776</v>
      </c>
      <c r="B11" s="177"/>
      <c r="C11" s="177"/>
    </row>
    <row r="12" spans="1:3" x14ac:dyDescent="0.2">
      <c r="A12" t="s">
        <v>777</v>
      </c>
      <c r="B12" s="177">
        <f>65126.79</f>
        <v>65126.79</v>
      </c>
      <c r="C12" s="177">
        <f>4982.2</f>
        <v>4982.2</v>
      </c>
    </row>
    <row r="13" spans="1:3" x14ac:dyDescent="0.2">
      <c r="A13" t="str">
        <f>IF(B9=B13,IF(C9=C13,"Check Total OK","Check Total Error"),"Check Total Error")</f>
        <v>Check Total OK</v>
      </c>
      <c r="B13" s="169">
        <f>SUM(B10:B12)</f>
        <v>1854911.33</v>
      </c>
      <c r="C13" s="169">
        <f>SUM(C10:C12)</f>
        <v>994567.64999999991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631762.42000000004</v>
      </c>
      <c r="C18" s="167">
        <f>'DOE25'!G199+'DOE25'!G217+'DOE25'!G235+'DOE25'!G278+'DOE25'!G297+'DOE25'!G316</f>
        <v>246233.06</v>
      </c>
    </row>
    <row r="19" spans="1:3" x14ac:dyDescent="0.2">
      <c r="A19" t="s">
        <v>775</v>
      </c>
      <c r="B19" s="177">
        <f>276787+44550</f>
        <v>321337</v>
      </c>
      <c r="C19" s="177">
        <f>245035.87-22549.92</f>
        <v>222485.95</v>
      </c>
    </row>
    <row r="20" spans="1:3" x14ac:dyDescent="0.2">
      <c r="A20" t="s">
        <v>776</v>
      </c>
      <c r="B20" s="177">
        <f>287724.45+7045.73+15655.24</f>
        <v>310425.42</v>
      </c>
      <c r="C20" s="177">
        <f>22549.92+1197.19</f>
        <v>23747.109999999997</v>
      </c>
    </row>
    <row r="21" spans="1:3" x14ac:dyDescent="0.2">
      <c r="A21" t="s">
        <v>777</v>
      </c>
      <c r="B21" s="177"/>
      <c r="C21" s="177"/>
    </row>
    <row r="22" spans="1:3" x14ac:dyDescent="0.2">
      <c r="A22" t="str">
        <f>IF(B18=B22,IF(C18=C22,"Check Total OK","Check Total Error"),"Check Total Error")</f>
        <v>Check Total OK</v>
      </c>
      <c r="B22" s="169">
        <f>SUM(B19:B21)</f>
        <v>631762.41999999993</v>
      </c>
      <c r="C22" s="169">
        <f>SUM(C19:C21)</f>
        <v>246233.06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67340.91</v>
      </c>
      <c r="C36" s="173">
        <f>'DOE25'!G201+'DOE25'!G219+'DOE25'!G237+'DOE25'!G280+'DOE25'!G299+'DOE25'!G318</f>
        <v>14310.63</v>
      </c>
    </row>
    <row r="37" spans="1:3" x14ac:dyDescent="0.2">
      <c r="A37" t="s">
        <v>775</v>
      </c>
      <c r="B37" s="177">
        <f>18600+17425+480+16898.41</f>
        <v>53403.41</v>
      </c>
      <c r="C37" s="177">
        <f>7940.16+1270.59+284.21+2551.31+1198.17</f>
        <v>13244.439999999999</v>
      </c>
    </row>
    <row r="38" spans="1:3" x14ac:dyDescent="0.2">
      <c r="A38" t="s">
        <v>776</v>
      </c>
      <c r="B38" s="177">
        <v>13937.5</v>
      </c>
      <c r="C38" s="177">
        <f>1066.19</f>
        <v>1066.19</v>
      </c>
    </row>
    <row r="39" spans="1:3" x14ac:dyDescent="0.2">
      <c r="A39" t="s">
        <v>777</v>
      </c>
      <c r="B39" s="177"/>
      <c r="C39" s="177"/>
    </row>
    <row r="40" spans="1:3" x14ac:dyDescent="0.2">
      <c r="A40" t="str">
        <f>IF(B36=B40,IF(C36=C40,"Check Total OK","Check Total Error"),"Check Total Error")</f>
        <v>Check Total OK</v>
      </c>
      <c r="B40" s="169">
        <f>SUM(B37:B39)</f>
        <v>67340.91</v>
      </c>
      <c r="C40" s="169">
        <f>SUM(C37:C39)</f>
        <v>14310.63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Fremont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8250589.790000001</v>
      </c>
      <c r="D5" s="19">
        <f>SUM('DOE25'!L198:L201)+SUM('DOE25'!L216:L219)+SUM('DOE25'!L234:L237)-F5-G5-H5</f>
        <v>8203256.370000001</v>
      </c>
      <c r="E5" s="180"/>
      <c r="F5" s="181"/>
      <c r="G5" s="19">
        <f>SUM('DOE25'!J198:J201)+SUM('DOE25'!J216:J219)+SUM('DOE25'!J234:J237)</f>
        <v>45917.770000000004</v>
      </c>
      <c r="H5" s="19">
        <f>SUM('DOE25'!K198:K201)+SUM('DOE25'!K216:K219)+SUM('DOE25'!K234:K237)</f>
        <v>1415.65</v>
      </c>
      <c r="I5" s="192"/>
    </row>
    <row r="6" spans="1:9" x14ac:dyDescent="0.2">
      <c r="A6" s="31">
        <v>2100</v>
      </c>
      <c r="B6" t="s">
        <v>796</v>
      </c>
      <c r="C6" s="206">
        <f t="shared" si="0"/>
        <v>751686.24</v>
      </c>
      <c r="D6" s="19">
        <f>'DOE25'!L203+'DOE25'!L221+'DOE25'!L239-F6-G6-H6</f>
        <v>685880.76</v>
      </c>
      <c r="E6" s="180"/>
      <c r="F6" s="181">
        <f>61468.51</f>
        <v>61468.51</v>
      </c>
      <c r="G6" s="19">
        <f>'DOE25'!J203+'DOE25'!J221+'DOE25'!J239</f>
        <v>4191.97</v>
      </c>
      <c r="H6" s="19">
        <f>'DOE25'!K203+'DOE25'!K221+'DOE25'!K239</f>
        <v>145</v>
      </c>
      <c r="I6" s="192"/>
    </row>
    <row r="7" spans="1:9" x14ac:dyDescent="0.2">
      <c r="A7" s="31">
        <v>2200</v>
      </c>
      <c r="B7" t="s">
        <v>820</v>
      </c>
      <c r="C7" s="206">
        <f t="shared" si="0"/>
        <v>184238.55999999997</v>
      </c>
      <c r="D7" s="19">
        <f>'DOE25'!L204+'DOE25'!L222+'DOE25'!L240-F7-G7-H7</f>
        <v>149789.79999999999</v>
      </c>
      <c r="E7" s="180"/>
      <c r="F7" s="181"/>
      <c r="G7" s="19">
        <f>'DOE25'!J204+'DOE25'!J222+'DOE25'!J240</f>
        <v>6786.46</v>
      </c>
      <c r="H7" s="19">
        <f>'DOE25'!K204+'DOE25'!K222+'DOE25'!K240</f>
        <v>27662.3</v>
      </c>
      <c r="I7" s="192"/>
    </row>
    <row r="8" spans="1:9" x14ac:dyDescent="0.2">
      <c r="A8" s="31">
        <v>2300</v>
      </c>
      <c r="B8" t="s">
        <v>797</v>
      </c>
      <c r="C8" s="206">
        <f t="shared" si="0"/>
        <v>663280.19000000018</v>
      </c>
      <c r="D8" s="180"/>
      <c r="E8" s="19">
        <f>'DOE25'!L205+'DOE25'!L223+'DOE25'!L241-F8-G8-H8-D9-D11</f>
        <v>645084.70000000019</v>
      </c>
      <c r="F8" s="181"/>
      <c r="G8" s="19">
        <f>'DOE25'!J205+'DOE25'!J223+'DOE25'!J241</f>
        <v>1423.75</v>
      </c>
      <c r="H8" s="19">
        <f>'DOE25'!K205+'DOE25'!K223+'DOE25'!K241</f>
        <v>16771.739999999998</v>
      </c>
      <c r="I8" s="192"/>
    </row>
    <row r="9" spans="1:9" ht="14.25" x14ac:dyDescent="0.2">
      <c r="A9" s="31">
        <v>2310</v>
      </c>
      <c r="B9" s="71" t="s">
        <v>887</v>
      </c>
      <c r="C9" s="206">
        <f t="shared" si="0"/>
        <v>53716.45</v>
      </c>
      <c r="D9" s="181">
        <v>53716.45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447856.93</v>
      </c>
      <c r="D12" s="19">
        <f>'DOE25'!L206+'DOE25'!L224+'DOE25'!L242-F12-G12-H12</f>
        <v>443392.77</v>
      </c>
      <c r="E12" s="180"/>
      <c r="F12" s="181"/>
      <c r="G12" s="19">
        <f>'DOE25'!J206+'DOE25'!J224+'DOE25'!J242</f>
        <v>900.98</v>
      </c>
      <c r="H12" s="19">
        <f>'DOE25'!K206+'DOE25'!K224+'DOE25'!K242</f>
        <v>3563.18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453867.59000000008</v>
      </c>
      <c r="D14" s="19">
        <f>'DOE25'!L208+'DOE25'!L226+'DOE25'!L244-F14-G14-H14</f>
        <v>414755.35000000009</v>
      </c>
      <c r="E14" s="180"/>
      <c r="F14" s="181"/>
      <c r="G14" s="19">
        <f>'DOE25'!J208+'DOE25'!J226+'DOE25'!J244</f>
        <v>5077.96</v>
      </c>
      <c r="H14" s="19">
        <f>'DOE25'!K208+'DOE25'!K226+'DOE25'!K244</f>
        <v>34034.28</v>
      </c>
      <c r="I14" s="192"/>
    </row>
    <row r="15" spans="1:9" x14ac:dyDescent="0.2">
      <c r="A15" s="31">
        <v>2700</v>
      </c>
      <c r="B15" t="s">
        <v>799</v>
      </c>
      <c r="C15" s="206">
        <f t="shared" si="0"/>
        <v>756139.34</v>
      </c>
      <c r="D15" s="19">
        <f>'DOE25'!L209+'DOE25'!L227+'DOE25'!L245-F15-G15-H15</f>
        <v>23608.089999999967</v>
      </c>
      <c r="E15" s="180"/>
      <c r="F15" s="181">
        <f>356944.67+119310.28+119456.3+136820</f>
        <v>732531.25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47928</v>
      </c>
      <c r="D22" s="180"/>
      <c r="E22" s="180"/>
      <c r="F22" s="180"/>
      <c r="G22" s="19">
        <f>'DOE25'!L256+'DOE25'!L337</f>
        <v>47928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135170.36000000002</v>
      </c>
      <c r="D29" s="212">
        <f>'DOE25'!L359+'DOE25'!L360+'DOE25'!L361-'DOE25'!I368-F29-G29-H29-F39</f>
        <v>115337.47</v>
      </c>
      <c r="E29" s="180"/>
      <c r="F29" s="180"/>
      <c r="G29" s="19">
        <f>'DOE25'!J359+'DOE25'!J360+'DOE25'!J361</f>
        <v>16341.54</v>
      </c>
      <c r="H29" s="19">
        <f>'DOE25'!K359+'DOE25'!K360+'DOE25'!K361</f>
        <v>3491.35</v>
      </c>
      <c r="I29" s="192"/>
    </row>
    <row r="30" spans="1:9" x14ac:dyDescent="0.2">
      <c r="A30" s="31"/>
      <c r="C30" s="207"/>
      <c r="D30" s="19"/>
      <c r="F30" s="201"/>
      <c r="G30" s="19"/>
      <c r="H30" s="19"/>
      <c r="I30" s="192"/>
    </row>
    <row r="31" spans="1:9" x14ac:dyDescent="0.2">
      <c r="A31" s="31" t="s">
        <v>817</v>
      </c>
      <c r="B31" t="s">
        <v>816</v>
      </c>
      <c r="C31" s="206">
        <f>SUM(D31:I31)</f>
        <v>431888.87</v>
      </c>
      <c r="D31" s="19">
        <f>'DOE25'!L291+'DOE25'!L310+'DOE25'!L329+'DOE25'!L334+'DOE25'!L335+'DOE25'!L336-F31-G31-H31</f>
        <v>373696.78</v>
      </c>
      <c r="E31" s="180"/>
      <c r="F31" s="181"/>
      <c r="G31" s="19">
        <f>'DOE25'!J291+'DOE25'!J310+'DOE25'!J329+'DOE25'!J334+'DOE25'!J335+'DOE25'!J336</f>
        <v>58192.09</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10463433.84</v>
      </c>
      <c r="E33" s="182">
        <f t="shared" si="1"/>
        <v>645084.70000000019</v>
      </c>
      <c r="F33" s="182">
        <f t="shared" si="1"/>
        <v>793999.76</v>
      </c>
      <c r="G33" s="182">
        <f t="shared" si="1"/>
        <v>186760.52000000002</v>
      </c>
      <c r="H33" s="182">
        <f t="shared" si="1"/>
        <v>87083.5</v>
      </c>
      <c r="I33" s="182">
        <f t="shared" si="1"/>
        <v>0</v>
      </c>
    </row>
    <row r="34" spans="1:9" ht="12" thickBot="1" x14ac:dyDescent="0.25"/>
    <row r="35" spans="1:9" ht="12" thickBot="1" x14ac:dyDescent="0.25">
      <c r="B35" s="188" t="s">
        <v>830</v>
      </c>
      <c r="D35" s="189">
        <f>E33</f>
        <v>645084.70000000019</v>
      </c>
      <c r="E35" s="185"/>
      <c r="F35" s="295" t="s">
        <v>1608</v>
      </c>
      <c r="G35" s="296"/>
      <c r="H35" s="296"/>
      <c r="I35" s="297"/>
    </row>
    <row r="36" spans="1:9" ht="12" thickTop="1" x14ac:dyDescent="0.2">
      <c r="B36" t="s">
        <v>810</v>
      </c>
      <c r="D36" s="19">
        <f>D33</f>
        <v>10463433.84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63198.98</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29" sqref="A2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Fremont</v>
      </c>
      <c r="B2">
        <f>'DOE25'!B2</f>
        <v>189</v>
      </c>
      <c r="J2" s="224" t="s">
        <v>1808</v>
      </c>
      <c r="K2" s="309">
        <f>SUM('DOE25'!L198:L201)+SUM('DOE25'!L216:L219)+SUM('DOE25'!L234:L237)+SUM('DOE25'!L277:L280)+SUM('DOE25'!L296:L299)+SUM('DOE25'!L315:L318)</f>
        <v>8530106.8000000007</v>
      </c>
      <c r="L2" s="309">
        <f>'DOE25'!L203+'DOE25'!L221+'DOE25'!L239+'DOE25'!L282+'DOE25'!L301+'DOE25'!L320</f>
        <v>794226.91</v>
      </c>
      <c r="M2" s="309">
        <f>'DOE25'!L204+'DOE25'!L222+'DOE25'!L240+'DOE25'!L283+'DOE25'!L302+'DOE25'!L321</f>
        <v>222207.36999999997</v>
      </c>
      <c r="N2" s="309">
        <f>'DOE25'!L206+'DOE25'!L224+'DOE25'!L242+'DOE25'!L285+'DOE25'!L304+'DOE25'!L323</f>
        <v>447856.93</v>
      </c>
      <c r="O2" s="309">
        <f>'Salaries-Benefits'!B10+'Salaries-Benefits'!B12+'Salaries-Benefits'!B19+'Salaries-Benefits'!B21+'Salaries-Benefits'!B28+'Salaries-Benefits'!B30+'Salaries-Benefits'!B37+'Salaries-Benefits'!B39</f>
        <v>2229651.7400000002</v>
      </c>
      <c r="P2" s="309">
        <f>'Salaries-Benefits'!B11+'Salaries-Benefits'!B20+'Salaries-Benefits'!B29+'Salaries-Benefits'!B38</f>
        <v>324362.92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-8530106.8000000007</v>
      </c>
      <c r="L3" s="311">
        <f t="shared" ref="L3:P3" si="0">L21+L33+L43-L2</f>
        <v>-794226.91</v>
      </c>
      <c r="M3" s="311">
        <f t="shared" si="0"/>
        <v>-222207.36999999997</v>
      </c>
      <c r="N3" s="311">
        <f t="shared" si="0"/>
        <v>-447856.93</v>
      </c>
      <c r="O3" s="311">
        <f t="shared" si="0"/>
        <v>-2229651.7400000002</v>
      </c>
      <c r="P3" s="311">
        <f t="shared" si="0"/>
        <v>-324362.92</v>
      </c>
      <c r="Q3" s="310"/>
      <c r="R3" s="306"/>
      <c r="S3" s="215"/>
      <c r="T3" s="215"/>
      <c r="U3" s="216"/>
    </row>
    <row r="4" spans="1:21" ht="55.5" customHeight="1" thickBot="1" x14ac:dyDescent="0.25">
      <c r="A4" s="224" t="s">
        <v>1522</v>
      </c>
      <c r="B4" s="224" t="s">
        <v>1523</v>
      </c>
      <c r="C4" s="224" t="s">
        <v>896</v>
      </c>
      <c r="D4" s="224" t="s">
        <v>786</v>
      </c>
      <c r="E4" s="224" t="s">
        <v>786</v>
      </c>
      <c r="F4" s="228">
        <f>SUM(F5:F20)</f>
        <v>7766159.4000000004</v>
      </c>
      <c r="G4" s="229">
        <f>'DOE25'!L212+'DOE25'!L291</f>
        <v>7766159.4000000004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Ellis School</v>
      </c>
      <c r="B6" s="230">
        <f>IFERROR(VLOOKUP(A6,'School Tables'!$C$3:$D$365,2,FALSE),"")</f>
        <v>20525</v>
      </c>
      <c r="C6" s="223" t="str">
        <f>IFERROR(INDEX('School Tables'!$B$3:$B$365,MATCH('School Level Expenditures'!B6,'School Tables'!$D$3:$D$365,0)),"")</f>
        <v>Fremont</v>
      </c>
      <c r="D6" s="220">
        <v>7334270.5300000003</v>
      </c>
      <c r="E6" s="220">
        <v>431888.87</v>
      </c>
      <c r="F6" s="232">
        <f t="shared" ref="F6:F20" si="1">D6+E6</f>
        <v>7766159.4000000004</v>
      </c>
      <c r="G6" s="223"/>
      <c r="H6" s="223"/>
      <c r="J6" t="str">
        <f>A6</f>
        <v>Ellis School</v>
      </c>
      <c r="K6" s="18"/>
      <c r="L6" s="18"/>
      <c r="M6" s="1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7334270.5300000003</v>
      </c>
      <c r="E21" s="262">
        <f>SUM(E5:E20)</f>
        <v>431888.87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4227104.5599999996</v>
      </c>
      <c r="G36" s="229">
        <f>'DOE25'!L248+'DOE25'!L329</f>
        <v>4227104.5600000005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4227104.5599999996</v>
      </c>
      <c r="E37" s="220"/>
      <c r="F37" s="232">
        <f t="shared" ref="F37:F42" si="7">D37+E37</f>
        <v>4227104.5599999996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4227104.5599999996</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Fremont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565110.59</v>
      </c>
      <c r="D8" s="73">
        <f>'DOE25'!G9</f>
        <v>0</v>
      </c>
      <c r="E8" s="73">
        <f>'DOE25'!H9</f>
        <v>0</v>
      </c>
      <c r="F8" s="73">
        <f>'DOE25'!I9</f>
        <v>0</v>
      </c>
      <c r="G8" s="73">
        <f>'DOE25'!J9</f>
        <v>923811.68</v>
      </c>
      <c r="H8" s="13">
        <f>SUM(C8:G8)</f>
        <v>1488922.27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238.59</v>
      </c>
      <c r="D11" s="73">
        <f>'DOE25'!G12</f>
        <v>0</v>
      </c>
      <c r="E11" s="73">
        <f>'DOE25'!H12</f>
        <v>0</v>
      </c>
      <c r="F11" s="73">
        <f>'DOE25'!I12</f>
        <v>0</v>
      </c>
      <c r="G11" s="73">
        <f>'DOE25'!J12</f>
        <v>0</v>
      </c>
      <c r="H11" s="13">
        <f t="shared" si="0"/>
        <v>238.59</v>
      </c>
      <c r="I11" s="90"/>
    </row>
    <row r="12" spans="1:9" x14ac:dyDescent="0.2">
      <c r="A12" s="1" t="s">
        <v>143</v>
      </c>
      <c r="B12" s="6">
        <v>140</v>
      </c>
      <c r="C12" s="73">
        <f>'DOE25'!F13</f>
        <v>108.78</v>
      </c>
      <c r="D12" s="73">
        <f>'DOE25'!G13</f>
        <v>12517.56</v>
      </c>
      <c r="E12" s="73">
        <f>'DOE25'!H13</f>
        <v>42596.84</v>
      </c>
      <c r="F12" s="73">
        <f>'DOE25'!I13</f>
        <v>0</v>
      </c>
      <c r="G12" s="73">
        <f>'DOE25'!J13</f>
        <v>0</v>
      </c>
      <c r="H12" s="13">
        <f t="shared" si="0"/>
        <v>55223.179999999993</v>
      </c>
      <c r="I12" s="90"/>
    </row>
    <row r="13" spans="1:9" x14ac:dyDescent="0.2">
      <c r="A13" s="1" t="s">
        <v>144</v>
      </c>
      <c r="B13" s="6">
        <v>150</v>
      </c>
      <c r="C13" s="73">
        <f>'DOE25'!F14</f>
        <v>0</v>
      </c>
      <c r="D13" s="73">
        <f>'DOE25'!G14</f>
        <v>1270.42</v>
      </c>
      <c r="E13" s="73">
        <f>'DOE25'!H14</f>
        <v>0</v>
      </c>
      <c r="F13" s="73">
        <f>'DOE25'!I14</f>
        <v>0</v>
      </c>
      <c r="G13" s="73">
        <f>'DOE25'!J14</f>
        <v>0</v>
      </c>
      <c r="H13" s="13">
        <f t="shared" si="0"/>
        <v>1270.42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7582.45</v>
      </c>
      <c r="E15" s="73">
        <f>'DOE25'!H16</f>
        <v>0</v>
      </c>
      <c r="F15" s="73">
        <f>'DOE25'!I16</f>
        <v>0</v>
      </c>
      <c r="G15" s="23" t="s">
        <v>288</v>
      </c>
      <c r="H15" s="13">
        <f t="shared" si="0"/>
        <v>7582.45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565457.96</v>
      </c>
      <c r="D18" s="38">
        <f>SUM(D8:D17)</f>
        <v>21370.43</v>
      </c>
      <c r="E18" s="38">
        <f>SUM(E8:E17)</f>
        <v>42596.84</v>
      </c>
      <c r="F18" s="38">
        <f>SUM(F8:F17)</f>
        <v>0</v>
      </c>
      <c r="G18" s="38">
        <f>SUM(G8:G17)</f>
        <v>923811.68</v>
      </c>
      <c r="H18" s="38">
        <f t="shared" si="0"/>
        <v>1553236.9100000001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-3950.9599999999919</v>
      </c>
      <c r="D21" s="73">
        <f>'DOE25'!G22</f>
        <v>-39867.19</v>
      </c>
      <c r="E21" s="73">
        <f>'DOE25'!H22</f>
        <v>42596.840000000004</v>
      </c>
      <c r="F21" s="73">
        <f>'DOE25'!I22</f>
        <v>0</v>
      </c>
      <c r="G21" s="73">
        <f>'DOE25'!J22</f>
        <v>0</v>
      </c>
      <c r="H21" s="13">
        <f t="shared" ref="H21:H31" si="1">SUM(C21:G21)</f>
        <v>-1221.3099999999904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92750.62999999999</v>
      </c>
      <c r="D23" s="73">
        <f>'DOE25'!G24</f>
        <v>0</v>
      </c>
      <c r="E23" s="73">
        <f>'DOE25'!H24</f>
        <v>0</v>
      </c>
      <c r="F23" s="73">
        <f>'DOE25'!I24</f>
        <v>0</v>
      </c>
      <c r="G23" s="73">
        <f>'DOE25'!J24</f>
        <v>0</v>
      </c>
      <c r="H23" s="13">
        <f t="shared" si="1"/>
        <v>92750.62999999999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3783.34</v>
      </c>
      <c r="E29" s="73">
        <f>'DOE25'!H30</f>
        <v>0</v>
      </c>
      <c r="F29" s="73">
        <f>'DOE25'!I30</f>
        <v>0</v>
      </c>
      <c r="G29" s="23" t="s">
        <v>288</v>
      </c>
      <c r="H29" s="13">
        <f t="shared" si="1"/>
        <v>3783.34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88799.67</v>
      </c>
      <c r="D31" s="38">
        <f>SUM(D21:D30)</f>
        <v>-36083.850000000006</v>
      </c>
      <c r="E31" s="38">
        <f>SUM(E21:E30)</f>
        <v>42596.840000000004</v>
      </c>
      <c r="F31" s="38">
        <f>SUM(F21:F30)</f>
        <v>0</v>
      </c>
      <c r="G31" s="38">
        <f>SUM(G21:G30)</f>
        <v>0</v>
      </c>
      <c r="H31" s="38">
        <f t="shared" si="1"/>
        <v>95312.66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7582.45</v>
      </c>
      <c r="E34" s="73">
        <f>'DOE25'!H35</f>
        <v>0</v>
      </c>
      <c r="F34" s="73">
        <f>'DOE25'!I35</f>
        <v>0</v>
      </c>
      <c r="G34" s="23" t="s">
        <v>288</v>
      </c>
      <c r="H34" s="13">
        <f t="shared" ref="H34:H51" si="2">SUM(C34:G34)</f>
        <v>7582.45</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400</v>
      </c>
      <c r="E39" s="23" t="s">
        <v>288</v>
      </c>
      <c r="F39" s="23" t="s">
        <v>288</v>
      </c>
      <c r="G39" s="23" t="s">
        <v>288</v>
      </c>
      <c r="H39" s="13">
        <f t="shared" si="2"/>
        <v>400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49471.83</v>
      </c>
      <c r="E42" s="73">
        <f>'DOE25'!H43</f>
        <v>0</v>
      </c>
      <c r="F42" s="73">
        <f>'DOE25'!I43</f>
        <v>0</v>
      </c>
      <c r="G42" s="73">
        <f>'DOE25'!J43</f>
        <v>0</v>
      </c>
      <c r="H42" s="13">
        <f t="shared" si="2"/>
        <v>49471.83</v>
      </c>
      <c r="I42" s="90"/>
    </row>
    <row r="43" spans="1:9" x14ac:dyDescent="0.2">
      <c r="A43" s="1" t="s">
        <v>862</v>
      </c>
      <c r="B43" s="6">
        <v>755</v>
      </c>
      <c r="C43" s="73">
        <f>'DOE25'!F44</f>
        <v>50000</v>
      </c>
      <c r="D43" s="73">
        <f>'DOE25'!G44</f>
        <v>0</v>
      </c>
      <c r="E43" s="73">
        <f>'DOE25'!H44</f>
        <v>0</v>
      </c>
      <c r="F43" s="73">
        <f>'DOE25'!I44</f>
        <v>0</v>
      </c>
      <c r="G43" s="23" t="s">
        <v>288</v>
      </c>
      <c r="H43" s="13">
        <f t="shared" si="2"/>
        <v>50000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923811.68</v>
      </c>
      <c r="H47" s="13">
        <f t="shared" si="2"/>
        <v>923811.68</v>
      </c>
      <c r="I47" s="90"/>
    </row>
    <row r="48" spans="1:9" x14ac:dyDescent="0.2">
      <c r="A48" s="1" t="s">
        <v>881</v>
      </c>
      <c r="B48" s="6">
        <v>753</v>
      </c>
      <c r="C48" s="73">
        <f>'DOE25'!F49</f>
        <v>89881.1</v>
      </c>
      <c r="D48" s="73">
        <f>'DOE25'!G49</f>
        <v>0</v>
      </c>
      <c r="E48" s="73">
        <f>'DOE25'!H49</f>
        <v>0</v>
      </c>
      <c r="F48" s="73">
        <f>'DOE25'!I49</f>
        <v>0</v>
      </c>
      <c r="G48" s="73">
        <f>'DOE25'!J49</f>
        <v>0</v>
      </c>
      <c r="H48" s="13">
        <f t="shared" si="2"/>
        <v>89881.1</v>
      </c>
      <c r="I48" s="90"/>
    </row>
    <row r="49" spans="1:9" ht="12" thickBot="1" x14ac:dyDescent="0.25">
      <c r="A49" s="28" t="s">
        <v>882</v>
      </c>
      <c r="B49" s="56">
        <v>770</v>
      </c>
      <c r="C49" s="73">
        <f>'DOE25'!F50</f>
        <v>336777.19</v>
      </c>
      <c r="D49" s="23" t="s">
        <v>288</v>
      </c>
      <c r="E49" s="23" t="s">
        <v>288</v>
      </c>
      <c r="F49" s="23" t="s">
        <v>288</v>
      </c>
      <c r="G49" s="23" t="s">
        <v>288</v>
      </c>
      <c r="H49" s="13">
        <f t="shared" si="2"/>
        <v>336777.19</v>
      </c>
      <c r="I49" s="90"/>
    </row>
    <row r="50" spans="1:9" ht="12.75" thickTop="1" thickBot="1" x14ac:dyDescent="0.25">
      <c r="A50" s="35" t="s">
        <v>883</v>
      </c>
      <c r="B50" s="44"/>
      <c r="C50" s="38">
        <f>SUM(C34:C49)</f>
        <v>476658.29000000004</v>
      </c>
      <c r="D50" s="38">
        <f>SUM(D34:D49)</f>
        <v>57454.28</v>
      </c>
      <c r="E50" s="38">
        <f>SUM(E34:E49)</f>
        <v>0</v>
      </c>
      <c r="F50" s="38">
        <f>SUM(F34:F49)</f>
        <v>0</v>
      </c>
      <c r="G50" s="38">
        <f>SUM(G34:G49)</f>
        <v>923811.68</v>
      </c>
      <c r="H50" s="38">
        <f t="shared" si="2"/>
        <v>1457924.25</v>
      </c>
      <c r="I50" s="90"/>
    </row>
    <row r="51" spans="1:9" ht="12" thickTop="1" x14ac:dyDescent="0.2">
      <c r="A51" s="35" t="s">
        <v>884</v>
      </c>
      <c r="B51" s="2"/>
      <c r="C51" s="38">
        <f>C50+C31</f>
        <v>565457.96000000008</v>
      </c>
      <c r="D51" s="38">
        <f>D50+D31</f>
        <v>21370.429999999993</v>
      </c>
      <c r="E51" s="38">
        <f>E50+E31</f>
        <v>42596.840000000004</v>
      </c>
      <c r="F51" s="38">
        <f>F50+F31</f>
        <v>0</v>
      </c>
      <c r="G51" s="38">
        <f>G50+G31</f>
        <v>923811.68</v>
      </c>
      <c r="H51" s="38">
        <f t="shared" si="2"/>
        <v>1553236.9100000001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9230837</v>
      </c>
      <c r="D56" s="73">
        <f>'DOE25'!G60</f>
        <v>0</v>
      </c>
      <c r="E56" s="73">
        <f>'DOE25'!H60</f>
        <v>0</v>
      </c>
      <c r="F56" s="73">
        <f>'DOE25'!I60</f>
        <v>0</v>
      </c>
      <c r="G56" s="73">
        <f>'DOE25'!J60</f>
        <v>0</v>
      </c>
      <c r="H56" s="13">
        <f t="shared" ref="H56:H63" si="3">SUM(C56:G56)</f>
        <v>9230837</v>
      </c>
      <c r="I56"/>
    </row>
    <row r="57" spans="1:9" x14ac:dyDescent="0.2">
      <c r="A57" s="1" t="s">
        <v>164</v>
      </c>
      <c r="B57" s="6" t="s">
        <v>165</v>
      </c>
      <c r="C57" s="73">
        <f>'DOE25'!F79</f>
        <v>7329.96</v>
      </c>
      <c r="D57" s="23" t="s">
        <v>288</v>
      </c>
      <c r="E57" s="73">
        <f>'DOE25'!H79</f>
        <v>0</v>
      </c>
      <c r="F57" s="23" t="s">
        <v>288</v>
      </c>
      <c r="G57" s="23" t="s">
        <v>288</v>
      </c>
      <c r="H57" s="13">
        <f t="shared" si="3"/>
        <v>7329.96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31088.65</v>
      </c>
      <c r="D59" s="73">
        <f>'DOE25'!G96</f>
        <v>0</v>
      </c>
      <c r="E59" s="73">
        <f>'DOE25'!H96</f>
        <v>0</v>
      </c>
      <c r="F59" s="73">
        <f>'DOE25'!I96</f>
        <v>0</v>
      </c>
      <c r="G59" s="73">
        <f>'DOE25'!J96</f>
        <v>18273.63</v>
      </c>
      <c r="H59" s="13">
        <f t="shared" si="3"/>
        <v>49362.28</v>
      </c>
      <c r="I59"/>
    </row>
    <row r="60" spans="1:9" x14ac:dyDescent="0.2">
      <c r="A60" s="1" t="s">
        <v>170</v>
      </c>
      <c r="B60" s="22" t="s">
        <v>171</v>
      </c>
      <c r="C60" s="23" t="s">
        <v>288</v>
      </c>
      <c r="D60" s="73">
        <f>'DOE25'!G97</f>
        <v>118720.13</v>
      </c>
      <c r="E60" s="23" t="s">
        <v>288</v>
      </c>
      <c r="F60" s="23" t="s">
        <v>288</v>
      </c>
      <c r="G60" s="23" t="s">
        <v>288</v>
      </c>
      <c r="H60" s="13">
        <f t="shared" si="3"/>
        <v>118720.13</v>
      </c>
      <c r="I60"/>
    </row>
    <row r="61" spans="1:9" ht="12" thickBot="1" x14ac:dyDescent="0.25">
      <c r="A61" s="1" t="s">
        <v>172</v>
      </c>
      <c r="B61" s="22" t="s">
        <v>173</v>
      </c>
      <c r="C61" s="73">
        <f>SUM('DOE25'!F98:F110)</f>
        <v>4629.84</v>
      </c>
      <c r="D61" s="73">
        <f>SUM('DOE25'!G98:G110)</f>
        <v>0</v>
      </c>
      <c r="E61" s="73">
        <f>SUM('DOE25'!H98:H110)</f>
        <v>0</v>
      </c>
      <c r="F61" s="73">
        <f>SUM('DOE25'!I98:I110)</f>
        <v>0</v>
      </c>
      <c r="G61" s="73">
        <f>SUM('DOE25'!J98:J110)</f>
        <v>0</v>
      </c>
      <c r="H61" s="13">
        <f t="shared" si="3"/>
        <v>4629.84</v>
      </c>
      <c r="I61"/>
    </row>
    <row r="62" spans="1:9" ht="12.75" thickTop="1" thickBot="1" x14ac:dyDescent="0.25">
      <c r="A62" s="28" t="s">
        <v>174</v>
      </c>
      <c r="B62" s="6"/>
      <c r="C62" s="93">
        <f>SUM(C57:C61)</f>
        <v>43048.45</v>
      </c>
      <c r="D62" s="93">
        <f>SUM(D57:D61)</f>
        <v>118720.13</v>
      </c>
      <c r="E62" s="93">
        <f>SUM(E57:E61)</f>
        <v>0</v>
      </c>
      <c r="F62" s="93">
        <f>SUM(F57:F61)</f>
        <v>0</v>
      </c>
      <c r="G62" s="93">
        <f>SUM(G57:G61)</f>
        <v>18273.63</v>
      </c>
      <c r="H62" s="13">
        <f t="shared" si="3"/>
        <v>180042.21000000002</v>
      </c>
      <c r="I62"/>
    </row>
    <row r="63" spans="1:9" ht="12" thickTop="1" x14ac:dyDescent="0.2">
      <c r="A63" s="28" t="s">
        <v>175</v>
      </c>
      <c r="B63" s="6"/>
      <c r="C63" s="21">
        <f>C56+C62</f>
        <v>9273885.4499999993</v>
      </c>
      <c r="D63" s="21">
        <f>D56+D62</f>
        <v>118720.13</v>
      </c>
      <c r="E63" s="21">
        <f>E56+E62</f>
        <v>0</v>
      </c>
      <c r="F63" s="21">
        <f>F56+F62</f>
        <v>0</v>
      </c>
      <c r="G63" s="21">
        <f>G56+G62</f>
        <v>18273.63</v>
      </c>
      <c r="H63" s="13">
        <f t="shared" si="3"/>
        <v>9410879.2100000009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1719154.9</v>
      </c>
      <c r="D66" s="23" t="s">
        <v>288</v>
      </c>
      <c r="E66" s="23" t="s">
        <v>288</v>
      </c>
      <c r="F66" s="23" t="s">
        <v>288</v>
      </c>
      <c r="G66" s="23" t="s">
        <v>288</v>
      </c>
      <c r="H66" s="13">
        <f t="shared" ref="H66:H81" si="4">SUM(C66:G66)</f>
        <v>1719154.9</v>
      </c>
      <c r="I66"/>
    </row>
    <row r="67" spans="1:9" x14ac:dyDescent="0.2">
      <c r="A67" s="1" t="s">
        <v>770</v>
      </c>
      <c r="B67" s="6">
        <v>3112</v>
      </c>
      <c r="C67" s="73">
        <f>'DOE25'!F118</f>
        <v>710509</v>
      </c>
      <c r="D67" s="23"/>
      <c r="E67" s="23"/>
      <c r="F67" s="23"/>
      <c r="G67" s="23"/>
      <c r="H67" s="13">
        <f t="shared" si="4"/>
        <v>710509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45730.62</v>
      </c>
      <c r="D69" s="73">
        <f>'DOE25'!G120</f>
        <v>0</v>
      </c>
      <c r="E69" s="73">
        <f>'DOE25'!H120</f>
        <v>0</v>
      </c>
      <c r="F69" s="73">
        <f>'DOE25'!I120</f>
        <v>0</v>
      </c>
      <c r="G69" s="73">
        <f>'DOE25'!J120</f>
        <v>0</v>
      </c>
      <c r="H69" s="13">
        <f t="shared" si="4"/>
        <v>45730.62</v>
      </c>
      <c r="I69"/>
    </row>
    <row r="70" spans="1:9" ht="12" thickTop="1" x14ac:dyDescent="0.2">
      <c r="A70" s="28" t="s">
        <v>252</v>
      </c>
      <c r="B70" s="2"/>
      <c r="C70" s="97">
        <f>SUM(C66:C69)</f>
        <v>2475394.52</v>
      </c>
      <c r="D70" s="97">
        <f>D69</f>
        <v>0</v>
      </c>
      <c r="E70" s="97">
        <f>E69</f>
        <v>0</v>
      </c>
      <c r="F70" s="97">
        <f>F69</f>
        <v>0</v>
      </c>
      <c r="G70" s="97">
        <f>G69</f>
        <v>0</v>
      </c>
      <c r="H70" s="13">
        <f t="shared" si="4"/>
        <v>2475394.52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92061.24</v>
      </c>
      <c r="D75" s="23" t="s">
        <v>288</v>
      </c>
      <c r="E75" s="23" t="s">
        <v>288</v>
      </c>
      <c r="F75" s="23" t="s">
        <v>288</v>
      </c>
      <c r="G75" s="23" t="s">
        <v>288</v>
      </c>
      <c r="H75" s="13">
        <f t="shared" si="4"/>
        <v>92061.24</v>
      </c>
      <c r="I75"/>
    </row>
    <row r="76" spans="1:9" x14ac:dyDescent="0.2">
      <c r="A76" s="1" t="s">
        <v>257</v>
      </c>
      <c r="B76" s="6" t="s">
        <v>179</v>
      </c>
      <c r="C76" s="73">
        <f>SUM('DOE25'!F127:F130)</f>
        <v>0</v>
      </c>
      <c r="D76" s="23" t="s">
        <v>288</v>
      </c>
      <c r="E76" s="73">
        <f>SUM('DOE25'!H127:H130)</f>
        <v>2050</v>
      </c>
      <c r="F76" s="73">
        <f>SUM('DOE25'!I127:I130)</f>
        <v>0</v>
      </c>
      <c r="G76" s="23" t="s">
        <v>288</v>
      </c>
      <c r="H76" s="13">
        <f t="shared" si="4"/>
        <v>2050</v>
      </c>
      <c r="I76"/>
    </row>
    <row r="77" spans="1:9" ht="12" thickBot="1" x14ac:dyDescent="0.25">
      <c r="A77" s="1" t="s">
        <v>258</v>
      </c>
      <c r="B77" s="6" t="s">
        <v>180</v>
      </c>
      <c r="C77" s="73">
        <f>SUM('DOE25'!F131:F135)</f>
        <v>0</v>
      </c>
      <c r="D77" s="73">
        <f>SUM('DOE25'!G131:G135)</f>
        <v>2758.1</v>
      </c>
      <c r="E77" s="73">
        <f>SUM('DOE25'!H131:H135)</f>
        <v>3925</v>
      </c>
      <c r="F77" s="73">
        <f>SUM('DOE25'!I131:I135)</f>
        <v>0</v>
      </c>
      <c r="G77" s="73">
        <f>SUM('DOE25'!J131:J135)</f>
        <v>0</v>
      </c>
      <c r="H77" s="13">
        <f t="shared" si="4"/>
        <v>6683.1</v>
      </c>
      <c r="I77"/>
    </row>
    <row r="78" spans="1:9" ht="12.75" thickTop="1" thickBot="1" x14ac:dyDescent="0.25">
      <c r="A78" s="28" t="s">
        <v>259</v>
      </c>
      <c r="B78" s="6"/>
      <c r="C78" s="93">
        <f>SUM(C72:C77)</f>
        <v>92061.24</v>
      </c>
      <c r="D78" s="93">
        <f>SUM(D72:D77)</f>
        <v>2758.1</v>
      </c>
      <c r="E78" s="93">
        <f>SUM(E72:E77)</f>
        <v>5975</v>
      </c>
      <c r="F78" s="93">
        <f>SUM(F72:F77)</f>
        <v>0</v>
      </c>
      <c r="G78" s="93">
        <f>SUM(G72:G77)</f>
        <v>0</v>
      </c>
      <c r="H78" s="13">
        <f t="shared" si="4"/>
        <v>100794.34000000001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2567455.7600000002</v>
      </c>
      <c r="D81" s="93">
        <f>SUM(D79:D80)+D78+D70</f>
        <v>2758.1</v>
      </c>
      <c r="E81" s="93">
        <f>SUM(E79:E80)+E78+E70</f>
        <v>5975</v>
      </c>
      <c r="F81" s="93">
        <f>SUM(F79:F80)+F78+F70</f>
        <v>0</v>
      </c>
      <c r="G81" s="93">
        <f>SUM(G79:G80)+G78+G70</f>
        <v>0</v>
      </c>
      <c r="H81" s="93">
        <f t="shared" si="4"/>
        <v>2576188.8600000003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8997.93</v>
      </c>
      <c r="F87" s="73">
        <f>SUM('DOE25'!I149:I152)</f>
        <v>0</v>
      </c>
      <c r="G87" s="23" t="s">
        <v>288</v>
      </c>
      <c r="H87" s="13">
        <f t="shared" si="5"/>
        <v>8997.93</v>
      </c>
    </row>
    <row r="88" spans="1:9" x14ac:dyDescent="0.2">
      <c r="A88" s="217" t="s">
        <v>747</v>
      </c>
      <c r="B88" s="231" t="s">
        <v>184</v>
      </c>
      <c r="C88" s="253">
        <f>SUM('DOE25'!F153:F162)</f>
        <v>19825</v>
      </c>
      <c r="D88" s="253">
        <f>SUM('DOE25'!G153:G162)</f>
        <v>71277.69</v>
      </c>
      <c r="E88" s="253">
        <f>SUM('DOE25'!H153:H162)</f>
        <v>464843.94</v>
      </c>
      <c r="F88" s="253">
        <f>SUM('DOE25'!I153:I162)</f>
        <v>0</v>
      </c>
      <c r="G88" s="23" t="s">
        <v>288</v>
      </c>
      <c r="H88" s="13">
        <f t="shared" si="5"/>
        <v>555946.63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19825</v>
      </c>
      <c r="D91" s="94">
        <f>SUM(D85:D90)</f>
        <v>71277.69</v>
      </c>
      <c r="E91" s="94">
        <f>SUM(E85:E90)</f>
        <v>473841.87</v>
      </c>
      <c r="F91" s="94">
        <f>SUM(F85:F90)</f>
        <v>0</v>
      </c>
      <c r="G91" s="23" t="s">
        <v>288</v>
      </c>
      <c r="H91" s="13">
        <f t="shared" si="5"/>
        <v>564944.56000000006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250000</v>
      </c>
      <c r="H96" s="13">
        <f t="shared" si="5"/>
        <v>250000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250000</v>
      </c>
      <c r="H103" s="68">
        <f t="shared" si="5"/>
        <v>250000</v>
      </c>
    </row>
    <row r="104" spans="1:8" ht="12.75" thickTop="1" thickBot="1" x14ac:dyDescent="0.25">
      <c r="A104" s="32" t="s">
        <v>761</v>
      </c>
      <c r="C104" s="68">
        <f>C63+C81+C91+C103</f>
        <v>11861166.209999999</v>
      </c>
      <c r="D104" s="68">
        <f>D63+D81+D91+D103</f>
        <v>192755.92</v>
      </c>
      <c r="E104" s="68">
        <f>E63+E81+E91+E103</f>
        <v>479816.87</v>
      </c>
      <c r="F104" s="68">
        <f>F63+F81+F91+F103</f>
        <v>0</v>
      </c>
      <c r="G104" s="68">
        <f>G63+G81+G103</f>
        <v>268273.63</v>
      </c>
      <c r="H104" s="68">
        <f t="shared" si="5"/>
        <v>12802012.629999999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6122943.9900000002</v>
      </c>
      <c r="D109" s="23" t="s">
        <v>288</v>
      </c>
      <c r="E109" s="73">
        <f>('DOE25'!L277)+('DOE25'!L296)+('DOE25'!L315)</f>
        <v>103890.84</v>
      </c>
      <c r="F109" s="23" t="s">
        <v>288</v>
      </c>
      <c r="G109" s="23" t="s">
        <v>288</v>
      </c>
      <c r="H109" s="13">
        <f t="shared" ref="H109:H115" si="6">SUM(C109:G109)</f>
        <v>6226834.8300000001</v>
      </c>
    </row>
    <row r="110" spans="1:8" x14ac:dyDescent="0.2">
      <c r="A110" t="s">
        <v>198</v>
      </c>
      <c r="B110" s="31" t="s">
        <v>199</v>
      </c>
      <c r="C110" s="73">
        <f>('DOE25'!L199)+('DOE25'!L217)+('DOE25'!L235)</f>
        <v>2060187.69</v>
      </c>
      <c r="D110" s="23" t="s">
        <v>288</v>
      </c>
      <c r="E110" s="73">
        <f>('DOE25'!L278)+('DOE25'!L297)+('DOE25'!L316)</f>
        <v>130004.94999999998</v>
      </c>
      <c r="F110" s="23" t="s">
        <v>288</v>
      </c>
      <c r="G110" s="23" t="s">
        <v>288</v>
      </c>
      <c r="H110" s="13">
        <f t="shared" si="6"/>
        <v>2190192.6400000001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67458.11</v>
      </c>
      <c r="D112" s="23" t="s">
        <v>288</v>
      </c>
      <c r="E112" s="73">
        <f>+('DOE25'!L280)+('DOE25'!L299)+('DOE25'!L318)</f>
        <v>45621.22</v>
      </c>
      <c r="F112" s="23" t="s">
        <v>288</v>
      </c>
      <c r="G112" s="23" t="s">
        <v>288</v>
      </c>
      <c r="H112" s="13">
        <f t="shared" si="6"/>
        <v>113079.33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8250589.79</v>
      </c>
      <c r="D115" s="68">
        <f>SUM(D109:D114)</f>
        <v>0</v>
      </c>
      <c r="E115" s="68">
        <f>SUM(E109:E114)</f>
        <v>279517.01</v>
      </c>
      <c r="F115" s="68">
        <f>SUM(F109:F114)</f>
        <v>0</v>
      </c>
      <c r="G115" s="68">
        <f>SUM(G109:G114)</f>
        <v>0</v>
      </c>
      <c r="H115" s="68">
        <f t="shared" si="6"/>
        <v>8530106.8000000007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751686.24</v>
      </c>
      <c r="D118" s="23" t="s">
        <v>288</v>
      </c>
      <c r="E118" s="73">
        <f>+('DOE25'!L282)+('DOE25'!L301)+('DOE25'!L320)</f>
        <v>42540.67</v>
      </c>
      <c r="F118" s="23" t="s">
        <v>288</v>
      </c>
      <c r="G118" s="23" t="s">
        <v>288</v>
      </c>
      <c r="H118" s="13">
        <f t="shared" ref="H118:H145" si="7">SUM(C118:G118)</f>
        <v>794226.91</v>
      </c>
    </row>
    <row r="119" spans="1:8" x14ac:dyDescent="0.2">
      <c r="A119" t="s">
        <v>208</v>
      </c>
      <c r="B119" s="31" t="s">
        <v>209</v>
      </c>
      <c r="C119" s="73">
        <f>('DOE25'!L204)+('DOE25'!L222)+('DOE25'!L240)</f>
        <v>184238.55999999997</v>
      </c>
      <c r="D119" s="23" t="s">
        <v>288</v>
      </c>
      <c r="E119" s="73">
        <f>+('DOE25'!L283)+('DOE25'!L302)+('DOE25'!L321)</f>
        <v>37968.81</v>
      </c>
      <c r="F119" s="23" t="s">
        <v>288</v>
      </c>
      <c r="G119" s="23" t="s">
        <v>288</v>
      </c>
      <c r="H119" s="13">
        <f t="shared" si="7"/>
        <v>222207.36999999997</v>
      </c>
    </row>
    <row r="120" spans="1:8" x14ac:dyDescent="0.2">
      <c r="A120" t="s">
        <v>210</v>
      </c>
      <c r="B120" s="31" t="s">
        <v>211</v>
      </c>
      <c r="C120" s="73">
        <f>('DOE25'!L205)+('DOE25'!L223)+('DOE25'!L241)</f>
        <v>716996.64000000013</v>
      </c>
      <c r="D120" s="23" t="s">
        <v>288</v>
      </c>
      <c r="E120" s="73">
        <f>+('DOE25'!L284)+('DOE25'!L303)+('DOE25'!L322)</f>
        <v>0</v>
      </c>
      <c r="F120" s="23" t="s">
        <v>288</v>
      </c>
      <c r="G120" s="23" t="s">
        <v>288</v>
      </c>
      <c r="H120" s="13">
        <f t="shared" si="7"/>
        <v>716996.64000000013</v>
      </c>
    </row>
    <row r="121" spans="1:8" x14ac:dyDescent="0.2">
      <c r="A121" t="s">
        <v>212</v>
      </c>
      <c r="B121" s="31" t="s">
        <v>213</v>
      </c>
      <c r="C121" s="73">
        <f>('DOE25'!L206)+('DOE25'!L224)+('DOE25'!L242)</f>
        <v>447856.93</v>
      </c>
      <c r="D121" s="23" t="s">
        <v>288</v>
      </c>
      <c r="E121" s="73">
        <f>+('DOE25'!L285)+('DOE25'!L304)+('DOE25'!L323)</f>
        <v>0</v>
      </c>
      <c r="F121" s="23" t="s">
        <v>288</v>
      </c>
      <c r="G121" s="23" t="s">
        <v>288</v>
      </c>
      <c r="H121" s="13">
        <f t="shared" si="7"/>
        <v>447856.93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453867.59000000008</v>
      </c>
      <c r="D123" s="23" t="s">
        <v>288</v>
      </c>
      <c r="E123" s="73">
        <f>+('DOE25'!L287)+('DOE25'!L306)+('DOE25'!L325)</f>
        <v>67304.42</v>
      </c>
      <c r="F123" s="23" t="s">
        <v>288</v>
      </c>
      <c r="G123" s="23" t="s">
        <v>288</v>
      </c>
      <c r="H123" s="13">
        <f t="shared" si="7"/>
        <v>521172.01000000007</v>
      </c>
    </row>
    <row r="124" spans="1:8" x14ac:dyDescent="0.2">
      <c r="A124" t="s">
        <v>218</v>
      </c>
      <c r="B124" s="31" t="s">
        <v>219</v>
      </c>
      <c r="C124" s="73">
        <f>('DOE25'!L209)+('DOE25'!L227)+('DOE25'!L245+'DOE25'!L255)</f>
        <v>756139.34</v>
      </c>
      <c r="D124" s="23" t="s">
        <v>288</v>
      </c>
      <c r="E124" s="73">
        <f>+('DOE25'!L288)+('DOE25'!L307)+('DOE25'!L326)</f>
        <v>4557.96</v>
      </c>
      <c r="F124" s="23" t="s">
        <v>288</v>
      </c>
      <c r="G124" s="23" t="s">
        <v>288</v>
      </c>
      <c r="H124" s="13">
        <f t="shared" si="7"/>
        <v>760697.29999999993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202136.09000000003</v>
      </c>
      <c r="E127" s="23" t="s">
        <v>288</v>
      </c>
      <c r="F127" s="23" t="s">
        <v>288</v>
      </c>
      <c r="G127" s="23" t="s">
        <v>288</v>
      </c>
      <c r="H127" s="13">
        <f t="shared" si="7"/>
        <v>202136.09000000003</v>
      </c>
    </row>
    <row r="128" spans="1:8" ht="12.75" thickTop="1" thickBot="1" x14ac:dyDescent="0.25">
      <c r="A128" s="32" t="s">
        <v>226</v>
      </c>
      <c r="C128" s="68">
        <f>SUM(C118:C127)</f>
        <v>3310785.3</v>
      </c>
      <c r="D128" s="68">
        <f>SUM(D118:D127)</f>
        <v>202136.09000000003</v>
      </c>
      <c r="E128" s="68">
        <f>SUM(E118:E127)</f>
        <v>152371.85999999999</v>
      </c>
      <c r="F128" s="68">
        <f>SUM(F118:F127)</f>
        <v>0</v>
      </c>
      <c r="G128" s="68">
        <f>SUM(G118:G127)</f>
        <v>0</v>
      </c>
      <c r="H128" s="68">
        <f t="shared" si="7"/>
        <v>3665293.2499999995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47928</v>
      </c>
      <c r="F130" s="92">
        <f>SUM('DOE25'!L375:'DOE25'!L381)</f>
        <v>0</v>
      </c>
      <c r="G130" s="23" t="s">
        <v>288</v>
      </c>
      <c r="H130" s="13">
        <f t="shared" si="7"/>
        <v>47928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268044.13</v>
      </c>
      <c r="D139" s="23" t="s">
        <v>288</v>
      </c>
      <c r="E139" s="23" t="s">
        <v>288</v>
      </c>
      <c r="F139" s="23" t="s">
        <v>288</v>
      </c>
      <c r="G139" s="23" t="s">
        <v>288</v>
      </c>
      <c r="H139" s="13">
        <f t="shared" si="7"/>
        <v>268044.13</v>
      </c>
    </row>
    <row r="140" spans="1:8" x14ac:dyDescent="0.2">
      <c r="A140" t="s">
        <v>240</v>
      </c>
      <c r="B140" s="31">
        <v>5253</v>
      </c>
      <c r="C140" s="73">
        <f>'DOE25'!L408</f>
        <v>229.5</v>
      </c>
      <c r="D140" s="23" t="s">
        <v>288</v>
      </c>
      <c r="E140" s="23" t="s">
        <v>288</v>
      </c>
      <c r="F140" s="23" t="s">
        <v>288</v>
      </c>
      <c r="G140" s="23" t="s">
        <v>288</v>
      </c>
      <c r="H140" s="13">
        <f t="shared" si="7"/>
        <v>229.5</v>
      </c>
    </row>
    <row r="141" spans="1:8" x14ac:dyDescent="0.2">
      <c r="A141" t="s">
        <v>762</v>
      </c>
      <c r="B141" s="31">
        <v>5254</v>
      </c>
      <c r="C141" s="73">
        <f>('DOE25'!L267+'DOE25'!K348) - (C138+C139+C140)</f>
        <v>-18273.630000000005</v>
      </c>
      <c r="D141" s="23" t="s">
        <v>288</v>
      </c>
      <c r="E141" s="23" t="s">
        <v>288</v>
      </c>
      <c r="F141" s="23" t="s">
        <v>288</v>
      </c>
      <c r="G141" s="23" t="s">
        <v>288</v>
      </c>
      <c r="H141" s="13">
        <f t="shared" si="7"/>
        <v>-18273.630000000005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250000</v>
      </c>
      <c r="D144" s="98">
        <f>SUM(D130:D143)</f>
        <v>0</v>
      </c>
      <c r="E144" s="98">
        <f>SUM(E130:E143)</f>
        <v>47928</v>
      </c>
      <c r="F144" s="98">
        <f>SUM(F130:F143)</f>
        <v>0</v>
      </c>
      <c r="G144" s="98">
        <f>SUM(G130:G143)</f>
        <v>0</v>
      </c>
      <c r="H144" s="98">
        <f t="shared" si="7"/>
        <v>297928</v>
      </c>
    </row>
    <row r="145" spans="1:9" ht="12.75" thickTop="1" thickBot="1" x14ac:dyDescent="0.25">
      <c r="A145" s="32" t="s">
        <v>244</v>
      </c>
      <c r="C145" s="68">
        <f>(C115+C128+C144)</f>
        <v>11811375.09</v>
      </c>
      <c r="D145" s="68">
        <f>(D115+D128+D144)</f>
        <v>202136.09000000003</v>
      </c>
      <c r="E145" s="68">
        <f>(E115+E128+E144)</f>
        <v>479816.87</v>
      </c>
      <c r="F145" s="68">
        <f>(F115+F128+F144)</f>
        <v>0</v>
      </c>
      <c r="G145" s="68">
        <f>(G115+G128+G144)</f>
        <v>0</v>
      </c>
      <c r="H145" s="68">
        <f t="shared" si="7"/>
        <v>12493328.049999999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4" zoomScaleNormal="100" workbookViewId="0">
      <selection activeCell="F4" sqref="F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Fremont</v>
      </c>
    </row>
    <row r="3" spans="1:4" x14ac:dyDescent="0.2">
      <c r="B3" s="137" t="s">
        <v>1799</v>
      </c>
    </row>
    <row r="4" spans="1:4" x14ac:dyDescent="0.2">
      <c r="B4" t="s">
        <v>61</v>
      </c>
      <c r="C4" s="129">
        <f>IF('DOE25'!F666+'DOE25'!F671=0,0,ROUND('DOE25'!F673,0))</f>
        <v>18639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18656</v>
      </c>
    </row>
    <row r="9" spans="1:4" x14ac:dyDescent="0.2">
      <c r="A9" s="136" t="s">
        <v>94</v>
      </c>
      <c r="B9" s="137" t="s">
        <v>1800</v>
      </c>
      <c r="C9" s="131" t="s">
        <v>720</v>
      </c>
      <c r="D9" s="131" t="s">
        <v>721</v>
      </c>
    </row>
    <row r="10" spans="1:4" x14ac:dyDescent="0.2">
      <c r="A10">
        <v>1100</v>
      </c>
      <c r="B10" t="s">
        <v>702</v>
      </c>
      <c r="C10" s="129">
        <f>ROUND('DOE25'!L198+'DOE25'!L216+'DOE25'!L234+'DOE25'!L277+'DOE25'!L296+'DOE25'!L315,0)</f>
        <v>6226835</v>
      </c>
      <c r="D10" s="132">
        <f>ROUND((C10/$C$28)*100,1)</f>
        <v>51.6</v>
      </c>
    </row>
    <row r="11" spans="1:4" x14ac:dyDescent="0.2">
      <c r="A11">
        <v>1200</v>
      </c>
      <c r="B11" t="s">
        <v>703</v>
      </c>
      <c r="C11" s="129">
        <f>ROUND('DOE25'!L199+'DOE25'!L217+'DOE25'!L235+'DOE25'!L278+'DOE25'!L297+'DOE25'!L316,0)</f>
        <v>2190193</v>
      </c>
      <c r="D11" s="132">
        <f>ROUND((C11/$C$28)*100,1)</f>
        <v>18.100000000000001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113079</v>
      </c>
      <c r="D13" s="132">
        <f>ROUND((C13/$C$28)*100,1)</f>
        <v>0.9</v>
      </c>
    </row>
    <row r="14" spans="1:4" x14ac:dyDescent="0.2">
      <c r="D14" s="132"/>
    </row>
    <row r="15" spans="1:4" x14ac:dyDescent="0.2">
      <c r="A15">
        <v>2100</v>
      </c>
      <c r="B15" t="s">
        <v>706</v>
      </c>
      <c r="C15" s="129">
        <f>ROUND('DOE25'!L203+'DOE25'!L221+'DOE25'!L239+'DOE25'!L282+'DOE25'!L301+'DOE25'!L320,0)</f>
        <v>794227</v>
      </c>
      <c r="D15" s="132">
        <f t="shared" ref="D15:D27" si="0">ROUND((C15/$C$28)*100,1)</f>
        <v>6.6</v>
      </c>
    </row>
    <row r="16" spans="1:4" x14ac:dyDescent="0.2">
      <c r="A16">
        <v>2200</v>
      </c>
      <c r="B16" t="s">
        <v>707</v>
      </c>
      <c r="C16" s="129">
        <f>ROUND('DOE25'!L204+'DOE25'!L222+'DOE25'!L240+'DOE25'!L283+'DOE25'!L302+'DOE25'!L321,0)</f>
        <v>222207</v>
      </c>
      <c r="D16" s="132">
        <f t="shared" si="0"/>
        <v>1.8</v>
      </c>
    </row>
    <row r="17" spans="1:4" x14ac:dyDescent="0.2">
      <c r="A17" s="133" t="s">
        <v>723</v>
      </c>
      <c r="B17" t="s">
        <v>738</v>
      </c>
      <c r="C17" s="129">
        <f>ROUND('DOE25'!L205+'DOE25'!L210+'DOE25'!L223+'DOE25'!L228+'DOE25'!L241+'DOE25'!L246+'DOE25'!L284+'DOE25'!L289+'DOE25'!L303+'DOE25'!L308+'DOE25'!L322+'DOE25'!L327,0)</f>
        <v>716997</v>
      </c>
      <c r="D17" s="132">
        <f t="shared" si="0"/>
        <v>5.9</v>
      </c>
    </row>
    <row r="18" spans="1:4" x14ac:dyDescent="0.2">
      <c r="A18">
        <v>2400</v>
      </c>
      <c r="B18" t="s">
        <v>711</v>
      </c>
      <c r="C18" s="129">
        <f>ROUND('DOE25'!L206+'DOE25'!L224+'DOE25'!L242+'DOE25'!L285+'DOE25'!L304+'DOE25'!L323,0)</f>
        <v>447857</v>
      </c>
      <c r="D18" s="132">
        <f t="shared" si="0"/>
        <v>3.7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521172</v>
      </c>
      <c r="D20" s="132">
        <f t="shared" si="0"/>
        <v>4.3</v>
      </c>
    </row>
    <row r="21" spans="1:4" x14ac:dyDescent="0.2">
      <c r="A21">
        <v>2700</v>
      </c>
      <c r="B21" t="s">
        <v>710</v>
      </c>
      <c r="C21" s="129">
        <f>ROUND('DOE25'!L209+'DOE25'!L227+'DOE25'!L245+'DOE25'!L288+'DOE25'!L307+'DOE25'!L326,0)</f>
        <v>760697</v>
      </c>
      <c r="D21" s="132">
        <f t="shared" si="0"/>
        <v>6.3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83415.87</v>
      </c>
      <c r="D27" s="132">
        <f t="shared" si="0"/>
        <v>0.7</v>
      </c>
    </row>
    <row r="28" spans="1:4" x14ac:dyDescent="0.2">
      <c r="B28" s="136" t="s">
        <v>719</v>
      </c>
      <c r="C28" s="130">
        <f>SUM(C10:C27)</f>
        <v>12076679.869999999</v>
      </c>
      <c r="D28" s="134">
        <f>ROUND(SUM(D10:D27),0)</f>
        <v>100</v>
      </c>
    </row>
    <row r="29" spans="1:4" x14ac:dyDescent="0.2">
      <c r="A29">
        <v>4000</v>
      </c>
      <c r="B29" t="s">
        <v>724</v>
      </c>
      <c r="C29" s="129">
        <f>ROUND('DOE25'!L256+'DOE25'!L337+'DOE25'!L375+'DOE25'!L376+'DOE25'!L377+'DOE25'!L378+'DOE25'!L379+'DOE25'!L380+'DOE25'!L381,0)</f>
        <v>47928</v>
      </c>
    </row>
    <row r="30" spans="1:4" x14ac:dyDescent="0.2">
      <c r="B30" s="136" t="s">
        <v>725</v>
      </c>
      <c r="C30" s="130">
        <f>SUM(C28:C29)</f>
        <v>12124607.869999999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9230837</v>
      </c>
      <c r="D35" s="132">
        <f t="shared" ref="D35:D40" si="1">ROUND((C35/$C$41)*100,1)</f>
        <v>74.2</v>
      </c>
    </row>
    <row r="36" spans="1:4" x14ac:dyDescent="0.2">
      <c r="B36" s="71" t="s">
        <v>739</v>
      </c>
      <c r="C36" s="129">
        <f>SUM('DOE25'!F112:J112)-SUM('DOE25'!G97:G110)+('DOE25'!F175+'DOE25'!F176+'DOE25'!I175+'DOE25'!I176)-C35</f>
        <v>61322.080000001937</v>
      </c>
      <c r="D36" s="132">
        <f t="shared" si="1"/>
        <v>0.5</v>
      </c>
    </row>
    <row r="37" spans="1:4" x14ac:dyDescent="0.2">
      <c r="A37" s="133" t="s">
        <v>834</v>
      </c>
      <c r="B37" s="71" t="s">
        <v>728</v>
      </c>
      <c r="C37" s="129">
        <f>ROUND('DOE25'!F117+'DOE25'!F118,0)</f>
        <v>2429664</v>
      </c>
      <c r="D37" s="132">
        <f t="shared" si="1"/>
        <v>19.5</v>
      </c>
    </row>
    <row r="38" spans="1:4" x14ac:dyDescent="0.2">
      <c r="A38" s="133" t="s">
        <v>734</v>
      </c>
      <c r="B38" s="71" t="s">
        <v>729</v>
      </c>
      <c r="C38" s="129">
        <f>ROUND(SUM('DOE25'!F140:J140)-SUM('DOE25'!F117:F119),0)</f>
        <v>146525</v>
      </c>
      <c r="D38" s="132">
        <f t="shared" si="1"/>
        <v>1.2</v>
      </c>
    </row>
    <row r="39" spans="1:4" x14ac:dyDescent="0.2">
      <c r="A39">
        <v>4000</v>
      </c>
      <c r="B39" s="71" t="s">
        <v>730</v>
      </c>
      <c r="C39" s="129">
        <f>ROUND('DOE25'!F170+'DOE25'!G170+'DOE25'!H170+'DOE25'!I170,0)</f>
        <v>564945</v>
      </c>
      <c r="D39" s="132">
        <f t="shared" si="1"/>
        <v>4.5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12433293.080000002</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Fremont</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76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f>IF('School Level Expenditures'!$B$2=A79,'School Tables'!H79,"")</f>
        <v>76</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2023-12-28T16:49:58Z</dcterms:modified>
</cp:coreProperties>
</file>